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gif" ContentType="image/gif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4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5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6.xml" ContentType="application/vnd.openxmlformats-officedocument.drawing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8.xml" ContentType="application/vnd.openxmlformats-officedocument.drawing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9.xml" ContentType="application/vnd.openxmlformats-officedocument.drawing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0.xml" ContentType="application/vnd.openxmlformats-officedocument.drawing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1.xml" ContentType="application/vnd.openxmlformats-officedocument.drawing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2.xml" ContentType="application/vnd.openxmlformats-officedocument.drawing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3.xml" ContentType="application/vnd.openxmlformats-officedocument.drawing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4.xml" ContentType="application/vnd.openxmlformats-officedocument.drawing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5.xml" ContentType="application/vnd.openxmlformats-officedocument.drawing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16.xml" ContentType="application/vnd.openxmlformats-officedocument.drawing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7.xml" ContentType="application/vnd.openxmlformats-officedocument.drawing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18.xml" ContentType="application/vnd.openxmlformats-officedocument.drawing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9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0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1.xml" ContentType="application/vnd.openxmlformats-officedocument.drawing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2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3.xml" ContentType="application/vnd.openxmlformats-officedocument.drawing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4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25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26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27.xml" ContentType="application/vnd.openxmlformats-officedocument.drawing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28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29.xml" ContentType="application/vnd.openxmlformats-officedocument.drawing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30.xml" ContentType="application/vnd.openxmlformats-officedocument.drawing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31.xml" ContentType="application/vnd.openxmlformats-officedocument.drawing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comments2.xml" ContentType="application/vnd.openxmlformats-officedocument.spreadsheetml.comments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32.xml" ContentType="application/vnd.openxmlformats-officedocument.drawing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33.xml" ContentType="application/vnd.openxmlformats-officedocument.drawing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34.xml" ContentType="application/vnd.openxmlformats-officedocument.drawing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35.xml" ContentType="application/vnd.openxmlformats-officedocument.drawing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36.xml" ContentType="application/vnd.openxmlformats-officedocument.drawing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37.xml" ContentType="application/vnd.openxmlformats-officedocument.drawing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38.xml" ContentType="application/vnd.openxmlformats-officedocument.drawing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comments3.xml" ContentType="application/vnd.openxmlformats-officedocument.spreadsheetml.comments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39.xml" ContentType="application/vnd.openxmlformats-officedocument.drawing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40.xml" ContentType="application/vnd.openxmlformats-officedocument.drawing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41.xml" ContentType="application/vnd.openxmlformats-officedocument.drawing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42.xml" ContentType="application/vnd.openxmlformats-officedocument.drawing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43.xml" ContentType="application/vnd.openxmlformats-officedocument.drawing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drawings/drawing44.xml" ContentType="application/vnd.openxmlformats-officedocument.drawing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comments4.xml" ContentType="application/vnd.openxmlformats-officedocument.spreadsheetml.comments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45.xml" ContentType="application/vnd.openxmlformats-officedocument.drawing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drawings/drawing46.xml" ContentType="application/vnd.openxmlformats-officedocument.drawing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drawings/drawing47.xml" ContentType="application/vnd.openxmlformats-officedocument.drawing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48.xml" ContentType="application/vnd.openxmlformats-officedocument.drawing+xml"/>
  <Override PartName="/xl/queryTables/queryTable89.xml" ContentType="application/vnd.openxmlformats-officedocument.spreadsheetml.queryTable+xml"/>
  <Override PartName="/xl/queryTables/queryTable90.xml" ContentType="application/vnd.openxmlformats-officedocument.spreadsheetml.queryTable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drawings/drawing49.xml" ContentType="application/vnd.openxmlformats-officedocument.drawing+xml"/>
  <Override PartName="/xl/queryTables/queryTable91.xml" ContentType="application/vnd.openxmlformats-officedocument.spreadsheetml.queryTable+xml"/>
  <Override PartName="/xl/queryTables/queryTable92.xml" ContentType="application/vnd.openxmlformats-officedocument.spreadsheetml.queryTable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drawings/drawing50.xml" ContentType="application/vnd.openxmlformats-officedocument.drawing+xml"/>
  <Override PartName="/xl/queryTables/queryTable93.xml" ContentType="application/vnd.openxmlformats-officedocument.spreadsheetml.queryTable+xml"/>
  <Override PartName="/xl/queryTables/queryTable94.xml" ContentType="application/vnd.openxmlformats-officedocument.spreadsheetml.queryTab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51.xml" ContentType="application/vnd.openxmlformats-officedocument.drawing+xml"/>
  <Override PartName="/xl/queryTables/queryTable95.xml" ContentType="application/vnd.openxmlformats-officedocument.spreadsheetml.queryTable+xml"/>
  <Override PartName="/xl/queryTables/queryTable96.xml" ContentType="application/vnd.openxmlformats-officedocument.spreadsheetml.queryTable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drawings/drawing52.xml" ContentType="application/vnd.openxmlformats-officedocument.drawing+xml"/>
  <Override PartName="/xl/queryTables/queryTable97.xml" ContentType="application/vnd.openxmlformats-officedocument.spreadsheetml.queryTable+xml"/>
  <Override PartName="/xl/queryTables/queryTable98.xml" ContentType="application/vnd.openxmlformats-officedocument.spreadsheetml.queryTab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drawings/drawing53.xml" ContentType="application/vnd.openxmlformats-officedocument.drawing+xml"/>
  <Override PartName="/xl/queryTables/queryTable99.xml" ContentType="application/vnd.openxmlformats-officedocument.spreadsheetml.queryTable+xml"/>
  <Override PartName="/xl/queryTables/queryTable100.xml" ContentType="application/vnd.openxmlformats-officedocument.spreadsheetml.queryTable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54.xml" ContentType="application/vnd.openxmlformats-officedocument.drawing+xml"/>
  <Override PartName="/xl/queryTables/queryTable101.xml" ContentType="application/vnd.openxmlformats-officedocument.spreadsheetml.queryTable+xml"/>
  <Override PartName="/xl/queryTables/queryTable102.xml" ContentType="application/vnd.openxmlformats-officedocument.spreadsheetml.queryTable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drawings/drawing55.xml" ContentType="application/vnd.openxmlformats-officedocument.drawing+xml"/>
  <Override PartName="/xl/queryTables/queryTable103.xml" ContentType="application/vnd.openxmlformats-officedocument.spreadsheetml.queryTable+xml"/>
  <Override PartName="/xl/queryTables/queryTable104.xml" ContentType="application/vnd.openxmlformats-officedocument.spreadsheetml.queryTabl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drawings/drawing56.xml" ContentType="application/vnd.openxmlformats-officedocument.drawing+xml"/>
  <Override PartName="/xl/queryTables/queryTable105.xml" ContentType="application/vnd.openxmlformats-officedocument.spreadsheetml.queryTable+xml"/>
  <Override PartName="/xl/queryTables/queryTable106.xml" ContentType="application/vnd.openxmlformats-officedocument.spreadsheetml.queryTab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57.xml" ContentType="application/vnd.openxmlformats-officedocument.drawing+xml"/>
  <Override PartName="/xl/queryTables/queryTable107.xml" ContentType="application/vnd.openxmlformats-officedocument.spreadsheetml.queryTable+xml"/>
  <Override PartName="/xl/queryTables/queryTable108.xml" ContentType="application/vnd.openxmlformats-officedocument.spreadsheetml.queryTable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drawings/drawing58.xml" ContentType="application/vnd.openxmlformats-officedocument.drawing+xml"/>
  <Override PartName="/xl/queryTables/queryTable109.xml" ContentType="application/vnd.openxmlformats-officedocument.spreadsheetml.queryTable+xml"/>
  <Override PartName="/xl/queryTables/queryTable110.xml" ContentType="application/vnd.openxmlformats-officedocument.spreadsheetml.queryTable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drawings/drawing59.xml" ContentType="application/vnd.openxmlformats-officedocument.drawing+xml"/>
  <Override PartName="/xl/queryTables/queryTable111.xml" ContentType="application/vnd.openxmlformats-officedocument.spreadsheetml.queryTable+xml"/>
  <Override PartName="/xl/queryTables/queryTable112.xml" ContentType="application/vnd.openxmlformats-officedocument.spreadsheetml.queryTable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drawings/drawing60.xml" ContentType="application/vnd.openxmlformats-officedocument.drawing+xml"/>
  <Override PartName="/xl/queryTables/queryTable113.xml" ContentType="application/vnd.openxmlformats-officedocument.spreadsheetml.queryTable+xml"/>
  <Override PartName="/xl/queryTables/queryTable114.xml" ContentType="application/vnd.openxmlformats-officedocument.spreadsheetml.queryTable+xml"/>
  <Override PartName="/xl/charts/chart64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Trading\"/>
    </mc:Choice>
  </mc:AlternateContent>
  <bookViews>
    <workbookView xWindow="0" yWindow="0" windowWidth="28800" windowHeight="12435"/>
  </bookViews>
  <sheets>
    <sheet name="ACTIVE" sheetId="35" r:id="rId1"/>
    <sheet name="CLOSED" sheetId="1" r:id="rId2"/>
    <sheet name="Balance" sheetId="38" r:id="rId3"/>
    <sheet name="BIIB" sheetId="33" state="hidden" r:id="rId4"/>
    <sheet name="MYL" sheetId="56" state="hidden" r:id="rId5"/>
    <sheet name="SIG" sheetId="57" state="hidden" r:id="rId6"/>
    <sheet name="AAPL" sheetId="55" state="hidden" r:id="rId7"/>
    <sheet name="AXP" sheetId="60" state="hidden" r:id="rId8"/>
    <sheet name="DG" sheetId="64" state="hidden" r:id="rId9"/>
    <sheet name="PINC" sheetId="65" state="hidden" r:id="rId10"/>
    <sheet name="FOXA" sheetId="66" state="hidden" r:id="rId11"/>
    <sheet name="AOBC" sheetId="70" state="hidden" r:id="rId12"/>
    <sheet name="LUV" sheetId="62" state="hidden" r:id="rId13"/>
    <sheet name="CCE" sheetId="73" state="hidden" r:id="rId14"/>
    <sheet name="BMY" sheetId="71" state="hidden" r:id="rId15"/>
    <sheet name="AKAM" sheetId="63" state="hidden" r:id="rId16"/>
    <sheet name="CVS" sheetId="69" state="hidden" r:id="rId17"/>
    <sheet name="MRO" sheetId="25" r:id="rId18"/>
    <sheet name="KR" sheetId="51" state="hidden" r:id="rId19"/>
    <sheet name="F" sheetId="54" state="hidden" r:id="rId20"/>
    <sheet name="JNJ" sheetId="68" state="hidden" r:id="rId21"/>
    <sheet name="CPN" sheetId="7" r:id="rId22"/>
    <sheet name="EW" sheetId="72" state="hidden" r:id="rId23"/>
    <sheet name="NKE" sheetId="50" state="hidden" r:id="rId24"/>
    <sheet name="MOS" sheetId="58" state="hidden" r:id="rId25"/>
    <sheet name="MJN" sheetId="76" state="hidden" r:id="rId26"/>
    <sheet name="VGK" sheetId="59" r:id="rId27"/>
    <sheet name="MU" sheetId="17" state="hidden" r:id="rId28"/>
    <sheet name="IP" sheetId="44" state="hidden" r:id="rId29"/>
    <sheet name="INTC" sheetId="13" state="hidden" r:id="rId30"/>
    <sheet name="HES" sheetId="10" state="hidden" r:id="rId31"/>
    <sheet name="UNP" sheetId="20" state="hidden" r:id="rId32"/>
    <sheet name="NCLH" sheetId="67" state="hidden" r:id="rId33"/>
    <sheet name="SPY" sheetId="47" state="hidden" r:id="rId34"/>
    <sheet name="SWKS" sheetId="41" state="hidden" r:id="rId35"/>
    <sheet name="CNI" sheetId="42" state="hidden" r:id="rId36"/>
    <sheet name="WFC" sheetId="45" state="hidden" r:id="rId37"/>
    <sheet name="AA" sheetId="3" state="hidden" r:id="rId38"/>
    <sheet name="KATE" sheetId="5" state="hidden" r:id="rId39"/>
    <sheet name="CF" sheetId="61" state="hidden" r:id="rId40"/>
    <sheet name="TGT" sheetId="75" state="hidden" r:id="rId41"/>
    <sheet name="NWL" sheetId="46" state="hidden" r:id="rId42"/>
    <sheet name="KORS" sheetId="16" state="hidden" r:id="rId43"/>
    <sheet name="ALL" sheetId="22" state="hidden" r:id="rId44"/>
    <sheet name="NSC" sheetId="24" state="hidden" r:id="rId45"/>
    <sheet name="AVGO" sheetId="15" state="hidden" r:id="rId46"/>
    <sheet name="UAL" sheetId="52" state="hidden" r:id="rId47"/>
    <sheet name="CAH" sheetId="53" state="hidden" r:id="rId48"/>
    <sheet name="DAL" sheetId="49" state="hidden" r:id="rId49"/>
    <sheet name="TEVA" sheetId="74" r:id="rId50"/>
    <sheet name="DIS" sheetId="34" r:id="rId51"/>
    <sheet name="FTR" sheetId="40" state="hidden" r:id="rId52"/>
    <sheet name="GILD" sheetId="31" state="hidden" r:id="rId53"/>
    <sheet name="WWD" sheetId="28" state="hidden" r:id="rId54"/>
    <sheet name="GIS" sheetId="43" state="hidden" r:id="rId55"/>
    <sheet name="GM" sheetId="29" state="hidden" r:id="rId56"/>
    <sheet name="TMO" sheetId="48" state="hidden" r:id="rId57"/>
    <sheet name="TKR" sheetId="32" state="hidden" r:id="rId58"/>
    <sheet name="UTX" sheetId="30" state="hidden" r:id="rId59"/>
    <sheet name="UNH" sheetId="26" state="hidden" r:id="rId60"/>
  </sheets>
  <functionGroups builtInGroupCount="18"/>
  <definedNames>
    <definedName name="_xlnm._FilterDatabase" localSheetId="0" hidden="1">ACTIVE!$E$1:$M$26</definedName>
    <definedName name="hp?s_AA_Historical_Prices_1" localSheetId="37">AA!$W$1:$AC$69</definedName>
    <definedName name="hp?s_AAPL" localSheetId="6">AAPL!$W$1:$AC$69</definedName>
    <definedName name="hp?s_AKAM_Historical_Prices" localSheetId="15">AKAM!$W$1:$AC$68</definedName>
    <definedName name="hp?s_AKAM_Historical_Prices" localSheetId="14">BMY!$W$1:$AC$69</definedName>
    <definedName name="hp?s_ALL_Historical_Prices" localSheetId="43">ALL!$X$1:$AD$69</definedName>
    <definedName name="hp?s_AVGO" localSheetId="45">AVGO!$W$1:$AC$69</definedName>
    <definedName name="hp?s_AXP_Historical_Prices" localSheetId="7">AXP!$W$1:$AC$69</definedName>
    <definedName name="hp?s_BIIB" localSheetId="3">BIIB!$W$1:$AC$68</definedName>
    <definedName name="hp?s_CAH" localSheetId="47">CAH!$W$1:$AC$69</definedName>
    <definedName name="hp?s_cce" localSheetId="13">CCE!$W$1:$AC$69</definedName>
    <definedName name="hp?s_CF_a_00_b_1_c_2016_d_06_e_1_f_2016_g_d" localSheetId="39">CF!$W$1:$AC$69</definedName>
    <definedName name="hp?s_CNI" localSheetId="35">CNI!$W$1:$AC$69</definedName>
    <definedName name="hp?s_CPN_Historical_Prices" localSheetId="21">CPN!$W$1:$AC$68</definedName>
    <definedName name="hp?s_cvs" localSheetId="16">CVS!$W$1:$AC$69</definedName>
    <definedName name="hp?s_DAL" localSheetId="48">DAL!$W$1:$AC$69</definedName>
    <definedName name="hp?s_dg" localSheetId="8">DG!$W$1:$AC$69</definedName>
    <definedName name="hp?s_DIS" localSheetId="13">CCE!#REF!</definedName>
    <definedName name="hp?s_DIS" localSheetId="50">DIS!$W$1:$AC$69</definedName>
    <definedName name="hp?s_DIS" localSheetId="51">FTR!#REF!</definedName>
    <definedName name="hp?s_ew_Historical_Prices" localSheetId="22">EW!$W$1:$AC$68</definedName>
    <definedName name="hp?s_F" localSheetId="19">F!$W$1:$AC$69</definedName>
    <definedName name="hp?s_foxa" localSheetId="10">FOXA!$W$1:$AC$68</definedName>
    <definedName name="hp?s_FTR" localSheetId="51">FTR!$W$1:$AC$69</definedName>
    <definedName name="hp?s_GILD" localSheetId="52">GILD!$W$1:$AC$69</definedName>
    <definedName name="hp?s_GIS" localSheetId="54">GIS!$X$1:$AD$69</definedName>
    <definedName name="hp?s_GM" localSheetId="55">GM!$W$1:$AC$69</definedName>
    <definedName name="hp?s_HES" localSheetId="30">HES!$W$1:$AC$69</definedName>
    <definedName name="hp?s_INTC_Historical_Prices" localSheetId="29">INTC!$W$1:$AC$69</definedName>
    <definedName name="hp?s_IP" localSheetId="28">IP!$W$1:$AC$69</definedName>
    <definedName name="hp?s_jnj" localSheetId="20">JNJ!$W$1:$AC$69</definedName>
    <definedName name="hp?s_KATE" localSheetId="38">KATE!$W$1:$AC$68</definedName>
    <definedName name="hp?s_KORS" localSheetId="42">KORS!$W$1:$AC$68</definedName>
    <definedName name="hp?s_KR" localSheetId="18">KR!$W$1:$AC$69</definedName>
    <definedName name="hp?s_LUV" localSheetId="12">LUV!$W$1:$AC$69</definedName>
    <definedName name="hp?s_MOS_Historical_Prices" localSheetId="24">MOS!$W$1:$AC$69</definedName>
    <definedName name="hp?s_MRO" localSheetId="17">MRO!$W$1:$AC$69</definedName>
    <definedName name="hp?s_MU" localSheetId="27">MU!$W$1:$AC$68</definedName>
    <definedName name="hp?s_MYL" localSheetId="4">MYL!$W$1:$AC$68</definedName>
    <definedName name="hp?s_nclh" localSheetId="32">NCLH!$W$1:$AC$68</definedName>
    <definedName name="hp?s_nke" localSheetId="23">NKE!$W$1:$AC$69</definedName>
    <definedName name="hp?s_NSC" localSheetId="44">NSC!$W$1:$AC$70</definedName>
    <definedName name="hp?s_NWL" localSheetId="41">NWL!$W$1:$AC$69</definedName>
    <definedName name="hp?s_pinc" localSheetId="9">PINC!$W$1:$AC$68</definedName>
    <definedName name="hp?s_SIG" localSheetId="5">SIG!$W$1:$AC$69</definedName>
    <definedName name="hp?s_SPY_Historical_Prices" localSheetId="33">SPY!$W$1:$AC$69</definedName>
    <definedName name="hp?s_swhc" localSheetId="11">AOBC!$W$1:$AC$68</definedName>
    <definedName name="hp?s_SWKS" localSheetId="34">SWKS!$W$1:$AC$70</definedName>
    <definedName name="hp?s_teva" localSheetId="49">TEVA!$W$1:$AC$69</definedName>
    <definedName name="hp?s_tgt" localSheetId="40">TGT!$W$1:$AC$69</definedName>
    <definedName name="hp?s_TKR" localSheetId="57">TKR!$W$1:$AC$69</definedName>
    <definedName name="hp?s_tmo" localSheetId="56">TMO!$W$1:$AC$69</definedName>
    <definedName name="hp?s_ual" localSheetId="46">UAL!$W$1:$AC$68</definedName>
    <definedName name="hp?s_UNH" localSheetId="59">UNH!$W$1:$AC$69</definedName>
    <definedName name="hp?s_UNP" localSheetId="31">UNP!$W$1:$AC$69</definedName>
    <definedName name="hp?s_UTX" localSheetId="58">UTX!$W$1:$AC$69</definedName>
    <definedName name="hp?s_vgk" localSheetId="25">MJN!$W$1:$AC$69</definedName>
    <definedName name="hp?s_vgk" localSheetId="26">VGK!$W$1:$AC$69</definedName>
    <definedName name="hp?s_WFC" localSheetId="36">WFC!$W$1:$AC$70</definedName>
    <definedName name="hp?s_WWD" localSheetId="53">WWD!$W$1:$AC$69</definedName>
    <definedName name="PL" localSheetId="37">AA!$Q$7</definedName>
    <definedName name="PL" localSheetId="15">#REF!</definedName>
    <definedName name="PL" localSheetId="11">#REF!</definedName>
    <definedName name="PL" localSheetId="7">#REF!</definedName>
    <definedName name="PL" localSheetId="14">#REF!</definedName>
    <definedName name="PL" localSheetId="47">#REF!</definedName>
    <definedName name="PL" localSheetId="39">#REF!</definedName>
    <definedName name="PL" localSheetId="16">#REF!</definedName>
    <definedName name="PL" localSheetId="8">#REF!</definedName>
    <definedName name="PL" localSheetId="22">#REF!</definedName>
    <definedName name="PL" localSheetId="19">#REF!</definedName>
    <definedName name="PL" localSheetId="10">#REF!</definedName>
    <definedName name="PL" localSheetId="20">#REF!</definedName>
    <definedName name="PL" localSheetId="18">#REF!</definedName>
    <definedName name="PL" localSheetId="12">#REF!</definedName>
    <definedName name="PL" localSheetId="25">#REF!</definedName>
    <definedName name="PL" localSheetId="24">#REF!</definedName>
    <definedName name="PL" localSheetId="4">#REF!</definedName>
    <definedName name="PL" localSheetId="32">NCLH!$Q$7</definedName>
    <definedName name="PL" localSheetId="23">#REF!</definedName>
    <definedName name="PL" localSheetId="9">PINC!$Q$7</definedName>
    <definedName name="PL" localSheetId="33">SPY!$Q$7</definedName>
    <definedName name="PL" localSheetId="34">SWKS!$Q$7</definedName>
    <definedName name="PL" localSheetId="40">#REF!</definedName>
    <definedName name="PL" localSheetId="46">#REF!</definedName>
    <definedName name="PL" localSheetId="26">#REF!</definedName>
    <definedName name="PL" localSheetId="36">WFC!$Q$7</definedName>
    <definedName name="q?s_aa_ql_1" localSheetId="37">AA!$T$40:$U$55</definedName>
    <definedName name="q?s_AAPL" localSheetId="6">AAPL!$T$40:$U$55</definedName>
    <definedName name="q?s_AKAM" localSheetId="15">AKAM!$T$43:$U$58</definedName>
    <definedName name="q?s_ALL" localSheetId="43">ALL!$T$40:$U$55</definedName>
    <definedName name="q?s_AVGO" localSheetId="45">AVGO!$T$42:$U$57</definedName>
    <definedName name="q?s_AXP" localSheetId="7">AXP!$T$43:$U$58</definedName>
    <definedName name="q?s_BIIB" localSheetId="3">BIIB!$T$43:$U$58</definedName>
    <definedName name="q?s_BMY_1" localSheetId="14">BMY!$T$43:$U$58</definedName>
    <definedName name="q?s_CAH" localSheetId="47">CAH!$T$43:$U$58</definedName>
    <definedName name="q?s_cce" localSheetId="13">CCE!$T$43:$U$58</definedName>
    <definedName name="q?s_CF" localSheetId="39">CF!$T$43:$U$58</definedName>
    <definedName name="q?s_CNI" localSheetId="35">CNI!$T$43:$U$58</definedName>
    <definedName name="q?s_CPN" localSheetId="21">CPN!$T$43:$U$58</definedName>
    <definedName name="q?s_cvs" localSheetId="16">CVS!$T$43:$U$58</definedName>
    <definedName name="q?s_DAL" localSheetId="48">DAL!$T$43:$U$58</definedName>
    <definedName name="q?s_dg" localSheetId="8">DG!$T$43:$U$58</definedName>
    <definedName name="q?s_DIS" localSheetId="50">DIS!$T$43:$U$58</definedName>
    <definedName name="q?s_ew" localSheetId="22">EW!$T$43:$U$58</definedName>
    <definedName name="q?s_F" localSheetId="19">F!$T$43:$U$58</definedName>
    <definedName name="q?s_foxa" localSheetId="10">FOXA!$T$43:$U$58</definedName>
    <definedName name="q?s_FTR" localSheetId="51">FTR!$T$43:$U$58</definedName>
    <definedName name="q?s_GILD" localSheetId="52">GILD!$T$43:$U$58</definedName>
    <definedName name="q?s_GIS_1" localSheetId="54">GIS!$T$43:$U$58</definedName>
    <definedName name="q?s_GM" localSheetId="55">GM!$T$43:$U$58</definedName>
    <definedName name="q?s_HES" localSheetId="30">HES!$T$43:$U$58</definedName>
    <definedName name="q?s_INTC" localSheetId="29">INTC!$T$43:$U$58</definedName>
    <definedName name="q?s_IP" localSheetId="28">IP!$T$43:$U$58</definedName>
    <definedName name="q?s_JNJ" localSheetId="20">JNJ!$T$43:$U$58</definedName>
    <definedName name="q?s_KATE" localSheetId="38">KATE!$T$43:$U$58</definedName>
    <definedName name="q?s_KORS" localSheetId="42">KORS!$T$43:$U$58</definedName>
    <definedName name="q?s_KR" localSheetId="18">KR!$T$43:$U$58</definedName>
    <definedName name="q?s_luv_ql_1" localSheetId="12">LUV!$T$43:$U$58</definedName>
    <definedName name="q?s_MOS" localSheetId="24">MOS!$T$43:$U$58</definedName>
    <definedName name="q?s_mro" localSheetId="17">MRO!$T$43:$U$58</definedName>
    <definedName name="q?s_MU" localSheetId="27">MU!$T$43:$U$58</definedName>
    <definedName name="q?s_MYL" localSheetId="4">MYL!$T$43:$U$58</definedName>
    <definedName name="q?s_nclh" localSheetId="32">NCLH!$T$40:$U$55</definedName>
    <definedName name="q?s_NKE" localSheetId="23">NKE!$T$43:$U$58</definedName>
    <definedName name="q?s_nsc" localSheetId="44">NSC!$T$43:$U$58</definedName>
    <definedName name="q?s_NSC" localSheetId="31">UNP!$T$43:$U$58</definedName>
    <definedName name="q?s_NWL" localSheetId="41">NWL!$T$43:$U$58</definedName>
    <definedName name="q?s_pinc" localSheetId="9">PINC!$T$40:$U$55</definedName>
    <definedName name="q?s_SIG" localSheetId="5">SIG!$T$40:$U$55</definedName>
    <definedName name="q?s_SPY" localSheetId="33">SPY!$T$40:$U$53</definedName>
    <definedName name="q?s_swhc" localSheetId="11">AOBC!$T$43:$U$58</definedName>
    <definedName name="q?s_SWKS" localSheetId="34">SWKS!$T$40:$U$55</definedName>
    <definedName name="q?s_teva" localSheetId="49">TEVA!$T$43:$U$58</definedName>
    <definedName name="q?s_tgt" localSheetId="40">TGT!$T$43:$U$58</definedName>
    <definedName name="q?s_TKR" localSheetId="57">TKR!$T$43:$U$58</definedName>
    <definedName name="q?s_tmo" localSheetId="56">TMO!$T$43:$U$58</definedName>
    <definedName name="q?s_UAL" localSheetId="46">UAL!$T$43:$U$58</definedName>
    <definedName name="q?s_UNH" localSheetId="59">UNH!$T$43:$U$58</definedName>
    <definedName name="q?s_UTX" localSheetId="58">UTX!$T$43:$U$58</definedName>
    <definedName name="q?s_vgk" localSheetId="25">MJN!$T$43:$U$56</definedName>
    <definedName name="q?s_vgk" localSheetId="26">VGK!$T$43:$U$56</definedName>
    <definedName name="q?s_WFC" localSheetId="36">WFC!$T$43:$U$58</definedName>
    <definedName name="q?s_WWD" localSheetId="53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52" i="38" l="1"/>
  <c r="E352" i="38"/>
  <c r="G352" i="38"/>
  <c r="H352" i="38"/>
  <c r="K352" i="38"/>
  <c r="L352" i="38"/>
  <c r="O352" i="38" s="1"/>
  <c r="P352" i="38" s="1"/>
  <c r="M352" i="38"/>
  <c r="T352" i="38" s="1"/>
  <c r="N352" i="38"/>
  <c r="R352" i="38"/>
  <c r="U352" i="38"/>
  <c r="N54" i="35"/>
  <c r="N56" i="35"/>
  <c r="N52" i="35"/>
  <c r="N22" i="35"/>
  <c r="N37" i="35"/>
  <c r="N17" i="35"/>
  <c r="N58" i="35"/>
  <c r="N5" i="35"/>
  <c r="N12" i="35"/>
  <c r="N34" i="35"/>
  <c r="N51" i="35"/>
  <c r="N32" i="35"/>
  <c r="N14" i="35"/>
  <c r="N53" i="35"/>
  <c r="N27" i="35"/>
  <c r="N46" i="35"/>
  <c r="N26" i="35"/>
  <c r="N42" i="35"/>
  <c r="N47" i="35"/>
  <c r="N21" i="35"/>
  <c r="N16" i="35"/>
  <c r="N41" i="35"/>
  <c r="N23" i="35"/>
  <c r="N13" i="35"/>
  <c r="N31" i="35"/>
  <c r="N50" i="35"/>
  <c r="N49" i="35"/>
  <c r="N45" i="35"/>
  <c r="N55" i="35"/>
  <c r="N38" i="35"/>
  <c r="N39" i="35"/>
  <c r="N40" i="35"/>
  <c r="N4" i="35"/>
  <c r="N57" i="35"/>
  <c r="N19" i="35"/>
  <c r="N18" i="35"/>
  <c r="N20" i="35"/>
  <c r="N9" i="35"/>
  <c r="N3" i="35"/>
  <c r="N15" i="35"/>
  <c r="N35" i="35"/>
  <c r="N6" i="35"/>
  <c r="N2" i="35"/>
  <c r="N7" i="35"/>
  <c r="N25" i="35"/>
  <c r="N10" i="35"/>
  <c r="N30" i="35"/>
  <c r="N43" i="35"/>
  <c r="N8" i="35"/>
  <c r="N36" i="35"/>
  <c r="N48" i="35"/>
  <c r="N33" i="35"/>
  <c r="N28" i="35"/>
  <c r="N24" i="35"/>
  <c r="N11" i="35"/>
  <c r="N44" i="35"/>
  <c r="N29" i="35"/>
  <c r="F230" i="7"/>
  <c r="G230" i="7"/>
  <c r="H230" i="7"/>
  <c r="K90" i="7"/>
  <c r="G506" i="25"/>
  <c r="F507" i="25"/>
  <c r="H507" i="25"/>
  <c r="G507" i="25"/>
  <c r="K228" i="25"/>
  <c r="K227" i="25"/>
  <c r="F36" i="17"/>
  <c r="H36" i="17"/>
  <c r="G36" i="17"/>
  <c r="F3" i="17"/>
  <c r="F7" i="17"/>
  <c r="K2" i="17"/>
  <c r="V352" i="38" l="1"/>
  <c r="W352" i="38" s="1"/>
  <c r="F36" i="70"/>
  <c r="H36" i="70"/>
  <c r="G36" i="70"/>
  <c r="F9" i="70"/>
  <c r="F18" i="70" s="1"/>
  <c r="C18" i="70"/>
  <c r="F29" i="71"/>
  <c r="H29" i="71"/>
  <c r="G29" i="71"/>
  <c r="F34" i="43"/>
  <c r="H34" i="43"/>
  <c r="G34" i="43"/>
  <c r="F40" i="69"/>
  <c r="H40" i="69"/>
  <c r="G40" i="69"/>
  <c r="F7" i="69"/>
  <c r="C18" i="69"/>
  <c r="F506" i="25"/>
  <c r="H506" i="25"/>
  <c r="K226" i="25"/>
  <c r="K225" i="25"/>
  <c r="F252" i="25"/>
  <c r="F251" i="25"/>
  <c r="K224" i="25"/>
  <c r="H30" i="72"/>
  <c r="G30" i="72"/>
  <c r="F30" i="72"/>
  <c r="F3" i="72"/>
  <c r="F2" i="72"/>
  <c r="D351" i="38"/>
  <c r="E351" i="38"/>
  <c r="G351" i="38"/>
  <c r="H351" i="38"/>
  <c r="K351" i="38"/>
  <c r="L351" i="38" s="1"/>
  <c r="M351" i="38"/>
  <c r="T351" i="38" s="1"/>
  <c r="R351" i="38"/>
  <c r="O351" i="38" l="1"/>
  <c r="N351" i="38"/>
  <c r="D350" i="38"/>
  <c r="E350" i="38"/>
  <c r="G350" i="38"/>
  <c r="H350" i="38"/>
  <c r="K350" i="38"/>
  <c r="L350" i="38"/>
  <c r="M350" i="38"/>
  <c r="T350" i="38" s="1"/>
  <c r="R350" i="38"/>
  <c r="F2" i="76"/>
  <c r="F18" i="76" s="1"/>
  <c r="M71" i="76"/>
  <c r="K71" i="76"/>
  <c r="H71" i="76"/>
  <c r="C71" i="76"/>
  <c r="AE69" i="76"/>
  <c r="AD69" i="76"/>
  <c r="AE68" i="76"/>
  <c r="AD68" i="76"/>
  <c r="AE67" i="76"/>
  <c r="AD67" i="76"/>
  <c r="AE66" i="76"/>
  <c r="AD66" i="76"/>
  <c r="AE65" i="76"/>
  <c r="AD65" i="76"/>
  <c r="AE64" i="76"/>
  <c r="AD64" i="76"/>
  <c r="AE63" i="76"/>
  <c r="AD63" i="76"/>
  <c r="AE62" i="76"/>
  <c r="AD62" i="76"/>
  <c r="AE61" i="76"/>
  <c r="AD61" i="76"/>
  <c r="P61" i="76"/>
  <c r="AE60" i="76"/>
  <c r="AD60" i="76"/>
  <c r="P60" i="76"/>
  <c r="AE59" i="76"/>
  <c r="AD59" i="76"/>
  <c r="P59" i="76"/>
  <c r="AE58" i="76"/>
  <c r="AD58" i="76"/>
  <c r="P58" i="76"/>
  <c r="AE57" i="76"/>
  <c r="AD57" i="76"/>
  <c r="P57" i="76"/>
  <c r="AE56" i="76"/>
  <c r="AD56" i="76"/>
  <c r="P56" i="76"/>
  <c r="AE55" i="76"/>
  <c r="AD55" i="76"/>
  <c r="P55" i="76"/>
  <c r="F71" i="76"/>
  <c r="AE54" i="76"/>
  <c r="AD54" i="76"/>
  <c r="P54" i="76"/>
  <c r="AE53" i="76"/>
  <c r="AD53" i="76"/>
  <c r="P53" i="76"/>
  <c r="AE52" i="76"/>
  <c r="AD52" i="76"/>
  <c r="P52" i="76"/>
  <c r="AE51" i="76"/>
  <c r="AD51" i="76"/>
  <c r="P51" i="76"/>
  <c r="AE50" i="76"/>
  <c r="AD50" i="76"/>
  <c r="P50" i="76"/>
  <c r="AE49" i="76"/>
  <c r="AD49" i="76"/>
  <c r="P49" i="76"/>
  <c r="AE48" i="76"/>
  <c r="AD48" i="76"/>
  <c r="P48" i="76"/>
  <c r="AE47" i="76"/>
  <c r="AD47" i="76"/>
  <c r="P47" i="76"/>
  <c r="AE46" i="76"/>
  <c r="AD46" i="76"/>
  <c r="P46" i="76"/>
  <c r="AE45" i="76"/>
  <c r="AD45" i="76"/>
  <c r="P45" i="76"/>
  <c r="AE44" i="76"/>
  <c r="AD44" i="76"/>
  <c r="P44" i="76"/>
  <c r="AE43" i="76"/>
  <c r="AD43" i="76"/>
  <c r="P43" i="76"/>
  <c r="AE42" i="76"/>
  <c r="AD42" i="76"/>
  <c r="P42" i="76"/>
  <c r="AE41" i="76"/>
  <c r="AD41" i="76"/>
  <c r="P41" i="76"/>
  <c r="AE40" i="76"/>
  <c r="AD40" i="76"/>
  <c r="AE39" i="76"/>
  <c r="AD39" i="76"/>
  <c r="AE38" i="76"/>
  <c r="AD38" i="76"/>
  <c r="AE37" i="76"/>
  <c r="AD37" i="76"/>
  <c r="AE36" i="76"/>
  <c r="AD36" i="76"/>
  <c r="AE35" i="76"/>
  <c r="AD35" i="76"/>
  <c r="AE34" i="76"/>
  <c r="AD34" i="76"/>
  <c r="AE33" i="76"/>
  <c r="AD33" i="76"/>
  <c r="AE32" i="76"/>
  <c r="AD32" i="76"/>
  <c r="AE31" i="76"/>
  <c r="AD31" i="76"/>
  <c r="AE30" i="76"/>
  <c r="AD30" i="76"/>
  <c r="AE29" i="76"/>
  <c r="AD29" i="76"/>
  <c r="AE28" i="76"/>
  <c r="AD28" i="76"/>
  <c r="AE27" i="76"/>
  <c r="AD27" i="76"/>
  <c r="AE26" i="76"/>
  <c r="AD26" i="76"/>
  <c r="AE25" i="76"/>
  <c r="AD25" i="76"/>
  <c r="H25" i="76"/>
  <c r="G25" i="76"/>
  <c r="F25" i="76"/>
  <c r="AE24" i="76"/>
  <c r="AD24" i="76"/>
  <c r="AE23" i="76"/>
  <c r="AD23" i="76"/>
  <c r="AE22" i="76"/>
  <c r="AD22" i="76"/>
  <c r="AE21" i="76"/>
  <c r="AD21" i="76"/>
  <c r="AE20" i="76"/>
  <c r="AD20" i="76"/>
  <c r="AE19" i="76"/>
  <c r="AD19" i="76"/>
  <c r="AE18" i="76"/>
  <c r="AD18" i="76"/>
  <c r="M18" i="76"/>
  <c r="K18" i="76"/>
  <c r="H18" i="76"/>
  <c r="C18" i="76"/>
  <c r="AE17" i="76"/>
  <c r="AD17" i="76"/>
  <c r="AE16" i="76"/>
  <c r="AD16" i="76"/>
  <c r="AE15" i="76"/>
  <c r="AD15" i="76"/>
  <c r="AE14" i="76"/>
  <c r="AD14" i="76"/>
  <c r="AE13" i="76"/>
  <c r="AD13" i="76"/>
  <c r="AE12" i="76"/>
  <c r="AD12" i="76"/>
  <c r="AE11" i="76"/>
  <c r="AD11" i="76"/>
  <c r="AE10" i="76"/>
  <c r="AD10" i="76"/>
  <c r="AE9" i="76"/>
  <c r="AD9" i="76"/>
  <c r="AE8" i="76"/>
  <c r="AD8" i="76"/>
  <c r="AE7" i="76"/>
  <c r="AD7" i="76"/>
  <c r="AE6" i="76"/>
  <c r="AD6" i="76"/>
  <c r="AE5" i="76"/>
  <c r="AD5" i="76"/>
  <c r="AE4" i="76"/>
  <c r="AD4" i="76"/>
  <c r="AE3" i="76"/>
  <c r="AD3" i="76"/>
  <c r="AE2" i="76"/>
  <c r="AD2" i="76"/>
  <c r="F30" i="45"/>
  <c r="H30" i="45"/>
  <c r="G30" i="45"/>
  <c r="F5" i="45"/>
  <c r="K3" i="45"/>
  <c r="F32" i="48"/>
  <c r="H32" i="48"/>
  <c r="G32" i="48"/>
  <c r="K3" i="48"/>
  <c r="F3" i="48"/>
  <c r="F102" i="7"/>
  <c r="F505" i="25"/>
  <c r="H505" i="25"/>
  <c r="G505" i="25"/>
  <c r="K223" i="25"/>
  <c r="F504" i="25"/>
  <c r="H504" i="25"/>
  <c r="G504" i="25"/>
  <c r="F250" i="25"/>
  <c r="F503" i="25"/>
  <c r="H503" i="25"/>
  <c r="G503" i="25"/>
  <c r="F502" i="25"/>
  <c r="H502" i="25"/>
  <c r="G502" i="25"/>
  <c r="F249" i="25"/>
  <c r="F248" i="25"/>
  <c r="K222" i="25"/>
  <c r="K221" i="25"/>
  <c r="M19" i="76"/>
  <c r="C19" i="76"/>
  <c r="K72" i="76"/>
  <c r="C72" i="76"/>
  <c r="F19" i="76"/>
  <c r="K19" i="76"/>
  <c r="H72" i="76"/>
  <c r="H19" i="76"/>
  <c r="M72" i="76"/>
  <c r="F72" i="76"/>
  <c r="Q2" i="76" l="1"/>
  <c r="Q3" i="76" s="1"/>
  <c r="Q6" i="76" s="1"/>
  <c r="N350" i="38"/>
  <c r="Q8" i="76"/>
  <c r="O350" i="38"/>
  <c r="M53" i="76"/>
  <c r="Q10" i="76" s="1"/>
  <c r="Q5" i="76"/>
  <c r="K2" i="48"/>
  <c r="F30" i="57"/>
  <c r="G30" i="57"/>
  <c r="H30" i="57"/>
  <c r="F5" i="57"/>
  <c r="F229" i="7"/>
  <c r="H229" i="7"/>
  <c r="G229" i="7"/>
  <c r="K89" i="7"/>
  <c r="F57" i="50"/>
  <c r="H57" i="50"/>
  <c r="G57" i="50"/>
  <c r="F3" i="50"/>
  <c r="F35" i="70"/>
  <c r="H35" i="70"/>
  <c r="G35" i="70"/>
  <c r="K4" i="70"/>
  <c r="K3" i="70"/>
  <c r="F31" i="48"/>
  <c r="H31" i="48"/>
  <c r="G31" i="48"/>
  <c r="K3" i="74"/>
  <c r="F501" i="25"/>
  <c r="H501" i="25"/>
  <c r="G501" i="25"/>
  <c r="K220" i="25"/>
  <c r="F247" i="25"/>
  <c r="F246" i="25"/>
  <c r="D349" i="38"/>
  <c r="E349" i="38"/>
  <c r="G349" i="38"/>
  <c r="H349" i="38"/>
  <c r="K349" i="38"/>
  <c r="L349" i="38" s="1"/>
  <c r="M349" i="38"/>
  <c r="T349" i="38" s="1"/>
  <c r="R349" i="38"/>
  <c r="Q7" i="76" l="1"/>
  <c r="Q9" i="76"/>
  <c r="N349" i="38"/>
  <c r="O349" i="38"/>
  <c r="F500" i="25"/>
  <c r="H500" i="25"/>
  <c r="G500" i="25"/>
  <c r="F245" i="25"/>
  <c r="F244" i="25"/>
  <c r="F243" i="25"/>
  <c r="F228" i="7"/>
  <c r="H228" i="7"/>
  <c r="G228" i="7"/>
  <c r="F101" i="7"/>
  <c r="F35" i="17"/>
  <c r="H35" i="17"/>
  <c r="G35" i="17"/>
  <c r="F6" i="17"/>
  <c r="G338" i="38"/>
  <c r="G339" i="38"/>
  <c r="G340" i="38"/>
  <c r="G341" i="38"/>
  <c r="G342" i="38"/>
  <c r="G343" i="38"/>
  <c r="G344" i="38"/>
  <c r="G345" i="38"/>
  <c r="G346" i="38"/>
  <c r="G347" i="38"/>
  <c r="G348" i="38"/>
  <c r="D343" i="38"/>
  <c r="D344" i="38"/>
  <c r="D345" i="38"/>
  <c r="D346" i="38"/>
  <c r="D347" i="38"/>
  <c r="D348" i="38"/>
  <c r="E348" i="38"/>
  <c r="H348" i="38"/>
  <c r="K348" i="38"/>
  <c r="L348" i="38" s="1"/>
  <c r="M348" i="38"/>
  <c r="N348" i="38" s="1"/>
  <c r="R348" i="38"/>
  <c r="O348" i="38" l="1"/>
  <c r="T348" i="38"/>
  <c r="F28" i="71"/>
  <c r="G28" i="71"/>
  <c r="H28" i="71"/>
  <c r="F34" i="70"/>
  <c r="G34" i="70"/>
  <c r="H34" i="70"/>
  <c r="F118" i="31" l="1"/>
  <c r="G118" i="31"/>
  <c r="H118" i="31"/>
  <c r="F227" i="7"/>
  <c r="G227" i="7"/>
  <c r="H227" i="7"/>
  <c r="E347" i="38"/>
  <c r="H347" i="38"/>
  <c r="K347" i="38"/>
  <c r="L347" i="38" s="1"/>
  <c r="M347" i="38"/>
  <c r="T347" i="38" s="1"/>
  <c r="R347" i="38"/>
  <c r="F37" i="51"/>
  <c r="G37" i="51"/>
  <c r="H37" i="51"/>
  <c r="F5" i="51"/>
  <c r="F499" i="25"/>
  <c r="H499" i="25"/>
  <c r="G499" i="25"/>
  <c r="F242" i="25"/>
  <c r="H488" i="17"/>
  <c r="C488" i="17"/>
  <c r="F479" i="17"/>
  <c r="K478" i="17"/>
  <c r="F478" i="17"/>
  <c r="K477" i="17"/>
  <c r="F477" i="17"/>
  <c r="K476" i="17"/>
  <c r="F476" i="17"/>
  <c r="F39" i="69"/>
  <c r="H39" i="69"/>
  <c r="G39" i="69"/>
  <c r="F38" i="69"/>
  <c r="H38" i="69"/>
  <c r="G38" i="69"/>
  <c r="K2" i="69"/>
  <c r="F6" i="69"/>
  <c r="N347" i="38" l="1"/>
  <c r="O347" i="38"/>
  <c r="T267" i="1"/>
  <c r="F26" i="53"/>
  <c r="G26" i="53"/>
  <c r="H26" i="53"/>
  <c r="F3" i="53"/>
  <c r="F498" i="25"/>
  <c r="H498" i="25"/>
  <c r="G498" i="25"/>
  <c r="F240" i="25"/>
  <c r="F241" i="25"/>
  <c r="K219" i="25"/>
  <c r="F27" i="71"/>
  <c r="G27" i="71"/>
  <c r="H27" i="71"/>
  <c r="F6" i="71"/>
  <c r="E346" i="38"/>
  <c r="H346" i="38"/>
  <c r="K346" i="38"/>
  <c r="L346" i="38" s="1"/>
  <c r="M346" i="38"/>
  <c r="N346" i="38" s="1"/>
  <c r="R346" i="38"/>
  <c r="O346" i="38" l="1"/>
  <c r="T346" i="38"/>
  <c r="F56" i="50"/>
  <c r="G56" i="50"/>
  <c r="H56" i="50"/>
  <c r="F25" i="75"/>
  <c r="G25" i="75"/>
  <c r="H25" i="75"/>
  <c r="F30" i="48"/>
  <c r="G30" i="48"/>
  <c r="H30" i="48"/>
  <c r="F26" i="58"/>
  <c r="G26" i="58"/>
  <c r="H26" i="58"/>
  <c r="F33" i="43"/>
  <c r="G33" i="43"/>
  <c r="H33" i="43"/>
  <c r="F34" i="61"/>
  <c r="G34" i="61"/>
  <c r="H34" i="61"/>
  <c r="F29" i="57"/>
  <c r="G29" i="57"/>
  <c r="H29" i="57"/>
  <c r="F29" i="45"/>
  <c r="G29" i="45"/>
  <c r="H29" i="45"/>
  <c r="F33" i="70"/>
  <c r="G33" i="70"/>
  <c r="H33" i="70"/>
  <c r="F36" i="51"/>
  <c r="G36" i="51"/>
  <c r="H36" i="51"/>
  <c r="F226" i="7"/>
  <c r="G226" i="7"/>
  <c r="H226" i="7"/>
  <c r="F497" i="25"/>
  <c r="G497" i="25"/>
  <c r="H497" i="25"/>
  <c r="E345" i="38"/>
  <c r="H345" i="38"/>
  <c r="K345" i="38"/>
  <c r="L345" i="38" s="1"/>
  <c r="M345" i="38"/>
  <c r="T345" i="38" s="1"/>
  <c r="R345" i="38"/>
  <c r="F63" i="40"/>
  <c r="H63" i="40"/>
  <c r="G63" i="40"/>
  <c r="K8" i="40"/>
  <c r="F35" i="68"/>
  <c r="H35" i="68"/>
  <c r="G35" i="68"/>
  <c r="F34" i="68"/>
  <c r="H34" i="68"/>
  <c r="G34" i="68"/>
  <c r="F3" i="68"/>
  <c r="K2" i="68"/>
  <c r="F37" i="69"/>
  <c r="H37" i="69"/>
  <c r="G37" i="69"/>
  <c r="F5" i="69"/>
  <c r="F23" i="74"/>
  <c r="G23" i="74"/>
  <c r="H23" i="74"/>
  <c r="K2" i="74"/>
  <c r="F62" i="40"/>
  <c r="H62" i="40"/>
  <c r="G62" i="40"/>
  <c r="F11" i="40"/>
  <c r="F117" i="31"/>
  <c r="H117" i="31"/>
  <c r="G117" i="31"/>
  <c r="K19" i="31"/>
  <c r="F34" i="17"/>
  <c r="H34" i="17"/>
  <c r="G34" i="17"/>
  <c r="F5" i="17"/>
  <c r="F33" i="17"/>
  <c r="G33" i="17"/>
  <c r="H33" i="17"/>
  <c r="N345" i="38" l="1"/>
  <c r="O345" i="38"/>
  <c r="K44" i="73"/>
  <c r="F44" i="73"/>
  <c r="E344" i="38"/>
  <c r="H344" i="38"/>
  <c r="K344" i="38"/>
  <c r="L344" i="38" s="1"/>
  <c r="M344" i="38"/>
  <c r="T344" i="38" s="1"/>
  <c r="R344" i="38"/>
  <c r="O344" i="38" l="1"/>
  <c r="N344" i="38"/>
  <c r="F32" i="17"/>
  <c r="G32" i="17"/>
  <c r="H32" i="17"/>
  <c r="F4" i="17"/>
  <c r="F31" i="17"/>
  <c r="G31" i="17"/>
  <c r="H31" i="17"/>
  <c r="F28" i="45"/>
  <c r="H28" i="45"/>
  <c r="G28" i="45"/>
  <c r="K2" i="45"/>
  <c r="F5" i="68"/>
  <c r="F25" i="58" l="1"/>
  <c r="G25" i="58"/>
  <c r="H25" i="58"/>
  <c r="K93" i="58"/>
  <c r="F93" i="58"/>
  <c r="D341" i="38"/>
  <c r="D342" i="38"/>
  <c r="E343" i="38"/>
  <c r="H343" i="38"/>
  <c r="K343" i="38"/>
  <c r="L343" i="38" s="1"/>
  <c r="M343" i="38"/>
  <c r="T343" i="38" s="1"/>
  <c r="R343" i="38"/>
  <c r="F22" i="74"/>
  <c r="G22" i="74"/>
  <c r="H22" i="74"/>
  <c r="F3" i="74"/>
  <c r="F24" i="58"/>
  <c r="G24" i="58"/>
  <c r="H24" i="58"/>
  <c r="F2" i="58"/>
  <c r="N343" i="38" l="1"/>
  <c r="O343" i="38"/>
  <c r="F29" i="48"/>
  <c r="G29" i="48"/>
  <c r="H29" i="48"/>
  <c r="H18" i="40" l="1"/>
  <c r="F36" i="69"/>
  <c r="G36" i="69"/>
  <c r="H36" i="69"/>
  <c r="F24" i="75" l="1"/>
  <c r="G24" i="75"/>
  <c r="H24" i="75"/>
  <c r="AE69" i="75"/>
  <c r="AD69" i="75"/>
  <c r="AE68" i="75"/>
  <c r="AD68" i="75"/>
  <c r="AE67" i="75"/>
  <c r="AD67" i="75"/>
  <c r="AE66" i="75"/>
  <c r="AD66" i="75"/>
  <c r="AE65" i="75"/>
  <c r="AD65" i="75"/>
  <c r="AE64" i="75"/>
  <c r="AD64" i="75"/>
  <c r="AE63" i="75"/>
  <c r="AD63" i="75"/>
  <c r="AE62" i="75"/>
  <c r="AD62" i="75"/>
  <c r="AE61" i="75"/>
  <c r="AD61" i="75"/>
  <c r="P61" i="75"/>
  <c r="AE60" i="75"/>
  <c r="AD60" i="75"/>
  <c r="P60" i="75"/>
  <c r="AE59" i="75"/>
  <c r="AD59" i="75"/>
  <c r="P59" i="75"/>
  <c r="AE58" i="75"/>
  <c r="AD58" i="75"/>
  <c r="P58" i="75"/>
  <c r="AE57" i="75"/>
  <c r="AD57" i="75"/>
  <c r="P57" i="75"/>
  <c r="AE56" i="75"/>
  <c r="AD56" i="75"/>
  <c r="P56" i="75"/>
  <c r="AE55" i="75"/>
  <c r="AD55" i="75"/>
  <c r="P55" i="75"/>
  <c r="AE54" i="75"/>
  <c r="AD54" i="75"/>
  <c r="P54" i="75"/>
  <c r="AE53" i="75"/>
  <c r="AD53" i="75"/>
  <c r="P53" i="75"/>
  <c r="AE52" i="75"/>
  <c r="AD52" i="75"/>
  <c r="P52" i="75"/>
  <c r="AE51" i="75"/>
  <c r="AD51" i="75"/>
  <c r="P51" i="75"/>
  <c r="AE50" i="75"/>
  <c r="AD50" i="75"/>
  <c r="P50" i="75"/>
  <c r="AE49" i="75"/>
  <c r="AD49" i="75"/>
  <c r="P49" i="75"/>
  <c r="AE48" i="75"/>
  <c r="AD48" i="75"/>
  <c r="P48" i="75"/>
  <c r="AE47" i="75"/>
  <c r="AD47" i="75"/>
  <c r="P47" i="75"/>
  <c r="AE46" i="75"/>
  <c r="AD46" i="75"/>
  <c r="P46" i="75"/>
  <c r="AE45" i="75"/>
  <c r="AD45" i="75"/>
  <c r="P45" i="75"/>
  <c r="AE44" i="75"/>
  <c r="AD44" i="75"/>
  <c r="P44" i="75"/>
  <c r="AE43" i="75"/>
  <c r="AD43" i="75"/>
  <c r="P43" i="75"/>
  <c r="AE42" i="75"/>
  <c r="AD42" i="75"/>
  <c r="P42" i="75"/>
  <c r="AE41" i="75"/>
  <c r="AD41" i="75"/>
  <c r="P41" i="75"/>
  <c r="AE40" i="75"/>
  <c r="AD40" i="75"/>
  <c r="AE39" i="75"/>
  <c r="AD39" i="75"/>
  <c r="AE38" i="75"/>
  <c r="AD38" i="75"/>
  <c r="AE37" i="75"/>
  <c r="AD37" i="75"/>
  <c r="AE36" i="75"/>
  <c r="AD36" i="75"/>
  <c r="AE35" i="75"/>
  <c r="AD35" i="75"/>
  <c r="AE34" i="75"/>
  <c r="AD34" i="75"/>
  <c r="AE33" i="75"/>
  <c r="AD33" i="75"/>
  <c r="AE32" i="75"/>
  <c r="AD32" i="75"/>
  <c r="AE31" i="75"/>
  <c r="AD31" i="75"/>
  <c r="AE30" i="75"/>
  <c r="AD30" i="75"/>
  <c r="AE29" i="75"/>
  <c r="AD29" i="75"/>
  <c r="AE28" i="75"/>
  <c r="AD28" i="75"/>
  <c r="AE27" i="75"/>
  <c r="AD27" i="75"/>
  <c r="AE26" i="75"/>
  <c r="AD26" i="75"/>
  <c r="AE25" i="75"/>
  <c r="AD25" i="75"/>
  <c r="AE24" i="75"/>
  <c r="AD24" i="75"/>
  <c r="AE23" i="75"/>
  <c r="AD23" i="75"/>
  <c r="AE22" i="75"/>
  <c r="AD22" i="75"/>
  <c r="AE21" i="75"/>
  <c r="AD21" i="75"/>
  <c r="AE20" i="75"/>
  <c r="AD20" i="75"/>
  <c r="AE19" i="75"/>
  <c r="AD19" i="75"/>
  <c r="AE18" i="75"/>
  <c r="AD18" i="75"/>
  <c r="M18" i="75"/>
  <c r="K18" i="75"/>
  <c r="H18" i="75"/>
  <c r="C18" i="75"/>
  <c r="AE17" i="75"/>
  <c r="AD17" i="75"/>
  <c r="AE16" i="75"/>
  <c r="AD16" i="75"/>
  <c r="AE15" i="75"/>
  <c r="AD15" i="75"/>
  <c r="AE14" i="75"/>
  <c r="AD14" i="75"/>
  <c r="AE13" i="75"/>
  <c r="AD13" i="75"/>
  <c r="AE12" i="75"/>
  <c r="AD12" i="75"/>
  <c r="AE11" i="75"/>
  <c r="AD11" i="75"/>
  <c r="Q11" i="75"/>
  <c r="AE10" i="75"/>
  <c r="AD10" i="75"/>
  <c r="AE9" i="75"/>
  <c r="AD9" i="75"/>
  <c r="AE8" i="75"/>
  <c r="AD8" i="75"/>
  <c r="AE7" i="75"/>
  <c r="AD7" i="75"/>
  <c r="AE6" i="75"/>
  <c r="AD6" i="75"/>
  <c r="AE5" i="75"/>
  <c r="AD5" i="75"/>
  <c r="AE4" i="75"/>
  <c r="AD4" i="75"/>
  <c r="AE3" i="75"/>
  <c r="AD3" i="75"/>
  <c r="AE2" i="75"/>
  <c r="AD2" i="75"/>
  <c r="F2" i="75"/>
  <c r="F18" i="75" s="1"/>
  <c r="F116" i="31"/>
  <c r="H116" i="31"/>
  <c r="G116" i="31"/>
  <c r="F25" i="31"/>
  <c r="H33" i="61"/>
  <c r="G33" i="61"/>
  <c r="F33" i="61"/>
  <c r="F2" i="61"/>
  <c r="M153" i="61"/>
  <c r="H153" i="61"/>
  <c r="C153" i="61"/>
  <c r="K139" i="61"/>
  <c r="F139" i="61"/>
  <c r="K138" i="61"/>
  <c r="F138" i="61"/>
  <c r="K137" i="61"/>
  <c r="F137" i="61"/>
  <c r="F26" i="71"/>
  <c r="G26" i="71"/>
  <c r="H26" i="71"/>
  <c r="F5" i="71"/>
  <c r="F4" i="71"/>
  <c r="F3" i="71"/>
  <c r="E342" i="38"/>
  <c r="H342" i="38"/>
  <c r="K342" i="38"/>
  <c r="L342" i="38" s="1"/>
  <c r="M342" i="38"/>
  <c r="T342" i="38" s="1"/>
  <c r="R342" i="38"/>
  <c r="C154" i="61"/>
  <c r="M154" i="61"/>
  <c r="H19" i="75"/>
  <c r="K154" i="61"/>
  <c r="H154" i="61"/>
  <c r="K19" i="75"/>
  <c r="C19" i="75"/>
  <c r="M19" i="75"/>
  <c r="F154" i="61"/>
  <c r="F19" i="75"/>
  <c r="N342" i="38" l="1"/>
  <c r="Q2" i="75"/>
  <c r="Q8" i="75" s="1"/>
  <c r="F153" i="61"/>
  <c r="K153" i="61"/>
  <c r="Q3" i="75"/>
  <c r="Q6" i="75" s="1"/>
  <c r="O342" i="38"/>
  <c r="F27" i="45"/>
  <c r="G27" i="45"/>
  <c r="H27" i="45"/>
  <c r="F55" i="50"/>
  <c r="G55" i="50"/>
  <c r="H55" i="50"/>
  <c r="M102" i="50"/>
  <c r="H102" i="50"/>
  <c r="C102" i="50"/>
  <c r="K87" i="50"/>
  <c r="F87" i="50"/>
  <c r="K86" i="50"/>
  <c r="F86" i="50"/>
  <c r="H30" i="17"/>
  <c r="G30" i="17"/>
  <c r="F30" i="17"/>
  <c r="M488" i="17"/>
  <c r="K474" i="17"/>
  <c r="K473" i="17"/>
  <c r="K472" i="17"/>
  <c r="K471" i="17"/>
  <c r="K470" i="17"/>
  <c r="F470" i="17"/>
  <c r="K469" i="17"/>
  <c r="F469" i="17"/>
  <c r="K468" i="17"/>
  <c r="F468" i="17"/>
  <c r="K467" i="17"/>
  <c r="F467" i="17"/>
  <c r="K466" i="17"/>
  <c r="F466" i="17"/>
  <c r="K465" i="17"/>
  <c r="F465" i="17"/>
  <c r="K464" i="17"/>
  <c r="F464" i="17"/>
  <c r="K463" i="17"/>
  <c r="F463" i="17"/>
  <c r="K462" i="17"/>
  <c r="F462" i="17"/>
  <c r="K461" i="17"/>
  <c r="F461" i="17"/>
  <c r="K460" i="17"/>
  <c r="F460" i="17"/>
  <c r="K459" i="17"/>
  <c r="F459" i="17"/>
  <c r="K458" i="17"/>
  <c r="F458" i="17"/>
  <c r="K457" i="17"/>
  <c r="F457" i="17"/>
  <c r="K456" i="17"/>
  <c r="F456" i="17"/>
  <c r="K455" i="17"/>
  <c r="F455" i="17"/>
  <c r="K454" i="17"/>
  <c r="F454" i="17"/>
  <c r="K453" i="17"/>
  <c r="F453" i="17"/>
  <c r="K452" i="17"/>
  <c r="F452" i="17"/>
  <c r="K451" i="17"/>
  <c r="F451" i="17"/>
  <c r="K450" i="17"/>
  <c r="F450" i="17"/>
  <c r="K449" i="17"/>
  <c r="F449" i="17"/>
  <c r="K448" i="17"/>
  <c r="F448" i="17"/>
  <c r="K447" i="17"/>
  <c r="F447" i="17"/>
  <c r="K446" i="17"/>
  <c r="F446" i="17"/>
  <c r="K445" i="17"/>
  <c r="F445" i="17"/>
  <c r="K444" i="17"/>
  <c r="F444" i="17"/>
  <c r="K443" i="17"/>
  <c r="F443" i="17"/>
  <c r="K442" i="17"/>
  <c r="F442" i="17"/>
  <c r="F441" i="17"/>
  <c r="F440" i="17"/>
  <c r="K439" i="17"/>
  <c r="F439" i="17"/>
  <c r="K438" i="17"/>
  <c r="F438" i="17"/>
  <c r="K437" i="17"/>
  <c r="F437" i="17"/>
  <c r="K436" i="17"/>
  <c r="F436" i="17"/>
  <c r="K435" i="17"/>
  <c r="F435" i="17"/>
  <c r="K434" i="17"/>
  <c r="F434" i="17"/>
  <c r="K433" i="17"/>
  <c r="F433" i="17"/>
  <c r="K432" i="17"/>
  <c r="F432" i="17"/>
  <c r="F431" i="17"/>
  <c r="K430" i="17"/>
  <c r="F430" i="17"/>
  <c r="K429" i="17"/>
  <c r="F429" i="17"/>
  <c r="K428" i="17"/>
  <c r="F428" i="17"/>
  <c r="K427" i="17"/>
  <c r="F427" i="17"/>
  <c r="K426" i="17"/>
  <c r="F426" i="17"/>
  <c r="F425" i="17"/>
  <c r="F424" i="17"/>
  <c r="F423" i="17"/>
  <c r="F422" i="17"/>
  <c r="F421" i="17"/>
  <c r="F420" i="17"/>
  <c r="F419" i="17"/>
  <c r="F418" i="17"/>
  <c r="F417" i="17"/>
  <c r="F416" i="17"/>
  <c r="F415" i="17"/>
  <c r="F414" i="17"/>
  <c r="F413" i="17"/>
  <c r="F412" i="17"/>
  <c r="F411" i="17"/>
  <c r="F410" i="17"/>
  <c r="F409" i="17"/>
  <c r="F408" i="17"/>
  <c r="F407" i="17"/>
  <c r="F406" i="17"/>
  <c r="F405" i="17"/>
  <c r="F404" i="17"/>
  <c r="F403" i="17"/>
  <c r="F402" i="17"/>
  <c r="F401" i="17"/>
  <c r="F400" i="17"/>
  <c r="F399" i="17"/>
  <c r="F398" i="17"/>
  <c r="F397" i="17"/>
  <c r="F396" i="17"/>
  <c r="F395" i="17"/>
  <c r="F394" i="17"/>
  <c r="F393" i="17"/>
  <c r="F392" i="17"/>
  <c r="F391" i="17"/>
  <c r="F390" i="17"/>
  <c r="F389" i="17"/>
  <c r="F388" i="17"/>
  <c r="F387" i="17"/>
  <c r="F386" i="17"/>
  <c r="F385" i="17"/>
  <c r="F384" i="17"/>
  <c r="F383" i="17"/>
  <c r="K382" i="17"/>
  <c r="F382" i="17"/>
  <c r="K381" i="17"/>
  <c r="F381" i="17"/>
  <c r="K380" i="17"/>
  <c r="F380" i="17"/>
  <c r="K379" i="17"/>
  <c r="F379" i="17"/>
  <c r="K378" i="17"/>
  <c r="F378" i="17"/>
  <c r="K377" i="17"/>
  <c r="F377" i="17"/>
  <c r="K376" i="17"/>
  <c r="F376" i="17"/>
  <c r="K375" i="17"/>
  <c r="F375" i="17"/>
  <c r="K374" i="17"/>
  <c r="F374" i="17"/>
  <c r="K373" i="17"/>
  <c r="F373" i="17"/>
  <c r="K372" i="17"/>
  <c r="F372" i="17"/>
  <c r="K371" i="17"/>
  <c r="F371" i="17"/>
  <c r="K370" i="17"/>
  <c r="F370" i="17"/>
  <c r="K369" i="17"/>
  <c r="F369" i="17"/>
  <c r="K368" i="17"/>
  <c r="F368" i="17"/>
  <c r="K367" i="17"/>
  <c r="F367" i="17"/>
  <c r="K366" i="17"/>
  <c r="F366" i="17"/>
  <c r="K365" i="17"/>
  <c r="F365" i="17"/>
  <c r="K364" i="17"/>
  <c r="F364" i="17"/>
  <c r="K363" i="17"/>
  <c r="F363" i="17"/>
  <c r="K362" i="17"/>
  <c r="F362" i="17"/>
  <c r="K361" i="17"/>
  <c r="F361" i="17"/>
  <c r="K360" i="17"/>
  <c r="F360" i="17"/>
  <c r="K359" i="17"/>
  <c r="F359" i="17"/>
  <c r="K358" i="17"/>
  <c r="F358" i="17"/>
  <c r="K357" i="17"/>
  <c r="F357" i="17"/>
  <c r="K356" i="17"/>
  <c r="F356" i="17"/>
  <c r="K355" i="17"/>
  <c r="F355" i="17"/>
  <c r="K354" i="17"/>
  <c r="F354" i="17"/>
  <c r="K353" i="17"/>
  <c r="F353" i="17"/>
  <c r="K352" i="17"/>
  <c r="F352" i="17"/>
  <c r="K351" i="17"/>
  <c r="F351" i="17"/>
  <c r="K350" i="17"/>
  <c r="F350" i="17"/>
  <c r="K349" i="17"/>
  <c r="F349" i="17"/>
  <c r="K348" i="17"/>
  <c r="F348" i="17"/>
  <c r="K347" i="17"/>
  <c r="F347" i="17"/>
  <c r="K346" i="17"/>
  <c r="F346" i="17"/>
  <c r="K345" i="17"/>
  <c r="F345" i="17"/>
  <c r="K344" i="17"/>
  <c r="F344" i="17"/>
  <c r="K343" i="17"/>
  <c r="F343" i="17"/>
  <c r="K342" i="17"/>
  <c r="F342" i="17"/>
  <c r="K341" i="17"/>
  <c r="F341" i="17"/>
  <c r="K340" i="17"/>
  <c r="F340" i="17"/>
  <c r="K339" i="17"/>
  <c r="F339" i="17"/>
  <c r="K338" i="17"/>
  <c r="F338" i="17"/>
  <c r="K337" i="17"/>
  <c r="F337" i="17"/>
  <c r="K336" i="17"/>
  <c r="F336" i="17"/>
  <c r="K335" i="17"/>
  <c r="F335" i="17"/>
  <c r="K334" i="17"/>
  <c r="F334" i="17"/>
  <c r="K333" i="17"/>
  <c r="F333" i="17"/>
  <c r="K332" i="17"/>
  <c r="F332" i="17"/>
  <c r="K331" i="17"/>
  <c r="F331" i="17"/>
  <c r="K330" i="17"/>
  <c r="F330" i="17"/>
  <c r="K329" i="17"/>
  <c r="F329" i="17"/>
  <c r="K328" i="17"/>
  <c r="F328" i="17"/>
  <c r="K327" i="17"/>
  <c r="F327" i="17"/>
  <c r="K326" i="17"/>
  <c r="F326" i="17"/>
  <c r="K325" i="17"/>
  <c r="F325" i="17"/>
  <c r="K324" i="17"/>
  <c r="F324" i="17"/>
  <c r="K92" i="58"/>
  <c r="F92" i="58"/>
  <c r="H22" i="73"/>
  <c r="G22" i="73"/>
  <c r="F22" i="73"/>
  <c r="M59" i="73"/>
  <c r="H59" i="73"/>
  <c r="C59" i="73"/>
  <c r="K43" i="73"/>
  <c r="K59" i="73" s="1"/>
  <c r="F43" i="73"/>
  <c r="F59" i="73" s="1"/>
  <c r="H25" i="71"/>
  <c r="G25" i="71"/>
  <c r="F25" i="71"/>
  <c r="M64" i="71"/>
  <c r="H64" i="71"/>
  <c r="C64" i="71"/>
  <c r="K49" i="71"/>
  <c r="F49" i="71"/>
  <c r="K48" i="71"/>
  <c r="F48" i="71"/>
  <c r="F25" i="53"/>
  <c r="G25" i="53"/>
  <c r="H25" i="53"/>
  <c r="C85" i="53"/>
  <c r="F79" i="53"/>
  <c r="F78" i="53"/>
  <c r="K77" i="53"/>
  <c r="F77" i="53"/>
  <c r="K76" i="53"/>
  <c r="F76" i="53"/>
  <c r="K75" i="53"/>
  <c r="F75" i="53"/>
  <c r="K74" i="53"/>
  <c r="F74" i="53"/>
  <c r="K73" i="53"/>
  <c r="F73" i="53"/>
  <c r="F225" i="7"/>
  <c r="G225" i="7"/>
  <c r="H225" i="7"/>
  <c r="E341" i="38"/>
  <c r="H341" i="38"/>
  <c r="K341" i="38"/>
  <c r="L341" i="38" s="1"/>
  <c r="M341" i="38"/>
  <c r="T341" i="38" s="1"/>
  <c r="R341" i="38"/>
  <c r="F496" i="25"/>
  <c r="G496" i="25"/>
  <c r="H496" i="25"/>
  <c r="F61" i="40"/>
  <c r="H61" i="40"/>
  <c r="G61" i="40"/>
  <c r="F10" i="40"/>
  <c r="F32" i="70"/>
  <c r="H32" i="70"/>
  <c r="G32" i="70"/>
  <c r="H92" i="70"/>
  <c r="G92" i="70"/>
  <c r="F92" i="70"/>
  <c r="H91" i="70"/>
  <c r="G91" i="70"/>
  <c r="F91" i="70"/>
  <c r="H90" i="70"/>
  <c r="G90" i="70"/>
  <c r="F90" i="70"/>
  <c r="H89" i="70"/>
  <c r="G89" i="70"/>
  <c r="F89" i="70"/>
  <c r="H88" i="70"/>
  <c r="G88" i="70"/>
  <c r="F88" i="70"/>
  <c r="H87" i="70"/>
  <c r="G87" i="70"/>
  <c r="F87" i="70"/>
  <c r="H86" i="70"/>
  <c r="G86" i="70"/>
  <c r="F86" i="70"/>
  <c r="H85" i="70"/>
  <c r="G85" i="70"/>
  <c r="F85" i="70"/>
  <c r="H84" i="70"/>
  <c r="G84" i="70"/>
  <c r="F84" i="70"/>
  <c r="H83" i="70"/>
  <c r="G83" i="70"/>
  <c r="F83" i="70"/>
  <c r="F8" i="70"/>
  <c r="F28" i="57"/>
  <c r="G28" i="57"/>
  <c r="H28" i="57"/>
  <c r="F4" i="57"/>
  <c r="H35" i="51"/>
  <c r="G35" i="51"/>
  <c r="F35" i="51"/>
  <c r="F4" i="51"/>
  <c r="F3" i="51"/>
  <c r="F2" i="51"/>
  <c r="M173" i="51"/>
  <c r="H173" i="51"/>
  <c r="C173" i="51"/>
  <c r="F167" i="51"/>
  <c r="F166" i="51"/>
  <c r="F165" i="51"/>
  <c r="K164" i="51"/>
  <c r="F164" i="51"/>
  <c r="K163" i="51"/>
  <c r="F163" i="51"/>
  <c r="K162" i="51"/>
  <c r="F162" i="51"/>
  <c r="K161" i="51"/>
  <c r="F161" i="51"/>
  <c r="K160" i="51"/>
  <c r="F160" i="51"/>
  <c r="K159" i="51"/>
  <c r="F159" i="51"/>
  <c r="K158" i="51"/>
  <c r="F158" i="51"/>
  <c r="K157" i="51"/>
  <c r="F157" i="51"/>
  <c r="K156" i="51"/>
  <c r="F156" i="51"/>
  <c r="K155" i="51"/>
  <c r="F155" i="51"/>
  <c r="K154" i="51"/>
  <c r="F154" i="51"/>
  <c r="K153" i="51"/>
  <c r="F153" i="51"/>
  <c r="K152" i="51"/>
  <c r="F152" i="51"/>
  <c r="K151" i="51"/>
  <c r="F151" i="51"/>
  <c r="K150" i="51"/>
  <c r="F150" i="51"/>
  <c r="K149" i="51"/>
  <c r="F149" i="51"/>
  <c r="F148" i="51"/>
  <c r="K147" i="51"/>
  <c r="F147" i="51"/>
  <c r="F120" i="51"/>
  <c r="H120" i="51"/>
  <c r="G120" i="51"/>
  <c r="C28" i="51"/>
  <c r="K103" i="50"/>
  <c r="M65" i="71"/>
  <c r="H65" i="71"/>
  <c r="H103" i="50"/>
  <c r="C65" i="71"/>
  <c r="M103" i="50"/>
  <c r="F103" i="50"/>
  <c r="K65" i="71"/>
  <c r="C103" i="50"/>
  <c r="F65" i="71"/>
  <c r="H489" i="17"/>
  <c r="K489" i="17"/>
  <c r="M489" i="17"/>
  <c r="C489" i="17"/>
  <c r="F489" i="17"/>
  <c r="Q5" i="75" l="1"/>
  <c r="K488" i="17"/>
  <c r="F488" i="17"/>
  <c r="M135" i="61"/>
  <c r="K102" i="50"/>
  <c r="Q9" i="75"/>
  <c r="Q7" i="75"/>
  <c r="K64" i="71"/>
  <c r="F102" i="50"/>
  <c r="M41" i="73"/>
  <c r="Q10" i="73" s="1"/>
  <c r="F28" i="51"/>
  <c r="F64" i="71"/>
  <c r="O341" i="38"/>
  <c r="K173" i="51"/>
  <c r="N341" i="38"/>
  <c r="F173" i="51"/>
  <c r="K2" i="57"/>
  <c r="D340" i="38"/>
  <c r="E340" i="38"/>
  <c r="H340" i="38"/>
  <c r="K340" i="38"/>
  <c r="L340" i="38" s="1"/>
  <c r="M340" i="38"/>
  <c r="N340" i="38" s="1"/>
  <c r="R340" i="38"/>
  <c r="F7" i="70"/>
  <c r="F27" i="57"/>
  <c r="G27" i="57"/>
  <c r="H27" i="57"/>
  <c r="F28" i="48"/>
  <c r="G28" i="48"/>
  <c r="H28" i="48"/>
  <c r="M84" i="50" l="1"/>
  <c r="M322" i="17"/>
  <c r="Q10" i="17" s="1"/>
  <c r="M46" i="71"/>
  <c r="Q10" i="71" s="1"/>
  <c r="M145" i="51"/>
  <c r="Q10" i="51" s="1"/>
  <c r="O340" i="38"/>
  <c r="T340" i="38"/>
  <c r="G336" i="38"/>
  <c r="G337" i="38"/>
  <c r="D338" i="38"/>
  <c r="D339" i="38"/>
  <c r="E339" i="38"/>
  <c r="H339" i="38"/>
  <c r="K339" i="38"/>
  <c r="L339" i="38" s="1"/>
  <c r="M339" i="38"/>
  <c r="T339" i="38" s="1"/>
  <c r="R339" i="38"/>
  <c r="F115" i="31"/>
  <c r="H115" i="31"/>
  <c r="G115" i="31"/>
  <c r="F24" i="31"/>
  <c r="F119" i="51"/>
  <c r="H119" i="51"/>
  <c r="G119" i="51"/>
  <c r="O339" i="38" l="1"/>
  <c r="N339" i="38"/>
  <c r="E338" i="38" l="1"/>
  <c r="H338" i="38"/>
  <c r="K338" i="38"/>
  <c r="L338" i="38" s="1"/>
  <c r="M338" i="38"/>
  <c r="T338" i="38" s="1"/>
  <c r="R338" i="38"/>
  <c r="F26" i="57"/>
  <c r="G26" i="57"/>
  <c r="H26" i="57"/>
  <c r="F3" i="57"/>
  <c r="F495" i="25"/>
  <c r="G495" i="25"/>
  <c r="H495" i="25"/>
  <c r="K218" i="25"/>
  <c r="F239" i="25"/>
  <c r="N338" i="38" l="1"/>
  <c r="O338" i="38"/>
  <c r="D337" i="38"/>
  <c r="E337" i="38"/>
  <c r="H337" i="38"/>
  <c r="K337" i="38"/>
  <c r="L337" i="38" s="1"/>
  <c r="M337" i="38"/>
  <c r="T337" i="38" s="1"/>
  <c r="R337" i="38"/>
  <c r="O337" i="38" l="1"/>
  <c r="N337" i="38"/>
  <c r="F114" i="31"/>
  <c r="G114" i="31"/>
  <c r="H114" i="31"/>
  <c r="H25" i="57"/>
  <c r="G25" i="57"/>
  <c r="F25" i="57"/>
  <c r="F2" i="57"/>
  <c r="F31" i="70"/>
  <c r="H31" i="70"/>
  <c r="G31" i="70"/>
  <c r="F6" i="70"/>
  <c r="F2" i="74"/>
  <c r="F18" i="74" s="1"/>
  <c r="AE68" i="74"/>
  <c r="AD68" i="74"/>
  <c r="AE67" i="74"/>
  <c r="AD67" i="74"/>
  <c r="AE66" i="74"/>
  <c r="AD66" i="74"/>
  <c r="AE65" i="74"/>
  <c r="AD65" i="74"/>
  <c r="AE64" i="74"/>
  <c r="AD64" i="74"/>
  <c r="AE63" i="74"/>
  <c r="AD63" i="74"/>
  <c r="P63" i="74"/>
  <c r="AE62" i="74"/>
  <c r="AD62" i="74"/>
  <c r="P62" i="74"/>
  <c r="AE61" i="74"/>
  <c r="AD61" i="74"/>
  <c r="P61" i="74"/>
  <c r="AE60" i="74"/>
  <c r="AD60" i="74"/>
  <c r="P60" i="74"/>
  <c r="AE59" i="74"/>
  <c r="AD59" i="74"/>
  <c r="P59" i="74"/>
  <c r="AE58" i="74"/>
  <c r="AD58" i="74"/>
  <c r="P58" i="74"/>
  <c r="AE57" i="74"/>
  <c r="AD57" i="74"/>
  <c r="P57" i="74"/>
  <c r="AE56" i="74"/>
  <c r="AD56" i="74"/>
  <c r="P56" i="74"/>
  <c r="AE55" i="74"/>
  <c r="AD55" i="74"/>
  <c r="P55" i="74"/>
  <c r="AE54" i="74"/>
  <c r="AD54" i="74"/>
  <c r="P54" i="74"/>
  <c r="AE53" i="74"/>
  <c r="AD53" i="74"/>
  <c r="P53" i="74"/>
  <c r="AE52" i="74"/>
  <c r="AD52" i="74"/>
  <c r="P52" i="74"/>
  <c r="AE51" i="74"/>
  <c r="AD51" i="74"/>
  <c r="P51" i="74"/>
  <c r="AE50" i="74"/>
  <c r="AD50" i="74"/>
  <c r="P50" i="74"/>
  <c r="M50" i="74"/>
  <c r="H50" i="74"/>
  <c r="F50" i="74"/>
  <c r="C50" i="74"/>
  <c r="AE49" i="74"/>
  <c r="AD49" i="74"/>
  <c r="P49" i="74"/>
  <c r="AE48" i="74"/>
  <c r="AD48" i="74"/>
  <c r="P48" i="74"/>
  <c r="AE47" i="74"/>
  <c r="AD47" i="74"/>
  <c r="P47" i="74"/>
  <c r="AE46" i="74"/>
  <c r="AD46" i="74"/>
  <c r="P46" i="74"/>
  <c r="AE45" i="74"/>
  <c r="AD45" i="74"/>
  <c r="P45" i="74"/>
  <c r="AE44" i="74"/>
  <c r="AD44" i="74"/>
  <c r="P44" i="74"/>
  <c r="AE43" i="74"/>
  <c r="AD43" i="74"/>
  <c r="P43" i="74"/>
  <c r="AE42" i="74"/>
  <c r="AD42" i="74"/>
  <c r="AE41" i="74"/>
  <c r="AD41" i="74"/>
  <c r="AE40" i="74"/>
  <c r="AD40" i="74"/>
  <c r="AE39" i="74"/>
  <c r="AD39" i="74"/>
  <c r="K50" i="74"/>
  <c r="AE38" i="74"/>
  <c r="AD38" i="74"/>
  <c r="AE37" i="74"/>
  <c r="AD37" i="74"/>
  <c r="AE36" i="74"/>
  <c r="AD36" i="74"/>
  <c r="AE35" i="74"/>
  <c r="AD35" i="74"/>
  <c r="AE34" i="74"/>
  <c r="AD34" i="74"/>
  <c r="AE33" i="74"/>
  <c r="AD33" i="74"/>
  <c r="AE32" i="74"/>
  <c r="AD32" i="74"/>
  <c r="AE31" i="74"/>
  <c r="AD31" i="74"/>
  <c r="AE30" i="74"/>
  <c r="AD30" i="74"/>
  <c r="AE29" i="74"/>
  <c r="AD29" i="74"/>
  <c r="AE28" i="74"/>
  <c r="AD28" i="74"/>
  <c r="AE27" i="74"/>
  <c r="AD27" i="74"/>
  <c r="AE26" i="74"/>
  <c r="AD26" i="74"/>
  <c r="AE25" i="74"/>
  <c r="AD25" i="74"/>
  <c r="AE24" i="74"/>
  <c r="AD24" i="74"/>
  <c r="AE23" i="74"/>
  <c r="AD23" i="74"/>
  <c r="AE22" i="74"/>
  <c r="AD22" i="74"/>
  <c r="AE21" i="74"/>
  <c r="AD21" i="74"/>
  <c r="H21" i="74"/>
  <c r="G21" i="74"/>
  <c r="F21" i="74"/>
  <c r="AE20" i="74"/>
  <c r="AD20" i="74"/>
  <c r="AE19" i="74"/>
  <c r="AD19" i="74"/>
  <c r="AE18" i="74"/>
  <c r="AD18" i="74"/>
  <c r="M18" i="74"/>
  <c r="K18" i="74"/>
  <c r="H18" i="74"/>
  <c r="C18" i="74"/>
  <c r="AE17" i="74"/>
  <c r="AD17" i="74"/>
  <c r="AE16" i="74"/>
  <c r="AD16" i="74"/>
  <c r="AE15" i="74"/>
  <c r="AD15" i="74"/>
  <c r="AE14" i="74"/>
  <c r="AD14" i="74"/>
  <c r="AE13" i="74"/>
  <c r="AD13" i="74"/>
  <c r="AE12" i="74"/>
  <c r="AD12" i="74"/>
  <c r="AE11" i="74"/>
  <c r="AD11" i="74"/>
  <c r="Q11" i="74"/>
  <c r="AE10" i="74"/>
  <c r="AD10" i="74"/>
  <c r="AE9" i="74"/>
  <c r="AD9" i="74"/>
  <c r="AE8" i="74"/>
  <c r="AD8" i="74"/>
  <c r="AE7" i="74"/>
  <c r="AD7" i="74"/>
  <c r="AE6" i="74"/>
  <c r="AD6" i="74"/>
  <c r="AE5" i="74"/>
  <c r="AD5" i="74"/>
  <c r="AE4" i="74"/>
  <c r="AD4" i="74"/>
  <c r="AE3" i="74"/>
  <c r="AD3" i="74"/>
  <c r="AE2" i="74"/>
  <c r="AD2" i="74"/>
  <c r="D336" i="38"/>
  <c r="E336" i="38"/>
  <c r="H336" i="38"/>
  <c r="K336" i="38"/>
  <c r="L336" i="38" s="1"/>
  <c r="M336" i="38"/>
  <c r="T336" i="38" s="1"/>
  <c r="R336" i="38"/>
  <c r="Q2" i="74" l="1"/>
  <c r="Q5" i="74" s="1"/>
  <c r="N336" i="38"/>
  <c r="O336" i="38"/>
  <c r="M36" i="74"/>
  <c r="Q10" i="74" s="1"/>
  <c r="F31" i="61"/>
  <c r="G31" i="61"/>
  <c r="H31" i="61"/>
  <c r="F30" i="70"/>
  <c r="G30" i="70"/>
  <c r="H30" i="70"/>
  <c r="F60" i="40"/>
  <c r="G60" i="40"/>
  <c r="H60" i="40"/>
  <c r="F118" i="51"/>
  <c r="G118" i="51"/>
  <c r="H118" i="51"/>
  <c r="F35" i="69"/>
  <c r="G35" i="69"/>
  <c r="H35" i="69"/>
  <c r="D335" i="38"/>
  <c r="E335" i="38"/>
  <c r="G335" i="38"/>
  <c r="H335" i="38"/>
  <c r="K335" i="38"/>
  <c r="L335" i="38" s="1"/>
  <c r="M335" i="38"/>
  <c r="T335" i="38" s="1"/>
  <c r="R335" i="38"/>
  <c r="Q8" i="74" l="1"/>
  <c r="Q7" i="74" s="1"/>
  <c r="Q3" i="74"/>
  <c r="Q6" i="74" s="1"/>
  <c r="N335" i="38"/>
  <c r="O335" i="38"/>
  <c r="F30" i="61"/>
  <c r="G30" i="61"/>
  <c r="H30" i="61"/>
  <c r="G327" i="38"/>
  <c r="G328" i="38"/>
  <c r="G329" i="38"/>
  <c r="G330" i="38"/>
  <c r="G331" i="38"/>
  <c r="G332" i="38"/>
  <c r="G333" i="38"/>
  <c r="G334" i="38"/>
  <c r="D331" i="38"/>
  <c r="D332" i="38"/>
  <c r="D333" i="38"/>
  <c r="D334" i="38"/>
  <c r="E334" i="38"/>
  <c r="H334" i="38"/>
  <c r="K334" i="38"/>
  <c r="L334" i="38" s="1"/>
  <c r="M334" i="38"/>
  <c r="T334" i="38" s="1"/>
  <c r="R334" i="38"/>
  <c r="Q9" i="74" l="1"/>
  <c r="N334" i="38"/>
  <c r="O334" i="38"/>
  <c r="D327" i="38"/>
  <c r="D328" i="38"/>
  <c r="D329" i="38"/>
  <c r="D330" i="38"/>
  <c r="E331" i="38"/>
  <c r="H331" i="38"/>
  <c r="K331" i="38"/>
  <c r="L331" i="38" s="1"/>
  <c r="O331" i="38" s="1"/>
  <c r="M331" i="38"/>
  <c r="T331" i="38" s="1"/>
  <c r="R331" i="38"/>
  <c r="E333" i="38"/>
  <c r="H333" i="38"/>
  <c r="K333" i="38"/>
  <c r="M333" i="38"/>
  <c r="T333" i="38" s="1"/>
  <c r="R333" i="38"/>
  <c r="L333" i="38" l="1"/>
  <c r="O333" i="38" s="1"/>
  <c r="N333" i="38"/>
  <c r="N331" i="38"/>
  <c r="C55" i="65"/>
  <c r="H55" i="65"/>
  <c r="M55" i="65"/>
  <c r="M89" i="72"/>
  <c r="H89" i="72"/>
  <c r="C89" i="72"/>
  <c r="K73" i="72"/>
  <c r="K89" i="72" s="1"/>
  <c r="F73" i="72"/>
  <c r="F89" i="72" s="1"/>
  <c r="K39" i="65"/>
  <c r="K55" i="65" s="1"/>
  <c r="F54" i="50"/>
  <c r="H54" i="50"/>
  <c r="G54" i="50"/>
  <c r="F494" i="25"/>
  <c r="H494" i="25"/>
  <c r="G494" i="25"/>
  <c r="F238" i="25"/>
  <c r="K90" i="72"/>
  <c r="C90" i="72"/>
  <c r="F90" i="72"/>
  <c r="M90" i="72"/>
  <c r="H90" i="72"/>
  <c r="M71" i="72" l="1"/>
  <c r="Q10" i="72" s="1"/>
  <c r="E332" i="38"/>
  <c r="H332" i="38"/>
  <c r="K332" i="38"/>
  <c r="L332" i="38" s="1"/>
  <c r="M332" i="38"/>
  <c r="T332" i="38" s="1"/>
  <c r="R332" i="38"/>
  <c r="F26" i="45"/>
  <c r="G26" i="45"/>
  <c r="H26" i="45"/>
  <c r="F4" i="45"/>
  <c r="N332" i="38" l="1"/>
  <c r="O332" i="38"/>
  <c r="F59" i="40"/>
  <c r="G59" i="40"/>
  <c r="H59" i="40"/>
  <c r="F113" i="31"/>
  <c r="G113" i="31"/>
  <c r="H113" i="31"/>
  <c r="F29" i="61"/>
  <c r="G29" i="61"/>
  <c r="H29" i="61"/>
  <c r="F29" i="70"/>
  <c r="G29" i="70"/>
  <c r="H29" i="70"/>
  <c r="F53" i="50"/>
  <c r="H53" i="50"/>
  <c r="G53" i="50"/>
  <c r="F493" i="25"/>
  <c r="H493" i="25"/>
  <c r="G493" i="25"/>
  <c r="K217" i="25"/>
  <c r="F58" i="40" l="1"/>
  <c r="G58" i="40"/>
  <c r="H58" i="40"/>
  <c r="K7" i="40"/>
  <c r="F112" i="31"/>
  <c r="H112" i="31"/>
  <c r="G112" i="31"/>
  <c r="K18" i="31"/>
  <c r="F309" i="17"/>
  <c r="H309" i="17"/>
  <c r="G309" i="17"/>
  <c r="F2" i="17"/>
  <c r="E330" i="38"/>
  <c r="H330" i="38"/>
  <c r="K330" i="38"/>
  <c r="L330" i="38" s="1"/>
  <c r="M330" i="38"/>
  <c r="N330" i="38" s="1"/>
  <c r="R330" i="38"/>
  <c r="O330" i="38" l="1"/>
  <c r="T330" i="38"/>
  <c r="P47" i="70"/>
  <c r="F57" i="40"/>
  <c r="G57" i="40"/>
  <c r="H57" i="40"/>
  <c r="F2" i="53" l="1"/>
  <c r="C18" i="53"/>
  <c r="E329" i="38"/>
  <c r="H329" i="38"/>
  <c r="K329" i="38"/>
  <c r="L329" i="38" s="1"/>
  <c r="M329" i="38"/>
  <c r="T329" i="38" s="1"/>
  <c r="R329" i="38"/>
  <c r="F492" i="25"/>
  <c r="G492" i="25"/>
  <c r="H492" i="25"/>
  <c r="K216" i="25"/>
  <c r="F237" i="25"/>
  <c r="O329" i="38" l="1"/>
  <c r="N329" i="38"/>
  <c r="F111" i="31"/>
  <c r="G111" i="31"/>
  <c r="H111" i="31"/>
  <c r="F308" i="17" l="1"/>
  <c r="G308" i="17"/>
  <c r="H308" i="17"/>
  <c r="F491" i="25"/>
  <c r="H491" i="25"/>
  <c r="G491" i="25"/>
  <c r="F224" i="7"/>
  <c r="H224" i="7"/>
  <c r="E328" i="38"/>
  <c r="H328" i="38"/>
  <c r="K328" i="38"/>
  <c r="L328" i="38" s="1"/>
  <c r="M328" i="38"/>
  <c r="T328" i="38" s="1"/>
  <c r="R328" i="38"/>
  <c r="G224" i="7"/>
  <c r="K88" i="7"/>
  <c r="F25" i="45"/>
  <c r="G25" i="45"/>
  <c r="H25" i="45"/>
  <c r="F3" i="45"/>
  <c r="F110" i="31"/>
  <c r="H110" i="31"/>
  <c r="G110" i="31"/>
  <c r="F23" i="31"/>
  <c r="F236" i="25"/>
  <c r="N328" i="38" l="1"/>
  <c r="O328" i="38"/>
  <c r="E327" i="38"/>
  <c r="H327" i="38"/>
  <c r="K327" i="38"/>
  <c r="L327" i="38" s="1"/>
  <c r="M327" i="38"/>
  <c r="T327" i="38" s="1"/>
  <c r="R327" i="38"/>
  <c r="F28" i="70"/>
  <c r="G28" i="70"/>
  <c r="H28" i="70"/>
  <c r="F5" i="70"/>
  <c r="O327" i="38" l="1"/>
  <c r="N327" i="38"/>
  <c r="F32" i="43"/>
  <c r="G32" i="43"/>
  <c r="H32" i="43"/>
  <c r="H223" i="7"/>
  <c r="G223" i="7"/>
  <c r="F223" i="7"/>
  <c r="F28" i="61"/>
  <c r="G28" i="61"/>
  <c r="H28" i="61"/>
  <c r="R323" i="38"/>
  <c r="R326" i="38"/>
  <c r="G325" i="38"/>
  <c r="G326" i="38"/>
  <c r="D326" i="38"/>
  <c r="E326" i="38"/>
  <c r="H326" i="38"/>
  <c r="K326" i="38"/>
  <c r="L326" i="38" s="1"/>
  <c r="M326" i="38"/>
  <c r="N326" i="38" s="1"/>
  <c r="T326" i="38" l="1"/>
  <c r="O326" i="38"/>
  <c r="H117" i="51"/>
  <c r="G117" i="51"/>
  <c r="F117" i="51"/>
  <c r="F56" i="40"/>
  <c r="G56" i="40"/>
  <c r="H56" i="40"/>
  <c r="F27" i="72"/>
  <c r="G27" i="72"/>
  <c r="H27" i="72"/>
  <c r="F34" i="69"/>
  <c r="G34" i="69"/>
  <c r="H34" i="69"/>
  <c r="D325" i="38" l="1"/>
  <c r="E325" i="38"/>
  <c r="H325" i="38"/>
  <c r="K325" i="38"/>
  <c r="L325" i="38" s="1"/>
  <c r="M325" i="38"/>
  <c r="N325" i="38" s="1"/>
  <c r="R325" i="38"/>
  <c r="F307" i="17"/>
  <c r="G307" i="17"/>
  <c r="H307" i="17"/>
  <c r="F490" i="25"/>
  <c r="G490" i="25"/>
  <c r="H490" i="25"/>
  <c r="D324" i="38"/>
  <c r="E324" i="38"/>
  <c r="G324" i="38"/>
  <c r="H324" i="38"/>
  <c r="K324" i="38"/>
  <c r="L324" i="38" s="1"/>
  <c r="M324" i="38"/>
  <c r="T324" i="38" s="1"/>
  <c r="R324" i="38"/>
  <c r="O325" i="38" l="1"/>
  <c r="N324" i="38"/>
  <c r="O324" i="38"/>
  <c r="T325" i="38"/>
  <c r="F55" i="40"/>
  <c r="H55" i="40"/>
  <c r="G55" i="40"/>
  <c r="F9" i="40"/>
  <c r="D323" i="38"/>
  <c r="E323" i="38"/>
  <c r="G323" i="38"/>
  <c r="H323" i="38"/>
  <c r="K323" i="38"/>
  <c r="L323" i="38" s="1"/>
  <c r="M323" i="38"/>
  <c r="N323" i="38" s="1"/>
  <c r="O323" i="38" l="1"/>
  <c r="T323" i="38"/>
  <c r="F52" i="50" l="1"/>
  <c r="H52" i="50"/>
  <c r="G52" i="50"/>
  <c r="F2" i="50"/>
  <c r="D322" i="38"/>
  <c r="E322" i="38"/>
  <c r="G322" i="38"/>
  <c r="H322" i="38"/>
  <c r="K322" i="38"/>
  <c r="L322" i="38" s="1"/>
  <c r="M322" i="38"/>
  <c r="N322" i="38" s="1"/>
  <c r="R322" i="38"/>
  <c r="F27" i="70"/>
  <c r="G27" i="70"/>
  <c r="H27" i="70"/>
  <c r="K2" i="70"/>
  <c r="F27" i="61"/>
  <c r="G27" i="61"/>
  <c r="H27" i="61"/>
  <c r="H23" i="58"/>
  <c r="G23" i="58"/>
  <c r="F23" i="58"/>
  <c r="G317" i="38"/>
  <c r="G318" i="38"/>
  <c r="G319" i="38"/>
  <c r="G320" i="38"/>
  <c r="G321" i="38"/>
  <c r="D319" i="38"/>
  <c r="D320" i="38"/>
  <c r="D321" i="38"/>
  <c r="O322" i="38" l="1"/>
  <c r="T322" i="38"/>
  <c r="F26" i="61"/>
  <c r="G26" i="61"/>
  <c r="H26" i="61"/>
  <c r="E321" i="38"/>
  <c r="H321" i="38"/>
  <c r="K321" i="38"/>
  <c r="L321" i="38" s="1"/>
  <c r="M321" i="38"/>
  <c r="T321" i="38" s="1"/>
  <c r="R321" i="38"/>
  <c r="O321" i="38" l="1"/>
  <c r="N321" i="38"/>
  <c r="F25" i="61"/>
  <c r="G25" i="61"/>
  <c r="H25" i="61"/>
  <c r="E320" i="38"/>
  <c r="H320" i="38"/>
  <c r="K320" i="38"/>
  <c r="L320" i="38" s="1"/>
  <c r="O320" i="38" s="1"/>
  <c r="M320" i="38"/>
  <c r="T320" i="38" s="1"/>
  <c r="R320" i="38"/>
  <c r="N320" i="38" l="1"/>
  <c r="Q11" i="73"/>
  <c r="U65" i="73"/>
  <c r="E319" i="38" l="1"/>
  <c r="H319" i="38"/>
  <c r="K319" i="38"/>
  <c r="L319" i="38" s="1"/>
  <c r="O319" i="38" s="1"/>
  <c r="M319" i="38"/>
  <c r="T319" i="38" s="1"/>
  <c r="R319" i="38"/>
  <c r="AE69" i="73"/>
  <c r="AD69" i="73"/>
  <c r="AE68" i="73"/>
  <c r="AD68" i="73"/>
  <c r="AE67" i="73"/>
  <c r="AD67" i="73"/>
  <c r="AE66" i="73"/>
  <c r="AD66" i="73"/>
  <c r="AE65" i="73"/>
  <c r="AD65" i="73"/>
  <c r="AE64" i="73"/>
  <c r="AD64" i="73"/>
  <c r="AE63" i="73"/>
  <c r="AD63" i="73"/>
  <c r="AE62" i="73"/>
  <c r="AD62" i="73"/>
  <c r="AE61" i="73"/>
  <c r="AD61" i="73"/>
  <c r="P61" i="73"/>
  <c r="AE60" i="73"/>
  <c r="AD60" i="73"/>
  <c r="P60" i="73"/>
  <c r="AE59" i="73"/>
  <c r="AD59" i="73"/>
  <c r="P59" i="73"/>
  <c r="AE58" i="73"/>
  <c r="AD58" i="73"/>
  <c r="P58" i="73"/>
  <c r="AE57" i="73"/>
  <c r="AD57" i="73"/>
  <c r="P57" i="73"/>
  <c r="AE56" i="73"/>
  <c r="AD56" i="73"/>
  <c r="P56" i="73"/>
  <c r="AE55" i="73"/>
  <c r="AD55" i="73"/>
  <c r="P55" i="73"/>
  <c r="AE54" i="73"/>
  <c r="AD54" i="73"/>
  <c r="P54" i="73"/>
  <c r="AE53" i="73"/>
  <c r="AD53" i="73"/>
  <c r="P53" i="73"/>
  <c r="AE52" i="73"/>
  <c r="AD52" i="73"/>
  <c r="P52" i="73"/>
  <c r="AE51" i="73"/>
  <c r="AD51" i="73"/>
  <c r="P51" i="73"/>
  <c r="AE50" i="73"/>
  <c r="AD50" i="73"/>
  <c r="P50" i="73"/>
  <c r="AE49" i="73"/>
  <c r="AD49" i="73"/>
  <c r="P49" i="73"/>
  <c r="AE48" i="73"/>
  <c r="AD48" i="73"/>
  <c r="P48" i="73"/>
  <c r="AE47" i="73"/>
  <c r="AD47" i="73"/>
  <c r="P47" i="73"/>
  <c r="AE46" i="73"/>
  <c r="AD46" i="73"/>
  <c r="P46" i="73"/>
  <c r="AE45" i="73"/>
  <c r="AD45" i="73"/>
  <c r="P45" i="73"/>
  <c r="AE44" i="73"/>
  <c r="AD44" i="73"/>
  <c r="P44" i="73"/>
  <c r="AE43" i="73"/>
  <c r="AD43" i="73"/>
  <c r="P43" i="73"/>
  <c r="AE42" i="73"/>
  <c r="AD42" i="73"/>
  <c r="P42" i="73"/>
  <c r="AE41" i="73"/>
  <c r="AD41" i="73"/>
  <c r="P41" i="73"/>
  <c r="AE40" i="73"/>
  <c r="AD40" i="73"/>
  <c r="AE39" i="73"/>
  <c r="AD39" i="73"/>
  <c r="AE38" i="73"/>
  <c r="AD38" i="73"/>
  <c r="AE37" i="73"/>
  <c r="AD37" i="73"/>
  <c r="AE36" i="73"/>
  <c r="AD36" i="73"/>
  <c r="AE35" i="73"/>
  <c r="AD35" i="73"/>
  <c r="AE34" i="73"/>
  <c r="AD34" i="73"/>
  <c r="AE33" i="73"/>
  <c r="AD33" i="73"/>
  <c r="AE32" i="73"/>
  <c r="AD32" i="73"/>
  <c r="AE31" i="73"/>
  <c r="AD31" i="73"/>
  <c r="AE30" i="73"/>
  <c r="AD30" i="73"/>
  <c r="AE29" i="73"/>
  <c r="AD29" i="73"/>
  <c r="AE28" i="73"/>
  <c r="AD28" i="73"/>
  <c r="AE27" i="73"/>
  <c r="AD27" i="73"/>
  <c r="AE26" i="73"/>
  <c r="AD26" i="73"/>
  <c r="AE25" i="73"/>
  <c r="AD25" i="73"/>
  <c r="AE24" i="73"/>
  <c r="AD24" i="73"/>
  <c r="AE23" i="73"/>
  <c r="AD23" i="73"/>
  <c r="AE22" i="73"/>
  <c r="AD22" i="73"/>
  <c r="AE21" i="73"/>
  <c r="AD21" i="73"/>
  <c r="AE20" i="73"/>
  <c r="AD20" i="73"/>
  <c r="AE19" i="73"/>
  <c r="AD19" i="73"/>
  <c r="AE18" i="73"/>
  <c r="AD18" i="73"/>
  <c r="M18" i="73"/>
  <c r="H18" i="73"/>
  <c r="C18" i="73"/>
  <c r="AE17" i="73"/>
  <c r="AD17" i="73"/>
  <c r="AE16" i="73"/>
  <c r="AD16" i="73"/>
  <c r="AE15" i="73"/>
  <c r="AD15" i="73"/>
  <c r="AE14" i="73"/>
  <c r="AD14" i="73"/>
  <c r="AE13" i="73"/>
  <c r="AD13" i="73"/>
  <c r="AE12" i="73"/>
  <c r="AD12" i="73"/>
  <c r="AE11" i="73"/>
  <c r="AD11" i="73"/>
  <c r="AE10" i="73"/>
  <c r="AD10" i="73"/>
  <c r="AE9" i="73"/>
  <c r="AD9" i="73"/>
  <c r="AE8" i="73"/>
  <c r="AD8" i="73"/>
  <c r="AE7" i="73"/>
  <c r="AD7" i="73"/>
  <c r="AE6" i="73"/>
  <c r="AD6" i="73"/>
  <c r="AE5" i="73"/>
  <c r="AD5" i="73"/>
  <c r="AE4" i="73"/>
  <c r="AD4" i="73"/>
  <c r="AE3" i="73"/>
  <c r="AD3" i="73"/>
  <c r="AE2" i="73"/>
  <c r="AD2" i="73"/>
  <c r="F18" i="73"/>
  <c r="C19" i="73"/>
  <c r="H19" i="73"/>
  <c r="F19" i="73"/>
  <c r="K19" i="73"/>
  <c r="M19" i="73"/>
  <c r="Q2" i="73" l="1"/>
  <c r="N319" i="38"/>
  <c r="K18" i="73"/>
  <c r="H24" i="45"/>
  <c r="G24" i="45"/>
  <c r="F24" i="45"/>
  <c r="F2" i="45"/>
  <c r="F489" i="25"/>
  <c r="H489" i="25"/>
  <c r="G489" i="25"/>
  <c r="K215" i="25"/>
  <c r="F235" i="25"/>
  <c r="F116" i="51"/>
  <c r="H116" i="51"/>
  <c r="G116" i="51"/>
  <c r="F115" i="51"/>
  <c r="H115" i="51"/>
  <c r="G115" i="51"/>
  <c r="D318" i="38"/>
  <c r="E318" i="38"/>
  <c r="H318" i="38"/>
  <c r="K318" i="38"/>
  <c r="L318" i="38" s="1"/>
  <c r="M318" i="38"/>
  <c r="T318" i="38" s="1"/>
  <c r="R318" i="38"/>
  <c r="Q3" i="73" l="1"/>
  <c r="Q6" i="73" s="1"/>
  <c r="Q8" i="73"/>
  <c r="Q7" i="73" s="1"/>
  <c r="O318" i="38"/>
  <c r="Q5" i="73"/>
  <c r="N318" i="38"/>
  <c r="F306" i="17"/>
  <c r="H306" i="17"/>
  <c r="G306" i="17"/>
  <c r="F109" i="31"/>
  <c r="H109" i="31"/>
  <c r="G109" i="31"/>
  <c r="F22" i="31"/>
  <c r="F108" i="31"/>
  <c r="H108" i="31"/>
  <c r="G108" i="31"/>
  <c r="F107" i="31"/>
  <c r="H107" i="31"/>
  <c r="G107" i="31"/>
  <c r="K17" i="31"/>
  <c r="K16" i="31"/>
  <c r="D317" i="38"/>
  <c r="E317" i="38"/>
  <c r="H317" i="38"/>
  <c r="K317" i="38"/>
  <c r="M317" i="38"/>
  <c r="N317" i="38" s="1"/>
  <c r="R317" i="38"/>
  <c r="Q9" i="73" l="1"/>
  <c r="L317" i="38"/>
  <c r="O317" i="38" s="1"/>
  <c r="T317" i="38"/>
  <c r="F54" i="40"/>
  <c r="H54" i="40"/>
  <c r="G54" i="40"/>
  <c r="F8" i="40"/>
  <c r="G308" i="38"/>
  <c r="G309" i="38"/>
  <c r="G310" i="38"/>
  <c r="G311" i="38"/>
  <c r="G312" i="38"/>
  <c r="G313" i="38"/>
  <c r="G314" i="38"/>
  <c r="G315" i="38"/>
  <c r="G316" i="38"/>
  <c r="D310" i="38"/>
  <c r="D311" i="38"/>
  <c r="D312" i="38"/>
  <c r="D313" i="38"/>
  <c r="D314" i="38"/>
  <c r="D315" i="38"/>
  <c r="D316" i="38"/>
  <c r="F222" i="7"/>
  <c r="H222" i="7"/>
  <c r="G222" i="7"/>
  <c r="F100" i="7"/>
  <c r="F114" i="51"/>
  <c r="H114" i="51"/>
  <c r="G114" i="51"/>
  <c r="H24" i="61"/>
  <c r="G24" i="61"/>
  <c r="F24" i="61"/>
  <c r="F305" i="17"/>
  <c r="H305" i="17"/>
  <c r="G305" i="17"/>
  <c r="F304" i="17"/>
  <c r="H304" i="17"/>
  <c r="G304" i="17"/>
  <c r="F488" i="25"/>
  <c r="H488" i="25"/>
  <c r="G488" i="25"/>
  <c r="E316" i="38"/>
  <c r="H316" i="38"/>
  <c r="K316" i="38"/>
  <c r="L316" i="38" s="1"/>
  <c r="M316" i="38"/>
  <c r="T316" i="38" s="1"/>
  <c r="R316" i="38"/>
  <c r="O316" i="38" l="1"/>
  <c r="N316" i="38"/>
  <c r="AD3" i="3"/>
  <c r="AE3" i="3"/>
  <c r="AD4" i="3"/>
  <c r="AE4" i="3"/>
  <c r="AD5" i="3"/>
  <c r="AE5" i="3"/>
  <c r="AD6" i="3"/>
  <c r="AE6" i="3"/>
  <c r="AD7" i="3"/>
  <c r="AE7" i="3"/>
  <c r="AD8" i="3"/>
  <c r="AE8" i="3"/>
  <c r="AD9" i="3"/>
  <c r="AE9" i="3"/>
  <c r="AD10" i="3"/>
  <c r="AE10" i="3"/>
  <c r="AD11" i="3"/>
  <c r="AE11" i="3"/>
  <c r="AD12" i="3"/>
  <c r="AE12" i="3"/>
  <c r="AD13" i="3"/>
  <c r="AE13" i="3"/>
  <c r="AD14" i="3"/>
  <c r="AE14" i="3"/>
  <c r="AD15" i="3"/>
  <c r="AE15" i="3"/>
  <c r="AD16" i="3"/>
  <c r="AE16" i="3"/>
  <c r="AD17" i="3"/>
  <c r="AE17" i="3"/>
  <c r="AD18" i="3"/>
  <c r="AE18" i="3"/>
  <c r="AD19" i="3"/>
  <c r="AE19" i="3"/>
  <c r="AD20" i="3"/>
  <c r="AE20" i="3"/>
  <c r="AD21" i="3"/>
  <c r="AE21" i="3"/>
  <c r="AD22" i="3"/>
  <c r="AE22" i="3"/>
  <c r="AD23" i="3"/>
  <c r="AE23" i="3"/>
  <c r="AD24" i="3"/>
  <c r="AE24" i="3"/>
  <c r="AD25" i="3"/>
  <c r="AE25" i="3"/>
  <c r="AD26" i="3"/>
  <c r="AE26" i="3"/>
  <c r="AD27" i="3"/>
  <c r="AE27" i="3"/>
  <c r="AD28" i="3"/>
  <c r="AE28" i="3"/>
  <c r="AD29" i="3"/>
  <c r="AE29" i="3"/>
  <c r="AD30" i="3"/>
  <c r="AE30" i="3"/>
  <c r="AD31" i="3"/>
  <c r="AE31" i="3"/>
  <c r="AD32" i="3"/>
  <c r="AE32" i="3"/>
  <c r="AD33" i="3"/>
  <c r="AE33" i="3"/>
  <c r="AD34" i="3"/>
  <c r="AE34" i="3"/>
  <c r="AD35" i="3"/>
  <c r="AE35" i="3"/>
  <c r="AD36" i="3"/>
  <c r="AE36" i="3"/>
  <c r="AD37" i="3"/>
  <c r="AE37" i="3"/>
  <c r="AD38" i="3"/>
  <c r="AE38" i="3"/>
  <c r="AD39" i="3"/>
  <c r="AE39" i="3"/>
  <c r="AD40" i="3"/>
  <c r="AE40" i="3"/>
  <c r="AD41" i="3"/>
  <c r="AE41" i="3"/>
  <c r="AD2" i="3"/>
  <c r="F53" i="40" l="1"/>
  <c r="G53" i="40"/>
  <c r="H53" i="40"/>
  <c r="M315" i="38"/>
  <c r="T315" i="38" s="1"/>
  <c r="E315" i="38"/>
  <c r="H315" i="38"/>
  <c r="K315" i="38"/>
  <c r="L315" i="38" s="1"/>
  <c r="R315" i="38"/>
  <c r="F221" i="7"/>
  <c r="H221" i="7"/>
  <c r="G221" i="7"/>
  <c r="K87" i="7"/>
  <c r="F113" i="51"/>
  <c r="H113" i="51"/>
  <c r="G113" i="51"/>
  <c r="F487" i="25"/>
  <c r="H487" i="25"/>
  <c r="G487" i="25"/>
  <c r="K214" i="25"/>
  <c r="F234" i="25"/>
  <c r="M19" i="40"/>
  <c r="C19" i="40"/>
  <c r="H19" i="40"/>
  <c r="N315" i="38" l="1"/>
  <c r="O315" i="38"/>
  <c r="F220" i="7"/>
  <c r="H220" i="7"/>
  <c r="G220" i="7"/>
  <c r="K86" i="7"/>
  <c r="F112" i="51"/>
  <c r="H112" i="51"/>
  <c r="G112" i="51"/>
  <c r="E314" i="38"/>
  <c r="H314" i="38"/>
  <c r="K314" i="38"/>
  <c r="L314" i="38" s="1"/>
  <c r="M314" i="38"/>
  <c r="T314" i="38" s="1"/>
  <c r="R314" i="38"/>
  <c r="N314" i="38" l="1"/>
  <c r="O314" i="38"/>
  <c r="F219" i="7" l="1"/>
  <c r="H219" i="7"/>
  <c r="G219" i="7"/>
  <c r="K85" i="7"/>
  <c r="F33" i="68"/>
  <c r="H33" i="68"/>
  <c r="G33" i="68"/>
  <c r="F486" i="25"/>
  <c r="H486" i="25"/>
  <c r="G486" i="25"/>
  <c r="F222" i="25"/>
  <c r="F233" i="25"/>
  <c r="K213" i="25"/>
  <c r="F303" i="17"/>
  <c r="H303" i="17"/>
  <c r="G303" i="17"/>
  <c r="M110" i="54"/>
  <c r="H110" i="54"/>
  <c r="C110" i="54"/>
  <c r="F100" i="54"/>
  <c r="K99" i="54"/>
  <c r="F99" i="54"/>
  <c r="K98" i="54"/>
  <c r="F98" i="54"/>
  <c r="K97" i="54"/>
  <c r="F97" i="54"/>
  <c r="K96" i="54"/>
  <c r="F96" i="54"/>
  <c r="K95" i="54"/>
  <c r="F95" i="54"/>
  <c r="K94" i="54"/>
  <c r="F94" i="54"/>
  <c r="M131" i="61"/>
  <c r="H131" i="61"/>
  <c r="C131" i="61"/>
  <c r="K126" i="61"/>
  <c r="F126" i="61"/>
  <c r="K125" i="61"/>
  <c r="F125" i="61"/>
  <c r="K124" i="61"/>
  <c r="F124" i="61"/>
  <c r="K123" i="61"/>
  <c r="F123" i="61"/>
  <c r="K122" i="61"/>
  <c r="F122" i="61"/>
  <c r="K121" i="61"/>
  <c r="F121" i="61"/>
  <c r="K120" i="61"/>
  <c r="F120" i="61"/>
  <c r="K119" i="61"/>
  <c r="F119" i="61"/>
  <c r="K118" i="61"/>
  <c r="F118" i="61"/>
  <c r="K117" i="61"/>
  <c r="F117" i="61"/>
  <c r="K116" i="61"/>
  <c r="F116" i="61"/>
  <c r="K115" i="61"/>
  <c r="F115" i="61"/>
  <c r="K18" i="61"/>
  <c r="H18" i="61"/>
  <c r="H102" i="58"/>
  <c r="C102" i="58"/>
  <c r="F2" i="71"/>
  <c r="E313" i="38"/>
  <c r="H313" i="38"/>
  <c r="K313" i="38"/>
  <c r="L313" i="38" s="1"/>
  <c r="M313" i="38"/>
  <c r="T313" i="38" s="1"/>
  <c r="R313" i="38"/>
  <c r="K111" i="54"/>
  <c r="C111" i="54"/>
  <c r="M111" i="54"/>
  <c r="K132" i="61"/>
  <c r="H111" i="54"/>
  <c r="F111" i="54"/>
  <c r="M132" i="61"/>
  <c r="H132" i="61"/>
  <c r="F132" i="61"/>
  <c r="C132" i="61"/>
  <c r="N313" i="38" l="1"/>
  <c r="K110" i="54"/>
  <c r="K131" i="61"/>
  <c r="O313" i="38"/>
  <c r="F110" i="54"/>
  <c r="F131" i="61"/>
  <c r="K40" i="67"/>
  <c r="F40" i="67"/>
  <c r="K119" i="45"/>
  <c r="F119" i="45"/>
  <c r="K118" i="45"/>
  <c r="F118" i="45"/>
  <c r="K117" i="45"/>
  <c r="F117" i="45"/>
  <c r="F302" i="17"/>
  <c r="H302" i="17"/>
  <c r="G302" i="17"/>
  <c r="E312" i="38"/>
  <c r="H312" i="38"/>
  <c r="K312" i="38"/>
  <c r="L312" i="38" s="1"/>
  <c r="M312" i="38"/>
  <c r="T312" i="38" s="1"/>
  <c r="R312" i="38"/>
  <c r="F218" i="7"/>
  <c r="H218" i="7"/>
  <c r="G218" i="7"/>
  <c r="K84" i="7"/>
  <c r="K83" i="7"/>
  <c r="D308" i="38"/>
  <c r="D309" i="38"/>
  <c r="E311" i="38"/>
  <c r="H311" i="38"/>
  <c r="K311" i="38"/>
  <c r="M311" i="38"/>
  <c r="T311" i="38" s="1"/>
  <c r="R311" i="38"/>
  <c r="N312" i="38" l="1"/>
  <c r="M113" i="61"/>
  <c r="Q10" i="61" s="1"/>
  <c r="L311" i="38"/>
  <c r="O311" i="38" s="1"/>
  <c r="M92" i="54"/>
  <c r="Q10" i="54" s="1"/>
  <c r="O312" i="38"/>
  <c r="N311" i="38"/>
  <c r="F31" i="43"/>
  <c r="G31" i="43"/>
  <c r="H31" i="43"/>
  <c r="H26" i="72"/>
  <c r="G26" i="72"/>
  <c r="F26" i="72"/>
  <c r="F485" i="25"/>
  <c r="G485" i="25"/>
  <c r="H485" i="25"/>
  <c r="F26" i="70" l="1"/>
  <c r="G26" i="70"/>
  <c r="H26" i="70"/>
  <c r="F4" i="70"/>
  <c r="F301" i="17"/>
  <c r="H301" i="17"/>
  <c r="G301" i="17"/>
  <c r="F63" i="54"/>
  <c r="H63" i="54"/>
  <c r="G63" i="54"/>
  <c r="F111" i="51"/>
  <c r="H111" i="51"/>
  <c r="G111" i="51"/>
  <c r="F100" i="45"/>
  <c r="H100" i="45"/>
  <c r="G100" i="45"/>
  <c r="E310" i="38"/>
  <c r="H310" i="38"/>
  <c r="K310" i="38"/>
  <c r="L310" i="38" s="1"/>
  <c r="M310" i="38"/>
  <c r="T310" i="38" s="1"/>
  <c r="R310" i="38"/>
  <c r="M19" i="45"/>
  <c r="N310" i="38" l="1"/>
  <c r="O310" i="38"/>
  <c r="F32" i="67"/>
  <c r="G32" i="67"/>
  <c r="H32" i="67"/>
  <c r="F52" i="40"/>
  <c r="G52" i="40"/>
  <c r="H52" i="40"/>
  <c r="E309" i="38"/>
  <c r="H309" i="38"/>
  <c r="K309" i="38"/>
  <c r="L309" i="38" s="1"/>
  <c r="M309" i="38"/>
  <c r="T309" i="38" s="1"/>
  <c r="R309" i="38"/>
  <c r="F106" i="31"/>
  <c r="H106" i="31"/>
  <c r="G106" i="31"/>
  <c r="F21" i="31"/>
  <c r="F217" i="7"/>
  <c r="H217" i="7"/>
  <c r="G217" i="7"/>
  <c r="F99" i="7"/>
  <c r="F98" i="7"/>
  <c r="F484" i="25"/>
  <c r="H484" i="25"/>
  <c r="F300" i="17"/>
  <c r="H300" i="17"/>
  <c r="G300" i="17"/>
  <c r="F299" i="17"/>
  <c r="H299" i="17"/>
  <c r="G299" i="17"/>
  <c r="G484" i="25"/>
  <c r="F232" i="25"/>
  <c r="F105" i="61"/>
  <c r="H105" i="61"/>
  <c r="G105" i="61"/>
  <c r="F483" i="25"/>
  <c r="H483" i="25"/>
  <c r="G483" i="25"/>
  <c r="K212" i="25"/>
  <c r="N309" i="38" l="1"/>
  <c r="O309" i="38"/>
  <c r="F110" i="51"/>
  <c r="G110" i="51"/>
  <c r="H110" i="51"/>
  <c r="F105" i="31"/>
  <c r="H105" i="31"/>
  <c r="G105" i="31"/>
  <c r="F33" i="69"/>
  <c r="G33" i="69"/>
  <c r="H33" i="69"/>
  <c r="E308" i="38"/>
  <c r="H308" i="38"/>
  <c r="K308" i="38"/>
  <c r="L308" i="38" s="1"/>
  <c r="M308" i="38"/>
  <c r="T308" i="38" s="1"/>
  <c r="R308" i="38"/>
  <c r="AE69" i="72"/>
  <c r="AD69" i="72"/>
  <c r="AE68" i="72"/>
  <c r="AD68" i="72"/>
  <c r="AE67" i="72"/>
  <c r="AD67" i="72"/>
  <c r="AE66" i="72"/>
  <c r="AD66" i="72"/>
  <c r="AE65" i="72"/>
  <c r="AD65" i="72"/>
  <c r="AE64" i="72"/>
  <c r="AD64" i="72"/>
  <c r="AE63" i="72"/>
  <c r="AD63" i="72"/>
  <c r="AE62" i="72"/>
  <c r="AD62" i="72"/>
  <c r="AE61" i="72"/>
  <c r="AD61" i="72"/>
  <c r="P61" i="72"/>
  <c r="AE60" i="72"/>
  <c r="AD60" i="72"/>
  <c r="P60" i="72"/>
  <c r="AE59" i="72"/>
  <c r="AD59" i="72"/>
  <c r="P59" i="72"/>
  <c r="AE58" i="72"/>
  <c r="AD58" i="72"/>
  <c r="P58" i="72"/>
  <c r="AE57" i="72"/>
  <c r="AD57" i="72"/>
  <c r="P57" i="72"/>
  <c r="AE56" i="72"/>
  <c r="AD56" i="72"/>
  <c r="P56" i="72"/>
  <c r="AE55" i="72"/>
  <c r="AD55" i="72"/>
  <c r="P55" i="72"/>
  <c r="AE54" i="72"/>
  <c r="AD54" i="72"/>
  <c r="P54" i="72"/>
  <c r="AE53" i="72"/>
  <c r="AD53" i="72"/>
  <c r="P53" i="72"/>
  <c r="AE52" i="72"/>
  <c r="AD52" i="72"/>
  <c r="P52" i="72"/>
  <c r="AE51" i="72"/>
  <c r="AD51" i="72"/>
  <c r="P51" i="72"/>
  <c r="AE50" i="72"/>
  <c r="AD50" i="72"/>
  <c r="P50" i="72"/>
  <c r="AE49" i="72"/>
  <c r="AD49" i="72"/>
  <c r="P49" i="72"/>
  <c r="AE48" i="72"/>
  <c r="AD48" i="72"/>
  <c r="P48" i="72"/>
  <c r="AE47" i="72"/>
  <c r="AD47" i="72"/>
  <c r="P47" i="72"/>
  <c r="AE46" i="72"/>
  <c r="AD46" i="72"/>
  <c r="P46" i="72"/>
  <c r="AE45" i="72"/>
  <c r="AD45" i="72"/>
  <c r="P45" i="72"/>
  <c r="AE44" i="72"/>
  <c r="AD44" i="72"/>
  <c r="P44" i="72"/>
  <c r="AE43" i="72"/>
  <c r="AD43" i="72"/>
  <c r="P43" i="72"/>
  <c r="AE42" i="72"/>
  <c r="AD42" i="72"/>
  <c r="P42" i="72"/>
  <c r="AE41" i="72"/>
  <c r="AD41" i="72"/>
  <c r="P41" i="72"/>
  <c r="AE40" i="72"/>
  <c r="AD40" i="72"/>
  <c r="AE39" i="72"/>
  <c r="AD39" i="72"/>
  <c r="AE38" i="72"/>
  <c r="AD38" i="72"/>
  <c r="AE37" i="72"/>
  <c r="AD37" i="72"/>
  <c r="AE36" i="72"/>
  <c r="AD36" i="72"/>
  <c r="AE35" i="72"/>
  <c r="AD35" i="72"/>
  <c r="AE34" i="72"/>
  <c r="AD34" i="72"/>
  <c r="AE33" i="72"/>
  <c r="AD33" i="72"/>
  <c r="AE32" i="72"/>
  <c r="AD32" i="72"/>
  <c r="AE31" i="72"/>
  <c r="AD31" i="72"/>
  <c r="AE30" i="72"/>
  <c r="AD30" i="72"/>
  <c r="AE29" i="72"/>
  <c r="AD29" i="72"/>
  <c r="AE28" i="72"/>
  <c r="AD28" i="72"/>
  <c r="AE27" i="72"/>
  <c r="AD27" i="72"/>
  <c r="AE26" i="72"/>
  <c r="AD26" i="72"/>
  <c r="AE25" i="72"/>
  <c r="AD25" i="72"/>
  <c r="H25" i="72"/>
  <c r="G25" i="72"/>
  <c r="F25" i="72"/>
  <c r="AE24" i="72"/>
  <c r="AD24" i="72"/>
  <c r="AE23" i="72"/>
  <c r="AD23" i="72"/>
  <c r="AE22" i="72"/>
  <c r="AD22" i="72"/>
  <c r="AE21" i="72"/>
  <c r="AD21" i="72"/>
  <c r="AE20" i="72"/>
  <c r="AD20" i="72"/>
  <c r="AE19" i="72"/>
  <c r="AD19" i="72"/>
  <c r="AE18" i="72"/>
  <c r="AD18" i="72"/>
  <c r="M18" i="72"/>
  <c r="K18" i="72"/>
  <c r="H18" i="72"/>
  <c r="C18" i="72"/>
  <c r="AE17" i="72"/>
  <c r="AD17" i="72"/>
  <c r="AE16" i="72"/>
  <c r="AD16" i="72"/>
  <c r="AE15" i="72"/>
  <c r="AD15" i="72"/>
  <c r="AE14" i="72"/>
  <c r="AD14" i="72"/>
  <c r="AE13" i="72"/>
  <c r="AD13" i="72"/>
  <c r="AE12" i="72"/>
  <c r="AD12" i="72"/>
  <c r="AE11" i="72"/>
  <c r="AD11" i="72"/>
  <c r="Q11" i="72"/>
  <c r="AE10" i="72"/>
  <c r="AD10" i="72"/>
  <c r="AE9" i="72"/>
  <c r="AD9" i="72"/>
  <c r="AE8" i="72"/>
  <c r="AD8" i="72"/>
  <c r="AE7" i="72"/>
  <c r="AD7" i="72"/>
  <c r="AE6" i="72"/>
  <c r="AD6" i="72"/>
  <c r="AE5" i="72"/>
  <c r="AD5" i="72"/>
  <c r="AE4" i="72"/>
  <c r="AD4" i="72"/>
  <c r="AE3" i="72"/>
  <c r="AD3" i="72"/>
  <c r="AE2" i="72"/>
  <c r="AD2" i="72"/>
  <c r="F18" i="72"/>
  <c r="F216" i="7"/>
  <c r="H216" i="7"/>
  <c r="G216" i="7"/>
  <c r="F97" i="7"/>
  <c r="F76" i="58"/>
  <c r="H76" i="58"/>
  <c r="G76" i="58"/>
  <c r="F32" i="68"/>
  <c r="H32" i="68"/>
  <c r="G32" i="68"/>
  <c r="F4" i="68"/>
  <c r="F211" i="25"/>
  <c r="F482" i="25"/>
  <c r="H482" i="25"/>
  <c r="G482" i="25"/>
  <c r="K211" i="25"/>
  <c r="K210" i="25"/>
  <c r="K209" i="25"/>
  <c r="K208" i="25"/>
  <c r="K207" i="25"/>
  <c r="M19" i="72"/>
  <c r="K19" i="72"/>
  <c r="H19" i="72"/>
  <c r="F19" i="72"/>
  <c r="C19" i="72"/>
  <c r="Q2" i="72" l="1"/>
  <c r="Q8" i="72" s="1"/>
  <c r="Q7" i="72" s="1"/>
  <c r="N308" i="38"/>
  <c r="O308" i="38"/>
  <c r="F481" i="25"/>
  <c r="H481" i="25"/>
  <c r="G481" i="25"/>
  <c r="D307" i="38"/>
  <c r="E307" i="38"/>
  <c r="G307" i="38"/>
  <c r="H307" i="38"/>
  <c r="K307" i="38"/>
  <c r="L307" i="38" s="1"/>
  <c r="M307" i="38"/>
  <c r="T307" i="38" s="1"/>
  <c r="R307" i="38"/>
  <c r="F231" i="25"/>
  <c r="Q3" i="72" l="1"/>
  <c r="Q6" i="72" s="1"/>
  <c r="Q9" i="72" s="1"/>
  <c r="Q5" i="72"/>
  <c r="N307" i="38"/>
  <c r="O307" i="38"/>
  <c r="G303" i="38"/>
  <c r="G304" i="38"/>
  <c r="G305" i="38"/>
  <c r="G306" i="38"/>
  <c r="D305" i="38"/>
  <c r="D306" i="38"/>
  <c r="E306" i="38"/>
  <c r="H306" i="38"/>
  <c r="K306" i="38"/>
  <c r="L306" i="38" s="1"/>
  <c r="M306" i="38"/>
  <c r="T306" i="38" s="1"/>
  <c r="R306" i="38"/>
  <c r="F209" i="25"/>
  <c r="F210" i="25"/>
  <c r="F212" i="25"/>
  <c r="F213" i="25"/>
  <c r="F214" i="25"/>
  <c r="F215" i="25"/>
  <c r="F216" i="25"/>
  <c r="F217" i="25"/>
  <c r="F218" i="25"/>
  <c r="F219" i="25"/>
  <c r="F220" i="25"/>
  <c r="F221" i="25"/>
  <c r="F223" i="25"/>
  <c r="F224" i="25"/>
  <c r="F225" i="25"/>
  <c r="F226" i="25"/>
  <c r="F227" i="25"/>
  <c r="F228" i="25"/>
  <c r="F229" i="25"/>
  <c r="F230" i="25"/>
  <c r="N306" i="38" l="1"/>
  <c r="O306" i="38"/>
  <c r="F480" i="25"/>
  <c r="G480" i="25"/>
  <c r="H480" i="25"/>
  <c r="F51" i="40"/>
  <c r="H51" i="40"/>
  <c r="G51" i="40"/>
  <c r="K6" i="40"/>
  <c r="F215" i="7" l="1"/>
  <c r="H215" i="7"/>
  <c r="G215" i="7"/>
  <c r="K82" i="7"/>
  <c r="F298" i="17" l="1"/>
  <c r="H298" i="17"/>
  <c r="G298" i="17"/>
  <c r="H27" i="48"/>
  <c r="G27" i="48"/>
  <c r="F27" i="48"/>
  <c r="F2" i="48"/>
  <c r="F479" i="25" l="1"/>
  <c r="G479" i="25"/>
  <c r="H479" i="25"/>
  <c r="F28" i="65" l="1"/>
  <c r="G28" i="65"/>
  <c r="H28" i="65"/>
  <c r="F51" i="50"/>
  <c r="G51" i="50"/>
  <c r="H51" i="50"/>
  <c r="F31" i="67"/>
  <c r="G31" i="67"/>
  <c r="H31" i="67"/>
  <c r="F31" i="68"/>
  <c r="G31" i="68"/>
  <c r="H31" i="68"/>
  <c r="F30" i="43"/>
  <c r="G30" i="43"/>
  <c r="H30" i="43"/>
  <c r="F32" i="69"/>
  <c r="G32" i="69"/>
  <c r="H32" i="69"/>
  <c r="E305" i="38"/>
  <c r="H305" i="38"/>
  <c r="K305" i="38"/>
  <c r="L305" i="38" s="1"/>
  <c r="M305" i="38"/>
  <c r="T305" i="38" s="1"/>
  <c r="R305" i="38"/>
  <c r="F50" i="40"/>
  <c r="H50" i="40"/>
  <c r="G50" i="40"/>
  <c r="K5" i="40"/>
  <c r="F104" i="61"/>
  <c r="H104" i="61"/>
  <c r="G104" i="61"/>
  <c r="F214" i="7"/>
  <c r="H214" i="7"/>
  <c r="G214" i="7"/>
  <c r="K81" i="7"/>
  <c r="F96" i="7"/>
  <c r="F62" i="54"/>
  <c r="H62" i="54"/>
  <c r="G62" i="54"/>
  <c r="K18" i="64"/>
  <c r="M84" i="64"/>
  <c r="H84" i="64"/>
  <c r="C84" i="64"/>
  <c r="F70" i="64"/>
  <c r="K69" i="64"/>
  <c r="F69" i="64"/>
  <c r="K68" i="64"/>
  <c r="F68" i="64"/>
  <c r="H18" i="64"/>
  <c r="M99" i="34"/>
  <c r="H99" i="34"/>
  <c r="C99" i="34"/>
  <c r="F92" i="34"/>
  <c r="F91" i="34"/>
  <c r="F90" i="34"/>
  <c r="F89" i="34"/>
  <c r="K88" i="34"/>
  <c r="F88" i="34"/>
  <c r="K87" i="34"/>
  <c r="F87" i="34"/>
  <c r="K86" i="34"/>
  <c r="F86" i="34"/>
  <c r="K85" i="34"/>
  <c r="F85" i="34"/>
  <c r="K84" i="34"/>
  <c r="F84" i="34"/>
  <c r="K83" i="34"/>
  <c r="F83" i="34"/>
  <c r="H18" i="34"/>
  <c r="K18" i="34"/>
  <c r="F104" i="31"/>
  <c r="H104" i="31"/>
  <c r="G104" i="31"/>
  <c r="K15" i="31"/>
  <c r="F20" i="31"/>
  <c r="F19" i="31"/>
  <c r="K14" i="31"/>
  <c r="K13" i="31"/>
  <c r="F109" i="51"/>
  <c r="H109" i="51"/>
  <c r="G109" i="51"/>
  <c r="F99" i="45"/>
  <c r="H99" i="45"/>
  <c r="G99" i="45"/>
  <c r="F297" i="17"/>
  <c r="G297" i="17"/>
  <c r="H297" i="17"/>
  <c r="F478" i="25"/>
  <c r="H478" i="25"/>
  <c r="G478" i="25"/>
  <c r="K206" i="25"/>
  <c r="K205" i="25"/>
  <c r="K204" i="25"/>
  <c r="K203" i="25"/>
  <c r="K202" i="25"/>
  <c r="K201" i="25"/>
  <c r="K200" i="25"/>
  <c r="H25" i="70"/>
  <c r="G25" i="70"/>
  <c r="F25" i="70"/>
  <c r="F3" i="70"/>
  <c r="F2" i="70"/>
  <c r="M71" i="70"/>
  <c r="H71" i="70"/>
  <c r="C71" i="70"/>
  <c r="F58" i="70"/>
  <c r="K57" i="70"/>
  <c r="F57" i="70"/>
  <c r="K56" i="70"/>
  <c r="F56" i="70"/>
  <c r="K55" i="70"/>
  <c r="F55" i="70"/>
  <c r="F100" i="34"/>
  <c r="F72" i="70"/>
  <c r="K72" i="70"/>
  <c r="F85" i="64"/>
  <c r="H19" i="64"/>
  <c r="C85" i="64"/>
  <c r="H100" i="34"/>
  <c r="H85" i="64"/>
  <c r="K100" i="34"/>
  <c r="C72" i="70"/>
  <c r="M72" i="70"/>
  <c r="K85" i="64"/>
  <c r="H72" i="70"/>
  <c r="M85" i="64"/>
  <c r="M100" i="34"/>
  <c r="C100" i="34"/>
  <c r="C23" i="17"/>
  <c r="H23" i="17"/>
  <c r="F84" i="64" l="1"/>
  <c r="K84" i="64"/>
  <c r="F99" i="34"/>
  <c r="N305" i="38"/>
  <c r="O305" i="38"/>
  <c r="K99" i="34"/>
  <c r="F71" i="70"/>
  <c r="K71" i="70"/>
  <c r="F49" i="40"/>
  <c r="H49" i="40"/>
  <c r="G49" i="40"/>
  <c r="F7" i="40"/>
  <c r="D304" i="38"/>
  <c r="E304" i="38"/>
  <c r="H304" i="38"/>
  <c r="K304" i="38"/>
  <c r="L304" i="38" s="1"/>
  <c r="M304" i="38"/>
  <c r="T304" i="38" s="1"/>
  <c r="R304" i="38"/>
  <c r="F477" i="25"/>
  <c r="H477" i="25"/>
  <c r="G477" i="25"/>
  <c r="F296" i="17"/>
  <c r="H296" i="17"/>
  <c r="G296" i="17"/>
  <c r="F98" i="45"/>
  <c r="H98" i="45"/>
  <c r="G98" i="45"/>
  <c r="M53" i="70" l="1"/>
  <c r="Q10" i="70" s="1"/>
  <c r="M81" i="34"/>
  <c r="Q10" i="34" s="1"/>
  <c r="M66" i="64"/>
  <c r="Q10" i="64" s="1"/>
  <c r="N304" i="38"/>
  <c r="O304" i="38"/>
  <c r="D303" i="38" l="1"/>
  <c r="E303" i="38"/>
  <c r="H303" i="38"/>
  <c r="K303" i="38"/>
  <c r="L303" i="38" s="1"/>
  <c r="M303" i="38"/>
  <c r="T303" i="38" s="1"/>
  <c r="R303" i="38"/>
  <c r="F31" i="69"/>
  <c r="H31" i="69"/>
  <c r="G31" i="69"/>
  <c r="F4" i="69"/>
  <c r="F213" i="7"/>
  <c r="H213" i="7"/>
  <c r="G213" i="7"/>
  <c r="K80" i="7"/>
  <c r="F108" i="51"/>
  <c r="H108" i="51"/>
  <c r="G108" i="51"/>
  <c r="C18" i="61"/>
  <c r="F103" i="61"/>
  <c r="H103" i="61"/>
  <c r="G103" i="61"/>
  <c r="F476" i="25"/>
  <c r="H476" i="25"/>
  <c r="G476" i="25"/>
  <c r="K199" i="25"/>
  <c r="K198" i="25"/>
  <c r="N303" i="38" l="1"/>
  <c r="O303" i="38"/>
  <c r="F103" i="31"/>
  <c r="G103" i="31"/>
  <c r="H103" i="31"/>
  <c r="F295" i="17"/>
  <c r="G295" i="17"/>
  <c r="H295" i="17"/>
  <c r="F61" i="54"/>
  <c r="G61" i="54"/>
  <c r="H61" i="54"/>
  <c r="F50" i="50"/>
  <c r="G50" i="50"/>
  <c r="H50" i="50"/>
  <c r="F75" i="58"/>
  <c r="G75" i="58"/>
  <c r="H75" i="58"/>
  <c r="F36" i="64"/>
  <c r="G36" i="64"/>
  <c r="H36" i="64"/>
  <c r="F107" i="51"/>
  <c r="H107" i="51"/>
  <c r="G107" i="51"/>
  <c r="D302" i="38"/>
  <c r="E302" i="38"/>
  <c r="G302" i="38"/>
  <c r="H302" i="38"/>
  <c r="K302" i="38"/>
  <c r="L302" i="38" s="1"/>
  <c r="M302" i="38"/>
  <c r="T302" i="38" s="1"/>
  <c r="R302" i="38"/>
  <c r="F475" i="25"/>
  <c r="H475" i="25"/>
  <c r="G475" i="25"/>
  <c r="K197" i="25"/>
  <c r="F212" i="7"/>
  <c r="H212" i="7"/>
  <c r="G212" i="7"/>
  <c r="F95" i="7"/>
  <c r="F94" i="7"/>
  <c r="F48" i="40"/>
  <c r="H48" i="40"/>
  <c r="G48" i="40"/>
  <c r="C18" i="40"/>
  <c r="F6" i="40"/>
  <c r="O302" i="38" l="1"/>
  <c r="N302" i="38"/>
  <c r="D301" i="38"/>
  <c r="E301" i="38"/>
  <c r="G301" i="38"/>
  <c r="H301" i="38"/>
  <c r="K301" i="38"/>
  <c r="L301" i="38" s="1"/>
  <c r="M301" i="38"/>
  <c r="T301" i="38" s="1"/>
  <c r="R301" i="38"/>
  <c r="F74" i="58"/>
  <c r="H74" i="58"/>
  <c r="G74" i="58"/>
  <c r="F102" i="61"/>
  <c r="H102" i="61"/>
  <c r="G102" i="61"/>
  <c r="F294" i="17"/>
  <c r="H294" i="17"/>
  <c r="G294" i="17"/>
  <c r="O301" i="38" l="1"/>
  <c r="N301" i="38"/>
  <c r="F49" i="50"/>
  <c r="G49" i="50"/>
  <c r="H49" i="50"/>
  <c r="F293" i="17"/>
  <c r="G293" i="17"/>
  <c r="H293" i="17"/>
  <c r="F65" i="34"/>
  <c r="G65" i="34"/>
  <c r="H65" i="34"/>
  <c r="F73" i="58"/>
  <c r="G73" i="58"/>
  <c r="H73" i="58"/>
  <c r="F30" i="68"/>
  <c r="G30" i="68"/>
  <c r="H30" i="68"/>
  <c r="F30" i="69"/>
  <c r="G30" i="69"/>
  <c r="H30" i="69"/>
  <c r="F35" i="64"/>
  <c r="G35" i="64"/>
  <c r="H35" i="64"/>
  <c r="F30" i="67"/>
  <c r="G30" i="67"/>
  <c r="H30" i="67"/>
  <c r="D298" i="38"/>
  <c r="D299" i="38"/>
  <c r="D300" i="38"/>
  <c r="G300" i="38"/>
  <c r="G299" i="38"/>
  <c r="E300" i="38"/>
  <c r="H300" i="38"/>
  <c r="K300" i="38"/>
  <c r="L300" i="38" s="1"/>
  <c r="M300" i="38"/>
  <c r="T300" i="38" s="1"/>
  <c r="R300" i="38"/>
  <c r="F101" i="61"/>
  <c r="H101" i="61"/>
  <c r="G101" i="61"/>
  <c r="F106" i="51"/>
  <c r="H106" i="51"/>
  <c r="G106" i="51"/>
  <c r="F47" i="40"/>
  <c r="H47" i="40"/>
  <c r="G47" i="40"/>
  <c r="F5" i="40"/>
  <c r="F474" i="25"/>
  <c r="H474" i="25"/>
  <c r="G474" i="25"/>
  <c r="K196" i="25"/>
  <c r="K195" i="25"/>
  <c r="O300" i="38" l="1"/>
  <c r="N300" i="38"/>
  <c r="E299" i="38"/>
  <c r="H299" i="38"/>
  <c r="K299" i="38"/>
  <c r="L299" i="38" s="1"/>
  <c r="M299" i="38"/>
  <c r="T299" i="38" s="1"/>
  <c r="R299" i="38"/>
  <c r="F105" i="51"/>
  <c r="H105" i="51"/>
  <c r="G105" i="51"/>
  <c r="F292" i="17"/>
  <c r="H292" i="17"/>
  <c r="G292" i="17"/>
  <c r="F473" i="25"/>
  <c r="H473" i="25"/>
  <c r="G473" i="25"/>
  <c r="K194" i="25"/>
  <c r="F211" i="7"/>
  <c r="H211" i="7"/>
  <c r="G211" i="7"/>
  <c r="F82" i="7"/>
  <c r="K79" i="7"/>
  <c r="F93" i="7"/>
  <c r="O299" i="38" l="1"/>
  <c r="N299" i="38"/>
  <c r="E298" i="38"/>
  <c r="G298" i="38"/>
  <c r="H298" i="38"/>
  <c r="K298" i="38"/>
  <c r="L298" i="38" s="1"/>
  <c r="M298" i="38"/>
  <c r="T298" i="38" s="1"/>
  <c r="R298" i="38"/>
  <c r="F97" i="45"/>
  <c r="H97" i="45"/>
  <c r="G97" i="45"/>
  <c r="M18" i="45"/>
  <c r="K18" i="45"/>
  <c r="H18" i="45"/>
  <c r="F60" i="54"/>
  <c r="H60" i="54"/>
  <c r="G60" i="54"/>
  <c r="C18" i="54"/>
  <c r="H29" i="67"/>
  <c r="G29" i="67"/>
  <c r="F29" i="67"/>
  <c r="F72" i="58"/>
  <c r="H72" i="58"/>
  <c r="G72" i="58"/>
  <c r="F291" i="17"/>
  <c r="H291" i="17"/>
  <c r="G291" i="17"/>
  <c r="F290" i="17"/>
  <c r="H290" i="17"/>
  <c r="G290" i="17"/>
  <c r="F471" i="25"/>
  <c r="G471" i="25"/>
  <c r="H471" i="25"/>
  <c r="F472" i="25"/>
  <c r="G472" i="25"/>
  <c r="H472" i="25"/>
  <c r="F470" i="25"/>
  <c r="H470" i="25"/>
  <c r="G470" i="25"/>
  <c r="F46" i="40"/>
  <c r="H46" i="40"/>
  <c r="G46" i="40"/>
  <c r="K3" i="40"/>
  <c r="K4" i="40"/>
  <c r="O298" i="38" l="1"/>
  <c r="N298" i="38"/>
  <c r="F210" i="7"/>
  <c r="H210" i="7"/>
  <c r="G210" i="7"/>
  <c r="F289" i="17"/>
  <c r="H289" i="17"/>
  <c r="G289" i="17"/>
  <c r="AE69" i="71"/>
  <c r="AD69" i="71"/>
  <c r="AE68" i="71"/>
  <c r="AD68" i="71"/>
  <c r="AE67" i="71"/>
  <c r="AD67" i="71"/>
  <c r="AE66" i="71"/>
  <c r="AD66" i="71"/>
  <c r="AE65" i="71"/>
  <c r="AD65" i="71"/>
  <c r="AE64" i="71"/>
  <c r="AD64" i="71"/>
  <c r="AE63" i="71"/>
  <c r="AD63" i="71"/>
  <c r="AE62" i="71"/>
  <c r="AD62" i="71"/>
  <c r="AE61" i="71"/>
  <c r="AD61" i="71"/>
  <c r="P61" i="71"/>
  <c r="AE60" i="71"/>
  <c r="AD60" i="71"/>
  <c r="P60" i="71"/>
  <c r="AE59" i="71"/>
  <c r="AD59" i="71"/>
  <c r="P59" i="71"/>
  <c r="AE58" i="71"/>
  <c r="AD58" i="71"/>
  <c r="P58" i="71"/>
  <c r="AE57" i="71"/>
  <c r="AD57" i="71"/>
  <c r="P57" i="71"/>
  <c r="AE56" i="71"/>
  <c r="AD56" i="71"/>
  <c r="P56" i="71"/>
  <c r="AE55" i="71"/>
  <c r="AD55" i="71"/>
  <c r="P55" i="71"/>
  <c r="AE54" i="71"/>
  <c r="AD54" i="71"/>
  <c r="P54" i="71"/>
  <c r="AE53" i="71"/>
  <c r="AD53" i="71"/>
  <c r="P53" i="71"/>
  <c r="AE52" i="71"/>
  <c r="AD52" i="71"/>
  <c r="P52" i="71"/>
  <c r="AE51" i="71"/>
  <c r="AD51" i="71"/>
  <c r="P51" i="71"/>
  <c r="AE50" i="71"/>
  <c r="AD50" i="71"/>
  <c r="P50" i="71"/>
  <c r="AE49" i="71"/>
  <c r="AD49" i="71"/>
  <c r="P49" i="71"/>
  <c r="AE48" i="71"/>
  <c r="AD48" i="71"/>
  <c r="P48" i="71"/>
  <c r="AE47" i="71"/>
  <c r="AD47" i="71"/>
  <c r="P47" i="71"/>
  <c r="AE46" i="71"/>
  <c r="AD46" i="71"/>
  <c r="P46" i="71"/>
  <c r="AE45" i="71"/>
  <c r="AD45" i="71"/>
  <c r="P45" i="71"/>
  <c r="AE44" i="71"/>
  <c r="AD44" i="71"/>
  <c r="P44" i="71"/>
  <c r="AE43" i="71"/>
  <c r="AD43" i="71"/>
  <c r="P43" i="71"/>
  <c r="AE42" i="71"/>
  <c r="AD42" i="71"/>
  <c r="P42" i="71"/>
  <c r="AE41" i="71"/>
  <c r="AD41" i="71"/>
  <c r="P41" i="71"/>
  <c r="AE40" i="71"/>
  <c r="AD40" i="71"/>
  <c r="AE39" i="71"/>
  <c r="AD39" i="71"/>
  <c r="AE38" i="71"/>
  <c r="AD38" i="71"/>
  <c r="AE37" i="71"/>
  <c r="AD37" i="71"/>
  <c r="AE36" i="71"/>
  <c r="AD36" i="71"/>
  <c r="AE35" i="71"/>
  <c r="AD35" i="71"/>
  <c r="AE34" i="71"/>
  <c r="AD34" i="71"/>
  <c r="AE33" i="71"/>
  <c r="AD33" i="71"/>
  <c r="AE32" i="71"/>
  <c r="AD32" i="71"/>
  <c r="AE31" i="71"/>
  <c r="AD31" i="71"/>
  <c r="AE30" i="71"/>
  <c r="AD30" i="71"/>
  <c r="AE29" i="71"/>
  <c r="AD29" i="71"/>
  <c r="AE28" i="71"/>
  <c r="AD28" i="71"/>
  <c r="AE27" i="71"/>
  <c r="AD27" i="71"/>
  <c r="AE26" i="71"/>
  <c r="AD26" i="71"/>
  <c r="AE25" i="71"/>
  <c r="AD25" i="71"/>
  <c r="AE24" i="71"/>
  <c r="AD24" i="71"/>
  <c r="AE23" i="71"/>
  <c r="AD23" i="71"/>
  <c r="AE22" i="71"/>
  <c r="AD22" i="71"/>
  <c r="AE21" i="71"/>
  <c r="AD21" i="71"/>
  <c r="AE20" i="71"/>
  <c r="AD20" i="71"/>
  <c r="AE19" i="71"/>
  <c r="AD19" i="71"/>
  <c r="AE18" i="71"/>
  <c r="AD18" i="71"/>
  <c r="M18" i="71"/>
  <c r="K18" i="71"/>
  <c r="H18" i="71"/>
  <c r="F18" i="71"/>
  <c r="C18" i="71"/>
  <c r="AE17" i="71"/>
  <c r="AD17" i="71"/>
  <c r="AE16" i="71"/>
  <c r="AD16" i="71"/>
  <c r="AE15" i="71"/>
  <c r="AD15" i="71"/>
  <c r="AE14" i="71"/>
  <c r="AD14" i="71"/>
  <c r="AE13" i="71"/>
  <c r="AD13" i="71"/>
  <c r="AE12" i="71"/>
  <c r="AD12" i="71"/>
  <c r="AE11" i="71"/>
  <c r="AD11" i="71"/>
  <c r="Q11" i="71"/>
  <c r="AE10" i="71"/>
  <c r="AD10" i="71"/>
  <c r="AE9" i="71"/>
  <c r="AD9" i="71"/>
  <c r="AE8" i="71"/>
  <c r="AD8" i="71"/>
  <c r="AE7" i="71"/>
  <c r="AD7" i="71"/>
  <c r="AE6" i="71"/>
  <c r="AD6" i="71"/>
  <c r="AE5" i="71"/>
  <c r="AD5" i="71"/>
  <c r="AE4" i="71"/>
  <c r="AD4" i="71"/>
  <c r="AE3" i="71"/>
  <c r="AD3" i="71"/>
  <c r="AE2" i="71"/>
  <c r="AD2" i="71"/>
  <c r="D297" i="38"/>
  <c r="E297" i="38"/>
  <c r="G297" i="38"/>
  <c r="H297" i="38"/>
  <c r="K297" i="38"/>
  <c r="L297" i="38" s="1"/>
  <c r="M297" i="38"/>
  <c r="T297" i="38" s="1"/>
  <c r="R297" i="38"/>
  <c r="F19" i="71"/>
  <c r="M19" i="71"/>
  <c r="H19" i="71"/>
  <c r="K19" i="71"/>
  <c r="C19" i="71"/>
  <c r="N297" i="38" l="1"/>
  <c r="Q2" i="71"/>
  <c r="Q3" i="71" s="1"/>
  <c r="Q6" i="71" s="1"/>
  <c r="O297" i="38"/>
  <c r="F59" i="54"/>
  <c r="G59" i="54"/>
  <c r="H59" i="54"/>
  <c r="F48" i="50"/>
  <c r="G48" i="50"/>
  <c r="H48" i="50"/>
  <c r="F288" i="17"/>
  <c r="H288" i="17"/>
  <c r="G288" i="17"/>
  <c r="D296" i="38"/>
  <c r="E296" i="38"/>
  <c r="G296" i="38"/>
  <c r="H296" i="38"/>
  <c r="K296" i="38"/>
  <c r="L296" i="38" s="1"/>
  <c r="M296" i="38"/>
  <c r="T296" i="38" s="1"/>
  <c r="R296" i="38"/>
  <c r="F209" i="7"/>
  <c r="H209" i="7"/>
  <c r="G209" i="7"/>
  <c r="F92" i="7"/>
  <c r="F469" i="25"/>
  <c r="H469" i="25"/>
  <c r="G469" i="25"/>
  <c r="Q8" i="71" l="1"/>
  <c r="Q7" i="71" s="1"/>
  <c r="Q5" i="71"/>
  <c r="N296" i="38"/>
  <c r="O296" i="38"/>
  <c r="F208" i="7"/>
  <c r="H208" i="7"/>
  <c r="F100" i="61"/>
  <c r="G100" i="61"/>
  <c r="H100" i="61"/>
  <c r="D293" i="38"/>
  <c r="D294" i="38"/>
  <c r="D295" i="38"/>
  <c r="G294" i="38"/>
  <c r="G295" i="38"/>
  <c r="E295" i="38"/>
  <c r="H295" i="38"/>
  <c r="K295" i="38"/>
  <c r="L295" i="38" s="1"/>
  <c r="M295" i="38"/>
  <c r="T295" i="38" s="1"/>
  <c r="R295" i="38"/>
  <c r="G208" i="7"/>
  <c r="F91" i="7"/>
  <c r="Q9" i="71" l="1"/>
  <c r="O295" i="38"/>
  <c r="N295" i="38"/>
  <c r="F71" i="58"/>
  <c r="G71" i="58"/>
  <c r="H71" i="58"/>
  <c r="F29" i="68"/>
  <c r="G29" i="68"/>
  <c r="H29" i="68"/>
  <c r="F64" i="34"/>
  <c r="G64" i="34"/>
  <c r="H64" i="34"/>
  <c r="F99" i="61"/>
  <c r="G99" i="61"/>
  <c r="H99" i="61"/>
  <c r="F207" i="7"/>
  <c r="H207" i="7"/>
  <c r="G207" i="7"/>
  <c r="F287" i="17"/>
  <c r="G287" i="17"/>
  <c r="H287" i="17"/>
  <c r="F90" i="7"/>
  <c r="E294" i="38"/>
  <c r="H294" i="38"/>
  <c r="K294" i="38"/>
  <c r="L294" i="38" s="1"/>
  <c r="O294" i="38" s="1"/>
  <c r="M294" i="38"/>
  <c r="T294" i="38" s="1"/>
  <c r="R294" i="38"/>
  <c r="N294" i="38" l="1"/>
  <c r="F468" i="25"/>
  <c r="G468" i="25"/>
  <c r="H468" i="25"/>
  <c r="M55" i="67"/>
  <c r="H55" i="67"/>
  <c r="C55" i="67"/>
  <c r="K39" i="67"/>
  <c r="K55" i="67" s="1"/>
  <c r="F39" i="67"/>
  <c r="F55" i="67" s="1"/>
  <c r="M62" i="66"/>
  <c r="H62" i="66"/>
  <c r="C62" i="66"/>
  <c r="K46" i="66"/>
  <c r="K62" i="66" s="1"/>
  <c r="F46" i="66"/>
  <c r="F62" i="66" s="1"/>
  <c r="E293" i="38"/>
  <c r="G293" i="38"/>
  <c r="H293" i="38"/>
  <c r="K293" i="38"/>
  <c r="L293" i="38" s="1"/>
  <c r="M293" i="38"/>
  <c r="T293" i="38" s="1"/>
  <c r="R293" i="38"/>
  <c r="F29" i="43"/>
  <c r="H29" i="43"/>
  <c r="G29" i="43"/>
  <c r="F3" i="43"/>
  <c r="F98" i="61"/>
  <c r="H98" i="61"/>
  <c r="G98" i="61"/>
  <c r="F63" i="66"/>
  <c r="M63" i="66"/>
  <c r="H63" i="66"/>
  <c r="K63" i="66"/>
  <c r="C63" i="66"/>
  <c r="M44" i="66" l="1"/>
  <c r="Q10" i="66" s="1"/>
  <c r="N293" i="38"/>
  <c r="O293" i="38"/>
  <c r="F70" i="58"/>
  <c r="G70" i="58"/>
  <c r="H70" i="58"/>
  <c r="H97" i="61"/>
  <c r="G97" i="61"/>
  <c r="F97" i="61"/>
  <c r="D287" i="38"/>
  <c r="D288" i="38"/>
  <c r="D289" i="38"/>
  <c r="D290" i="38"/>
  <c r="D291" i="38"/>
  <c r="D292" i="38"/>
  <c r="G288" i="38"/>
  <c r="G289" i="38"/>
  <c r="G290" i="38"/>
  <c r="G291" i="38"/>
  <c r="G292" i="38"/>
  <c r="E292" i="38"/>
  <c r="H292" i="38"/>
  <c r="K292" i="38"/>
  <c r="L292" i="38" s="1"/>
  <c r="M292" i="38"/>
  <c r="T292" i="38" s="1"/>
  <c r="R292" i="38"/>
  <c r="F286" i="17"/>
  <c r="H286" i="17"/>
  <c r="G286" i="17"/>
  <c r="F206" i="7"/>
  <c r="H206" i="7"/>
  <c r="G206" i="7"/>
  <c r="K78" i="7"/>
  <c r="N292" i="38" l="1"/>
  <c r="O292" i="38"/>
  <c r="F102" i="31"/>
  <c r="G102" i="31"/>
  <c r="H102" i="31"/>
  <c r="F104" i="51"/>
  <c r="G104" i="51"/>
  <c r="H104" i="51"/>
  <c r="F69" i="58" l="1"/>
  <c r="G69" i="58"/>
  <c r="H69" i="58"/>
  <c r="F45" i="40"/>
  <c r="G45" i="40"/>
  <c r="H45" i="40"/>
  <c r="E291" i="38"/>
  <c r="H291" i="38"/>
  <c r="K291" i="38"/>
  <c r="L291" i="38" s="1"/>
  <c r="M291" i="38"/>
  <c r="T291" i="38" s="1"/>
  <c r="R291" i="38"/>
  <c r="F96" i="61"/>
  <c r="H96" i="61"/>
  <c r="G96" i="61"/>
  <c r="F467" i="25"/>
  <c r="H467" i="25"/>
  <c r="G467" i="25"/>
  <c r="F285" i="17"/>
  <c r="H285" i="17"/>
  <c r="G285" i="17"/>
  <c r="N291" i="38" l="1"/>
  <c r="O291" i="38"/>
  <c r="G287" i="38"/>
  <c r="E290" i="38"/>
  <c r="H290" i="38"/>
  <c r="K290" i="38"/>
  <c r="L290" i="38" s="1"/>
  <c r="M290" i="38"/>
  <c r="T290" i="38" s="1"/>
  <c r="R290" i="38"/>
  <c r="G466" i="25"/>
  <c r="F466" i="25"/>
  <c r="H466" i="25"/>
  <c r="F208" i="25"/>
  <c r="F205" i="7"/>
  <c r="H205" i="7"/>
  <c r="F204" i="7"/>
  <c r="H204" i="7"/>
  <c r="G205" i="7"/>
  <c r="G204" i="7"/>
  <c r="K77" i="7"/>
  <c r="K76" i="7"/>
  <c r="N290" i="38" l="1"/>
  <c r="O290" i="38"/>
  <c r="F95" i="61"/>
  <c r="G95" i="61"/>
  <c r="H95" i="61"/>
  <c r="F79" i="57"/>
  <c r="G79" i="57"/>
  <c r="H79" i="57"/>
  <c r="F101" i="31"/>
  <c r="G101" i="31"/>
  <c r="H101" i="31"/>
  <c r="F103" i="51"/>
  <c r="G103" i="51"/>
  <c r="H103" i="51"/>
  <c r="F68" i="58"/>
  <c r="G68" i="58"/>
  <c r="H68" i="58"/>
  <c r="F28" i="43"/>
  <c r="H28" i="43"/>
  <c r="G28" i="43"/>
  <c r="F27" i="43"/>
  <c r="G27" i="43"/>
  <c r="H27" i="43"/>
  <c r="F63" i="34"/>
  <c r="G63" i="34"/>
  <c r="H63" i="34"/>
  <c r="F29" i="69"/>
  <c r="G29" i="69"/>
  <c r="H29" i="69"/>
  <c r="F96" i="45"/>
  <c r="G96" i="45"/>
  <c r="H96" i="45"/>
  <c r="F28" i="68"/>
  <c r="G28" i="68"/>
  <c r="H28" i="68"/>
  <c r="F34" i="64"/>
  <c r="G34" i="64"/>
  <c r="H34" i="64"/>
  <c r="F203" i="7"/>
  <c r="G203" i="7"/>
  <c r="H203" i="7"/>
  <c r="F44" i="40"/>
  <c r="G44" i="40"/>
  <c r="H44" i="40"/>
  <c r="F465" i="25"/>
  <c r="H465" i="25"/>
  <c r="G465" i="25"/>
  <c r="E289" i="38" l="1"/>
  <c r="H289" i="38"/>
  <c r="K289" i="38"/>
  <c r="L289" i="38" s="1"/>
  <c r="M289" i="38"/>
  <c r="T289" i="38" s="1"/>
  <c r="R289" i="38"/>
  <c r="F464" i="25"/>
  <c r="H464" i="25"/>
  <c r="F207" i="25"/>
  <c r="G464" i="25"/>
  <c r="F206" i="25"/>
  <c r="F43" i="40"/>
  <c r="G43" i="40"/>
  <c r="H43" i="40"/>
  <c r="F67" i="58"/>
  <c r="G67" i="58"/>
  <c r="H67" i="58"/>
  <c r="F27" i="65"/>
  <c r="G27" i="65"/>
  <c r="H27" i="65"/>
  <c r="F94" i="61"/>
  <c r="G94" i="61"/>
  <c r="H94" i="61"/>
  <c r="F58" i="54"/>
  <c r="G58" i="54"/>
  <c r="H58" i="54"/>
  <c r="F95" i="45"/>
  <c r="G95" i="45"/>
  <c r="H95" i="45"/>
  <c r="F27" i="67"/>
  <c r="G27" i="67"/>
  <c r="H27" i="67"/>
  <c r="F102" i="51"/>
  <c r="G102" i="51"/>
  <c r="H102" i="51"/>
  <c r="F33" i="64"/>
  <c r="G33" i="64"/>
  <c r="H33" i="64"/>
  <c r="E288" i="38"/>
  <c r="H288" i="38"/>
  <c r="K288" i="38"/>
  <c r="L288" i="38" s="1"/>
  <c r="M288" i="38"/>
  <c r="T288" i="38" s="1"/>
  <c r="R288" i="38"/>
  <c r="F100" i="31"/>
  <c r="H100" i="31"/>
  <c r="G100" i="31"/>
  <c r="F18" i="31"/>
  <c r="F463" i="25"/>
  <c r="H463" i="25"/>
  <c r="G463" i="25"/>
  <c r="K193" i="25"/>
  <c r="F205" i="25"/>
  <c r="F204" i="25"/>
  <c r="F203" i="25"/>
  <c r="N289" i="38" l="1"/>
  <c r="O289" i="38"/>
  <c r="N288" i="38"/>
  <c r="O288" i="38"/>
  <c r="F101" i="51"/>
  <c r="G101" i="51"/>
  <c r="H101" i="51"/>
  <c r="F26" i="65"/>
  <c r="G26" i="65"/>
  <c r="H26" i="65"/>
  <c r="F66" i="58"/>
  <c r="G66" i="58"/>
  <c r="H66" i="58"/>
  <c r="F93" i="61"/>
  <c r="G93" i="61"/>
  <c r="H93" i="61"/>
  <c r="F57" i="54"/>
  <c r="G57" i="54"/>
  <c r="H57" i="54"/>
  <c r="F94" i="45"/>
  <c r="G94" i="45"/>
  <c r="H94" i="45"/>
  <c r="F202" i="7"/>
  <c r="H202" i="7"/>
  <c r="G202" i="7"/>
  <c r="K75" i="7"/>
  <c r="F42" i="40"/>
  <c r="H42" i="40"/>
  <c r="G42" i="40"/>
  <c r="F4" i="40"/>
  <c r="F78" i="57"/>
  <c r="H78" i="57"/>
  <c r="G78" i="57"/>
  <c r="F32" i="64"/>
  <c r="H32" i="64"/>
  <c r="G32" i="64"/>
  <c r="F284" i="17"/>
  <c r="G284" i="17"/>
  <c r="H284" i="17"/>
  <c r="F462" i="25"/>
  <c r="H462" i="25"/>
  <c r="F461" i="25"/>
  <c r="H461" i="25"/>
  <c r="G462" i="25"/>
  <c r="G461" i="25"/>
  <c r="K192" i="25"/>
  <c r="K191" i="25"/>
  <c r="E287" i="38"/>
  <c r="H287" i="38"/>
  <c r="K287" i="38"/>
  <c r="M287" i="38"/>
  <c r="T287" i="38" s="1"/>
  <c r="R287" i="38"/>
  <c r="L287" i="38" l="1"/>
  <c r="O287" i="38" s="1"/>
  <c r="N287" i="38"/>
  <c r="Q11" i="40"/>
  <c r="F26" i="43"/>
  <c r="G26" i="43"/>
  <c r="H26" i="43"/>
  <c r="F31" i="64"/>
  <c r="G31" i="64"/>
  <c r="H31" i="64"/>
  <c r="F77" i="57"/>
  <c r="G77" i="57"/>
  <c r="H77" i="57"/>
  <c r="D286" i="38"/>
  <c r="E286" i="38"/>
  <c r="G286" i="38"/>
  <c r="H286" i="38"/>
  <c r="K286" i="38"/>
  <c r="L286" i="38" s="1"/>
  <c r="M286" i="38"/>
  <c r="T286" i="38" s="1"/>
  <c r="R286" i="38"/>
  <c r="G201" i="7"/>
  <c r="F201" i="7"/>
  <c r="H201" i="7"/>
  <c r="F89" i="7"/>
  <c r="F283" i="17"/>
  <c r="H283" i="17"/>
  <c r="G283" i="17"/>
  <c r="F460" i="25"/>
  <c r="H460" i="25"/>
  <c r="G460" i="25"/>
  <c r="F459" i="25"/>
  <c r="H459" i="25"/>
  <c r="G459" i="25"/>
  <c r="F202" i="25"/>
  <c r="F201" i="25"/>
  <c r="N286" i="38" l="1"/>
  <c r="O286" i="38"/>
  <c r="F93" i="45"/>
  <c r="G93" i="45"/>
  <c r="H93" i="45"/>
  <c r="F76" i="57"/>
  <c r="G76" i="57"/>
  <c r="H76" i="57"/>
  <c r="F65" i="58"/>
  <c r="G65" i="58"/>
  <c r="H65" i="58"/>
  <c r="F31" i="66"/>
  <c r="G31" i="66"/>
  <c r="H31" i="66"/>
  <c r="G283" i="38"/>
  <c r="G284" i="38"/>
  <c r="G285" i="38"/>
  <c r="D284" i="38"/>
  <c r="D285" i="38"/>
  <c r="E285" i="38"/>
  <c r="H285" i="38"/>
  <c r="K285" i="38"/>
  <c r="L285" i="38" s="1"/>
  <c r="M285" i="38"/>
  <c r="T285" i="38" s="1"/>
  <c r="R285" i="38"/>
  <c r="F458" i="25"/>
  <c r="G458" i="25"/>
  <c r="H458" i="25"/>
  <c r="F200" i="7"/>
  <c r="H200" i="7"/>
  <c r="F199" i="7"/>
  <c r="H199" i="7"/>
  <c r="F198" i="7"/>
  <c r="H198" i="7"/>
  <c r="G200" i="7"/>
  <c r="K74" i="7"/>
  <c r="F99" i="31"/>
  <c r="H99" i="31"/>
  <c r="G99" i="31"/>
  <c r="K12" i="31"/>
  <c r="F100" i="51"/>
  <c r="H100" i="51"/>
  <c r="G100" i="51"/>
  <c r="G199" i="7"/>
  <c r="F28" i="69"/>
  <c r="G28" i="69"/>
  <c r="H28" i="69"/>
  <c r="F3" i="69"/>
  <c r="F88" i="7"/>
  <c r="O285" i="38" l="1"/>
  <c r="N285" i="38"/>
  <c r="F87" i="7"/>
  <c r="F17" i="31"/>
  <c r="G198" i="7"/>
  <c r="F86" i="7"/>
  <c r="F26" i="67" l="1"/>
  <c r="G26" i="67"/>
  <c r="H26" i="67"/>
  <c r="F41" i="40" l="1"/>
  <c r="G41" i="40"/>
  <c r="H41" i="40"/>
  <c r="F75" i="57"/>
  <c r="G75" i="57"/>
  <c r="H75" i="57"/>
  <c r="F62" i="34"/>
  <c r="G62" i="34"/>
  <c r="H62" i="34"/>
  <c r="F98" i="31"/>
  <c r="G98" i="31"/>
  <c r="H98" i="31"/>
  <c r="F99" i="51"/>
  <c r="G99" i="51"/>
  <c r="H99" i="51"/>
  <c r="F282" i="17"/>
  <c r="G282" i="17"/>
  <c r="H282" i="17"/>
  <c r="F457" i="25"/>
  <c r="G457" i="25"/>
  <c r="H457" i="25"/>
  <c r="F92" i="61"/>
  <c r="H92" i="61"/>
  <c r="G92" i="61"/>
  <c r="E284" i="38" l="1"/>
  <c r="H284" i="38"/>
  <c r="K284" i="38"/>
  <c r="M284" i="38"/>
  <c r="T284" i="38" s="1"/>
  <c r="R284" i="38"/>
  <c r="F197" i="7"/>
  <c r="H197" i="7"/>
  <c r="G197" i="7"/>
  <c r="F91" i="61"/>
  <c r="H91" i="61"/>
  <c r="G91" i="61"/>
  <c r="F85" i="7"/>
  <c r="L284" i="38" l="1"/>
  <c r="N284" i="38"/>
  <c r="F196" i="7"/>
  <c r="H196" i="7"/>
  <c r="G196" i="7"/>
  <c r="F84" i="7"/>
  <c r="D283" i="38"/>
  <c r="E283" i="38"/>
  <c r="H283" i="38"/>
  <c r="K283" i="38"/>
  <c r="L283" i="38" s="1"/>
  <c r="M283" i="38"/>
  <c r="R283" i="38"/>
  <c r="F456" i="25"/>
  <c r="H456" i="25"/>
  <c r="G456" i="25"/>
  <c r="F200" i="25"/>
  <c r="F455" i="25"/>
  <c r="H455" i="25"/>
  <c r="G455" i="25"/>
  <c r="F454" i="25"/>
  <c r="H454" i="25"/>
  <c r="F453" i="25"/>
  <c r="H453" i="25"/>
  <c r="G454" i="25"/>
  <c r="G453" i="25"/>
  <c r="K190" i="25"/>
  <c r="K189" i="25"/>
  <c r="K188" i="25"/>
  <c r="T283" i="38" l="1"/>
  <c r="N283" i="38"/>
  <c r="O284" i="38"/>
  <c r="O283" i="38"/>
  <c r="F98" i="51"/>
  <c r="G98" i="51"/>
  <c r="H98" i="51"/>
  <c r="F47" i="50"/>
  <c r="G47" i="50"/>
  <c r="H47" i="50"/>
  <c r="F30" i="64"/>
  <c r="G30" i="64"/>
  <c r="H30" i="64"/>
  <c r="F61" i="34"/>
  <c r="G61" i="34"/>
  <c r="H61" i="34"/>
  <c r="F64" i="58"/>
  <c r="G64" i="58"/>
  <c r="H64" i="58"/>
  <c r="F90" i="61"/>
  <c r="G90" i="61"/>
  <c r="H90" i="61"/>
  <c r="K282" i="38"/>
  <c r="L282" i="38" s="1"/>
  <c r="M282" i="38"/>
  <c r="N282" i="38" s="1"/>
  <c r="R282" i="38"/>
  <c r="G282" i="38"/>
  <c r="H282" i="38"/>
  <c r="D282" i="38"/>
  <c r="E282" i="38"/>
  <c r="M155" i="49"/>
  <c r="H155" i="49"/>
  <c r="C155" i="49"/>
  <c r="F144" i="49"/>
  <c r="F143" i="49"/>
  <c r="K142" i="49"/>
  <c r="F142" i="49"/>
  <c r="K141" i="49"/>
  <c r="F141" i="49"/>
  <c r="K140" i="49"/>
  <c r="F140" i="49"/>
  <c r="K139" i="49"/>
  <c r="F139" i="49"/>
  <c r="K138" i="49"/>
  <c r="F138" i="49"/>
  <c r="K137" i="49"/>
  <c r="F137" i="49"/>
  <c r="K136" i="49"/>
  <c r="F136" i="49"/>
  <c r="F135" i="49"/>
  <c r="K134" i="49"/>
  <c r="F134" i="49"/>
  <c r="K133" i="49"/>
  <c r="F133" i="49"/>
  <c r="F132" i="49"/>
  <c r="K131" i="49"/>
  <c r="F131" i="49"/>
  <c r="K130" i="49"/>
  <c r="F130" i="49"/>
  <c r="K129" i="49"/>
  <c r="F129" i="49"/>
  <c r="F128" i="49"/>
  <c r="F281" i="17"/>
  <c r="H281" i="17"/>
  <c r="G281" i="17"/>
  <c r="F171" i="25"/>
  <c r="F195" i="7"/>
  <c r="H195" i="7"/>
  <c r="G195" i="7"/>
  <c r="F83" i="7"/>
  <c r="F452" i="25"/>
  <c r="H452" i="25"/>
  <c r="F451" i="25"/>
  <c r="H451" i="25"/>
  <c r="G452" i="25"/>
  <c r="G451" i="25"/>
  <c r="F199" i="25"/>
  <c r="F198" i="25"/>
  <c r="K187" i="25"/>
  <c r="K186" i="25"/>
  <c r="K185" i="25"/>
  <c r="K184" i="25"/>
  <c r="K156" i="49"/>
  <c r="C156" i="49"/>
  <c r="F156" i="49"/>
  <c r="H156" i="49"/>
  <c r="M156" i="49"/>
  <c r="F155" i="49" l="1"/>
  <c r="K155" i="49"/>
  <c r="T282" i="38"/>
  <c r="O282" i="38"/>
  <c r="F280" i="17"/>
  <c r="G280" i="17"/>
  <c r="H280" i="17"/>
  <c r="F63" i="58"/>
  <c r="G63" i="58"/>
  <c r="H63" i="58"/>
  <c r="F97" i="51"/>
  <c r="G97" i="51"/>
  <c r="H97" i="51"/>
  <c r="F97" i="31"/>
  <c r="G97" i="31"/>
  <c r="H97" i="31"/>
  <c r="F30" i="66"/>
  <c r="G30" i="66"/>
  <c r="H30" i="66"/>
  <c r="F60" i="34"/>
  <c r="G60" i="34"/>
  <c r="H60" i="34"/>
  <c r="F27" i="69"/>
  <c r="G27" i="69"/>
  <c r="H27" i="69"/>
  <c r="F88" i="49"/>
  <c r="G88" i="49"/>
  <c r="H88" i="49"/>
  <c r="F194" i="7"/>
  <c r="G194" i="7"/>
  <c r="H194" i="7"/>
  <c r="D281" i="38"/>
  <c r="E281" i="38"/>
  <c r="G281" i="38"/>
  <c r="H281" i="38"/>
  <c r="K281" i="38"/>
  <c r="L281" i="38" s="1"/>
  <c r="M281" i="38"/>
  <c r="T281" i="38" s="1"/>
  <c r="R281" i="38"/>
  <c r="M73" i="62"/>
  <c r="H73" i="62"/>
  <c r="C73" i="62"/>
  <c r="F61" i="62"/>
  <c r="F60" i="62"/>
  <c r="F59" i="62"/>
  <c r="K58" i="62"/>
  <c r="F58" i="62"/>
  <c r="K57" i="62"/>
  <c r="F57" i="62"/>
  <c r="F450" i="25"/>
  <c r="H450" i="25"/>
  <c r="G450" i="25"/>
  <c r="F197" i="25"/>
  <c r="H46" i="50"/>
  <c r="G46" i="50"/>
  <c r="F46" i="50"/>
  <c r="M126" i="49" l="1"/>
  <c r="K73" i="62"/>
  <c r="O281" i="38"/>
  <c r="N281" i="38"/>
  <c r="F73" i="62"/>
  <c r="F193" i="7"/>
  <c r="G193" i="7"/>
  <c r="H193" i="7"/>
  <c r="F74" i="57"/>
  <c r="G74" i="57"/>
  <c r="H74" i="57"/>
  <c r="F87" i="49"/>
  <c r="G87" i="49"/>
  <c r="H87" i="49"/>
  <c r="F59" i="34"/>
  <c r="G59" i="34"/>
  <c r="H59" i="34"/>
  <c r="F25" i="43"/>
  <c r="G25" i="43"/>
  <c r="H25" i="43"/>
  <c r="R267" i="1"/>
  <c r="G277" i="38"/>
  <c r="G278" i="38"/>
  <c r="G279" i="38"/>
  <c r="G280" i="38"/>
  <c r="D279" i="38"/>
  <c r="D280" i="38"/>
  <c r="E280" i="38"/>
  <c r="H280" i="38"/>
  <c r="K280" i="38"/>
  <c r="L280" i="38" s="1"/>
  <c r="M280" i="38"/>
  <c r="T280" i="38" s="1"/>
  <c r="R280" i="38"/>
  <c r="F96" i="51"/>
  <c r="G96" i="51"/>
  <c r="H96" i="51"/>
  <c r="F62" i="58"/>
  <c r="H62" i="58"/>
  <c r="G62" i="58"/>
  <c r="F61" i="58"/>
  <c r="G61" i="58"/>
  <c r="H61" i="58"/>
  <c r="F92" i="45"/>
  <c r="H92" i="45"/>
  <c r="G92" i="45"/>
  <c r="F449" i="25"/>
  <c r="H449" i="25"/>
  <c r="F448" i="25"/>
  <c r="H448" i="25"/>
  <c r="F447" i="25"/>
  <c r="H447" i="25"/>
  <c r="G449" i="25"/>
  <c r="G448" i="25"/>
  <c r="G447" i="25"/>
  <c r="F196" i="25"/>
  <c r="F195" i="25"/>
  <c r="F170" i="25"/>
  <c r="K183" i="25"/>
  <c r="H89" i="61"/>
  <c r="G89" i="61"/>
  <c r="F89" i="61"/>
  <c r="F88" i="61"/>
  <c r="H88" i="61"/>
  <c r="G88" i="61"/>
  <c r="AE69" i="70"/>
  <c r="AD69" i="70"/>
  <c r="AE68" i="70"/>
  <c r="AD68" i="70"/>
  <c r="AE67" i="70"/>
  <c r="AD67" i="70"/>
  <c r="AE66" i="70"/>
  <c r="AD66" i="70"/>
  <c r="AE65" i="70"/>
  <c r="AD65" i="70"/>
  <c r="AE64" i="70"/>
  <c r="AD64" i="70"/>
  <c r="AE63" i="70"/>
  <c r="AD63" i="70"/>
  <c r="AE62" i="70"/>
  <c r="AD62" i="70"/>
  <c r="AE61" i="70"/>
  <c r="AD61" i="70"/>
  <c r="P61" i="70"/>
  <c r="AE60" i="70"/>
  <c r="AD60" i="70"/>
  <c r="P60" i="70"/>
  <c r="AE59" i="70"/>
  <c r="AD59" i="70"/>
  <c r="P59" i="70"/>
  <c r="AE58" i="70"/>
  <c r="AD58" i="70"/>
  <c r="P58" i="70"/>
  <c r="AE57" i="70"/>
  <c r="AD57" i="70"/>
  <c r="P57" i="70"/>
  <c r="AE56" i="70"/>
  <c r="AD56" i="70"/>
  <c r="P56" i="70"/>
  <c r="AE55" i="70"/>
  <c r="AD55" i="70"/>
  <c r="P55" i="70"/>
  <c r="AE54" i="70"/>
  <c r="AD54" i="70"/>
  <c r="P54" i="70"/>
  <c r="AE53" i="70"/>
  <c r="AD53" i="70"/>
  <c r="P53" i="70"/>
  <c r="AE52" i="70"/>
  <c r="AD52" i="70"/>
  <c r="P52" i="70"/>
  <c r="AE51" i="70"/>
  <c r="AD51" i="70"/>
  <c r="P51" i="70"/>
  <c r="AE50" i="70"/>
  <c r="AD50" i="70"/>
  <c r="P50" i="70"/>
  <c r="AE49" i="70"/>
  <c r="AD49" i="70"/>
  <c r="P49" i="70"/>
  <c r="AE48" i="70"/>
  <c r="AD48" i="70"/>
  <c r="P48" i="70"/>
  <c r="AE47" i="70"/>
  <c r="AD47" i="70"/>
  <c r="AE46" i="70"/>
  <c r="AD46" i="70"/>
  <c r="P46" i="70"/>
  <c r="AE45" i="70"/>
  <c r="AD45" i="70"/>
  <c r="P45" i="70"/>
  <c r="AE44" i="70"/>
  <c r="AD44" i="70"/>
  <c r="P44" i="70"/>
  <c r="AE43" i="70"/>
  <c r="AD43" i="70"/>
  <c r="P43" i="70"/>
  <c r="AE42" i="70"/>
  <c r="AD42" i="70"/>
  <c r="P42" i="70"/>
  <c r="AE41" i="70"/>
  <c r="AD41" i="70"/>
  <c r="P41" i="70"/>
  <c r="AE40" i="70"/>
  <c r="AD40" i="70"/>
  <c r="AE39" i="70"/>
  <c r="AD39" i="70"/>
  <c r="AE38" i="70"/>
  <c r="AD38" i="70"/>
  <c r="AE37" i="70"/>
  <c r="AD37" i="70"/>
  <c r="AE36" i="70"/>
  <c r="AD36" i="70"/>
  <c r="AE35" i="70"/>
  <c r="AD35" i="70"/>
  <c r="AE34" i="70"/>
  <c r="AD34" i="70"/>
  <c r="AE33" i="70"/>
  <c r="AD33" i="70"/>
  <c r="AE32" i="70"/>
  <c r="AD32" i="70"/>
  <c r="AE31" i="70"/>
  <c r="AD31" i="70"/>
  <c r="AE30" i="70"/>
  <c r="AD30" i="70"/>
  <c r="AE29" i="70"/>
  <c r="AD29" i="70"/>
  <c r="AE28" i="70"/>
  <c r="AD28" i="70"/>
  <c r="AE27" i="70"/>
  <c r="AD27" i="70"/>
  <c r="AE26" i="70"/>
  <c r="AD26" i="70"/>
  <c r="AE25" i="70"/>
  <c r="AD25" i="70"/>
  <c r="AE24" i="70"/>
  <c r="AD24" i="70"/>
  <c r="AE23" i="70"/>
  <c r="AD23" i="70"/>
  <c r="AE22" i="70"/>
  <c r="AD22" i="70"/>
  <c r="AE21" i="70"/>
  <c r="AD21" i="70"/>
  <c r="AE20" i="70"/>
  <c r="AD20" i="70"/>
  <c r="AE19" i="70"/>
  <c r="AD19" i="70"/>
  <c r="AE18" i="70"/>
  <c r="AD18" i="70"/>
  <c r="M18" i="70"/>
  <c r="H18" i="70"/>
  <c r="AE17" i="70"/>
  <c r="AD17" i="70"/>
  <c r="AE16" i="70"/>
  <c r="AD16" i="70"/>
  <c r="AE15" i="70"/>
  <c r="AD15" i="70"/>
  <c r="AE14" i="70"/>
  <c r="AD14" i="70"/>
  <c r="AE13" i="70"/>
  <c r="AD13" i="70"/>
  <c r="AE12" i="70"/>
  <c r="AD12" i="70"/>
  <c r="AE11" i="70"/>
  <c r="AD11" i="70"/>
  <c r="Q11" i="70"/>
  <c r="AE10" i="70"/>
  <c r="AD10" i="70"/>
  <c r="AE9" i="70"/>
  <c r="AD9" i="70"/>
  <c r="AE8" i="70"/>
  <c r="AD8" i="70"/>
  <c r="AE7" i="70"/>
  <c r="AD7" i="70"/>
  <c r="AE6" i="70"/>
  <c r="AD6" i="70"/>
  <c r="AE5" i="70"/>
  <c r="AD5" i="70"/>
  <c r="AE4" i="70"/>
  <c r="AD4" i="70"/>
  <c r="AE3" i="70"/>
  <c r="AD3" i="70"/>
  <c r="AE2" i="70"/>
  <c r="AD2" i="70"/>
  <c r="K18" i="70"/>
  <c r="H19" i="70"/>
  <c r="K19" i="70"/>
  <c r="C19" i="70"/>
  <c r="F19" i="70"/>
  <c r="M19" i="70"/>
  <c r="M55" i="62" l="1"/>
  <c r="Q10" i="62" s="1"/>
  <c r="Q2" i="70"/>
  <c r="Q8" i="70" s="1"/>
  <c r="Q7" i="70" s="1"/>
  <c r="N280" i="38"/>
  <c r="O280" i="38"/>
  <c r="F24" i="43"/>
  <c r="G24" i="43"/>
  <c r="H24" i="43"/>
  <c r="Q3" i="70" l="1"/>
  <c r="Q6" i="70" s="1"/>
  <c r="Q9" i="70" s="1"/>
  <c r="Q5" i="70"/>
  <c r="F60" i="58"/>
  <c r="G60" i="58"/>
  <c r="H60" i="58"/>
  <c r="F87" i="61"/>
  <c r="G87" i="61"/>
  <c r="H87" i="61"/>
  <c r="F95" i="51"/>
  <c r="G95" i="51"/>
  <c r="H95" i="51"/>
  <c r="F73" i="57"/>
  <c r="G73" i="57"/>
  <c r="H73" i="57"/>
  <c r="F86" i="49"/>
  <c r="G86" i="49"/>
  <c r="H86" i="49"/>
  <c r="E279" i="38"/>
  <c r="H279" i="38"/>
  <c r="K279" i="38"/>
  <c r="L279" i="38" s="1"/>
  <c r="M279" i="38"/>
  <c r="T279" i="38" s="1"/>
  <c r="R279" i="38"/>
  <c r="F446" i="25"/>
  <c r="H446" i="25"/>
  <c r="G446" i="25"/>
  <c r="F194" i="25"/>
  <c r="N279" i="38" l="1"/>
  <c r="O279" i="38"/>
  <c r="F192" i="7"/>
  <c r="G192" i="7"/>
  <c r="H192" i="7"/>
  <c r="F96" i="31"/>
  <c r="G96" i="31"/>
  <c r="H96" i="31"/>
  <c r="F279" i="17"/>
  <c r="G279" i="17"/>
  <c r="H279" i="17"/>
  <c r="F58" i="34"/>
  <c r="G58" i="34"/>
  <c r="H58" i="34"/>
  <c r="F43" i="62"/>
  <c r="G43" i="62"/>
  <c r="H43" i="62"/>
  <c r="F85" i="49"/>
  <c r="G85" i="49"/>
  <c r="H85" i="49"/>
  <c r="F29" i="66"/>
  <c r="G29" i="66"/>
  <c r="H29" i="66"/>
  <c r="F72" i="57"/>
  <c r="G72" i="57"/>
  <c r="H72" i="57"/>
  <c r="F25" i="67"/>
  <c r="G25" i="67"/>
  <c r="H25" i="67"/>
  <c r="F445" i="25"/>
  <c r="G445" i="25"/>
  <c r="H445" i="25"/>
  <c r="R278" i="38"/>
  <c r="M278" i="38"/>
  <c r="N278" i="38" s="1"/>
  <c r="K278" i="38"/>
  <c r="L278" i="38" s="1"/>
  <c r="H278" i="38"/>
  <c r="D278" i="38"/>
  <c r="E278" i="38"/>
  <c r="F40" i="40"/>
  <c r="H40" i="40"/>
  <c r="G40" i="40"/>
  <c r="K2" i="40"/>
  <c r="K18" i="40" s="1"/>
  <c r="K19" i="40"/>
  <c r="O278" i="38" l="1"/>
  <c r="T278" i="38"/>
  <c r="F91" i="45"/>
  <c r="G91" i="45"/>
  <c r="H91" i="45"/>
  <c r="F86" i="61"/>
  <c r="G86" i="61"/>
  <c r="H86" i="61"/>
  <c r="F25" i="65"/>
  <c r="G25" i="65"/>
  <c r="H25" i="65"/>
  <c r="F27" i="68"/>
  <c r="G27" i="68"/>
  <c r="H27" i="68"/>
  <c r="F23" i="43"/>
  <c r="G23" i="43"/>
  <c r="H23" i="43"/>
  <c r="H22" i="43"/>
  <c r="G22" i="43"/>
  <c r="F84" i="49"/>
  <c r="G84" i="49"/>
  <c r="H84" i="49"/>
  <c r="F444" i="25"/>
  <c r="H444" i="25"/>
  <c r="G444" i="25"/>
  <c r="H256" i="25"/>
  <c r="F168" i="25"/>
  <c r="D277" i="38"/>
  <c r="E277" i="38"/>
  <c r="H277" i="38"/>
  <c r="K277" i="38"/>
  <c r="L277" i="38" s="1"/>
  <c r="M277" i="38"/>
  <c r="N277" i="38" s="1"/>
  <c r="R277" i="38"/>
  <c r="K182" i="25"/>
  <c r="F39" i="40"/>
  <c r="G39" i="40"/>
  <c r="H39" i="40"/>
  <c r="F3" i="40"/>
  <c r="F443" i="25"/>
  <c r="G443" i="25"/>
  <c r="H443" i="25"/>
  <c r="F165" i="25"/>
  <c r="K181" i="25"/>
  <c r="F191" i="7"/>
  <c r="H191" i="7"/>
  <c r="G191" i="7"/>
  <c r="F278" i="17"/>
  <c r="G278" i="17"/>
  <c r="H278" i="17"/>
  <c r="F72" i="7"/>
  <c r="K73" i="7"/>
  <c r="F81" i="7"/>
  <c r="K72" i="7"/>
  <c r="O277" i="38" l="1"/>
  <c r="T277" i="38"/>
  <c r="F38" i="40"/>
  <c r="G38" i="40"/>
  <c r="H38" i="40"/>
  <c r="F71" i="57"/>
  <c r="G71" i="57"/>
  <c r="H71" i="57"/>
  <c r="F85" i="61"/>
  <c r="G85" i="61"/>
  <c r="H85" i="61"/>
  <c r="F94" i="51"/>
  <c r="G94" i="51"/>
  <c r="H94" i="51"/>
  <c r="F90" i="45"/>
  <c r="G90" i="45"/>
  <c r="H90" i="45"/>
  <c r="F190" i="7"/>
  <c r="G190" i="7"/>
  <c r="H190" i="7"/>
  <c r="F24" i="67"/>
  <c r="G24" i="67"/>
  <c r="H24" i="67"/>
  <c r="F95" i="31"/>
  <c r="G95" i="31"/>
  <c r="H95" i="31"/>
  <c r="D276" i="38"/>
  <c r="E276" i="38"/>
  <c r="G276" i="38"/>
  <c r="H276" i="38"/>
  <c r="K276" i="38"/>
  <c r="L276" i="38" s="1"/>
  <c r="M276" i="38"/>
  <c r="T276" i="38" s="1"/>
  <c r="R276" i="38"/>
  <c r="F442" i="25"/>
  <c r="H442" i="25"/>
  <c r="F441" i="25"/>
  <c r="H441" i="25"/>
  <c r="G442" i="25"/>
  <c r="G441" i="25"/>
  <c r="F193" i="25"/>
  <c r="F192" i="25"/>
  <c r="O276" i="38" l="1"/>
  <c r="N276" i="38"/>
  <c r="F277" i="17"/>
  <c r="G277" i="17"/>
  <c r="H277" i="17"/>
  <c r="F84" i="61"/>
  <c r="G84" i="61"/>
  <c r="H84" i="61"/>
  <c r="F23" i="67"/>
  <c r="G23" i="67"/>
  <c r="H23" i="67"/>
  <c r="F93" i="51"/>
  <c r="G93" i="51"/>
  <c r="H93" i="51"/>
  <c r="F37" i="40"/>
  <c r="G37" i="40"/>
  <c r="H37" i="40"/>
  <c r="F89" i="45"/>
  <c r="G89" i="45"/>
  <c r="H89" i="45"/>
  <c r="F83" i="49"/>
  <c r="G83" i="49"/>
  <c r="H83" i="49"/>
  <c r="G275" i="38"/>
  <c r="D275" i="38"/>
  <c r="E275" i="38"/>
  <c r="H275" i="38"/>
  <c r="K275" i="38"/>
  <c r="L275" i="38" s="1"/>
  <c r="M275" i="38"/>
  <c r="T275" i="38" s="1"/>
  <c r="R275" i="38"/>
  <c r="F440" i="25"/>
  <c r="G440" i="25"/>
  <c r="H440" i="25"/>
  <c r="F191" i="25"/>
  <c r="O275" i="38" l="1"/>
  <c r="N275" i="38"/>
  <c r="C29" i="49"/>
  <c r="F276" i="17"/>
  <c r="G276" i="17"/>
  <c r="H276" i="17"/>
  <c r="F439" i="25"/>
  <c r="G439" i="25"/>
  <c r="H439" i="25"/>
  <c r="AE69" i="26"/>
  <c r="AD69" i="26"/>
  <c r="AE68" i="26"/>
  <c r="AD68" i="26"/>
  <c r="AE67" i="26"/>
  <c r="AD67" i="26"/>
  <c r="AE66" i="26"/>
  <c r="AD66" i="26"/>
  <c r="AE65" i="26"/>
  <c r="AD65" i="26"/>
  <c r="AE64" i="26"/>
  <c r="AD64" i="26"/>
  <c r="AE63" i="26"/>
  <c r="AD63" i="26"/>
  <c r="AE62" i="26"/>
  <c r="AD62" i="26"/>
  <c r="P62" i="26"/>
  <c r="AE61" i="26"/>
  <c r="AD61" i="26"/>
  <c r="P61" i="26"/>
  <c r="AE60" i="26"/>
  <c r="AD60" i="26"/>
  <c r="P60" i="26"/>
  <c r="AE59" i="26"/>
  <c r="AD59" i="26"/>
  <c r="P59" i="26"/>
  <c r="AE58" i="26"/>
  <c r="AD58" i="26"/>
  <c r="P58" i="26"/>
  <c r="AE57" i="26"/>
  <c r="AD57" i="26"/>
  <c r="P57" i="26"/>
  <c r="AE56" i="26"/>
  <c r="AD56" i="26"/>
  <c r="P56" i="26"/>
  <c r="AE55" i="26"/>
  <c r="AD55" i="26"/>
  <c r="P55" i="26"/>
  <c r="AE54" i="26"/>
  <c r="AD54" i="26"/>
  <c r="P54" i="26"/>
  <c r="AE53" i="26"/>
  <c r="AD53" i="26"/>
  <c r="P53" i="26"/>
  <c r="AE52" i="26"/>
  <c r="AD52" i="26"/>
  <c r="P52" i="26"/>
  <c r="AE51" i="26"/>
  <c r="AD51" i="26"/>
  <c r="P51" i="26"/>
  <c r="AE50" i="26"/>
  <c r="AD50" i="26"/>
  <c r="P50" i="26"/>
  <c r="AE49" i="26"/>
  <c r="AD49" i="26"/>
  <c r="P49" i="26"/>
  <c r="AE48" i="26"/>
  <c r="AD48" i="26"/>
  <c r="P48" i="26"/>
  <c r="AE47" i="26"/>
  <c r="AD47" i="26"/>
  <c r="P47" i="26"/>
  <c r="AE46" i="26"/>
  <c r="AD46" i="26"/>
  <c r="P46" i="26"/>
  <c r="AE45" i="26"/>
  <c r="AD45" i="26"/>
  <c r="P45" i="26"/>
  <c r="AE44" i="26"/>
  <c r="AD44" i="26"/>
  <c r="P44" i="26"/>
  <c r="M44" i="26"/>
  <c r="H44" i="26"/>
  <c r="C44" i="26"/>
  <c r="AE43" i="26"/>
  <c r="AD43" i="26"/>
  <c r="P43" i="26"/>
  <c r="AE42" i="26"/>
  <c r="AD42" i="26"/>
  <c r="P42" i="26"/>
  <c r="AE41" i="26"/>
  <c r="AD41" i="26"/>
  <c r="AE40" i="26"/>
  <c r="AD40" i="26"/>
  <c r="F40" i="26"/>
  <c r="AE39" i="26"/>
  <c r="AD39" i="26"/>
  <c r="K39" i="26"/>
  <c r="F39" i="26"/>
  <c r="AE38" i="26"/>
  <c r="AD38" i="26"/>
  <c r="K38" i="26"/>
  <c r="F38" i="26"/>
  <c r="AE37" i="26"/>
  <c r="AD37" i="26"/>
  <c r="K37" i="26"/>
  <c r="F37" i="26"/>
  <c r="AE36" i="26"/>
  <c r="AD36" i="26"/>
  <c r="K36" i="26"/>
  <c r="F36" i="26"/>
  <c r="AE35" i="26"/>
  <c r="AD35" i="26"/>
  <c r="K35" i="26"/>
  <c r="F35" i="26"/>
  <c r="AE34" i="26"/>
  <c r="AD34" i="26"/>
  <c r="AE33" i="26"/>
  <c r="AD33" i="26"/>
  <c r="AE32" i="26"/>
  <c r="AD32" i="26"/>
  <c r="AE31" i="26"/>
  <c r="AD31" i="26"/>
  <c r="AE30" i="26"/>
  <c r="AD30" i="26"/>
  <c r="AE29" i="26"/>
  <c r="AD29" i="26"/>
  <c r="AE28" i="26"/>
  <c r="AD28" i="26"/>
  <c r="AE27" i="26"/>
  <c r="AD27" i="26"/>
  <c r="H27" i="26"/>
  <c r="G27" i="26"/>
  <c r="AE26" i="26"/>
  <c r="AD26" i="26"/>
  <c r="AE25" i="26"/>
  <c r="AD25" i="26"/>
  <c r="H25" i="26"/>
  <c r="G25" i="26"/>
  <c r="AE24" i="26"/>
  <c r="AD24" i="26"/>
  <c r="H24" i="26"/>
  <c r="G24" i="26"/>
  <c r="AE23" i="26"/>
  <c r="AD23" i="26"/>
  <c r="H23" i="26"/>
  <c r="G23" i="26"/>
  <c r="F23" i="26"/>
  <c r="AE22" i="26"/>
  <c r="AD22" i="26"/>
  <c r="H22" i="26"/>
  <c r="G22" i="26"/>
  <c r="AE21" i="26"/>
  <c r="AD21" i="26"/>
  <c r="H21" i="26"/>
  <c r="G21" i="26"/>
  <c r="AE20" i="26"/>
  <c r="AD20" i="26"/>
  <c r="AE19" i="26"/>
  <c r="AD19" i="26"/>
  <c r="AE18" i="26"/>
  <c r="AD18" i="26"/>
  <c r="M18" i="26"/>
  <c r="K18" i="26"/>
  <c r="H18" i="26"/>
  <c r="F18" i="26"/>
  <c r="C18" i="26"/>
  <c r="AE17" i="26"/>
  <c r="AD17" i="26"/>
  <c r="AE16" i="26"/>
  <c r="AD16" i="26"/>
  <c r="AE15" i="26"/>
  <c r="AD15" i="26"/>
  <c r="AE14" i="26"/>
  <c r="AD14" i="26"/>
  <c r="AE13" i="26"/>
  <c r="AD13" i="26"/>
  <c r="AE12" i="26"/>
  <c r="AD12" i="26"/>
  <c r="AE11" i="26"/>
  <c r="AD11" i="26"/>
  <c r="Q11" i="26"/>
  <c r="AE10" i="26"/>
  <c r="AD10" i="26"/>
  <c r="AE9" i="26"/>
  <c r="AD9" i="26"/>
  <c r="AE8" i="26"/>
  <c r="AD8" i="26"/>
  <c r="AE7" i="26"/>
  <c r="AD7" i="26"/>
  <c r="AE6" i="26"/>
  <c r="AD6" i="26"/>
  <c r="AE5" i="26"/>
  <c r="AD5" i="26"/>
  <c r="AE4" i="26"/>
  <c r="AD4" i="26"/>
  <c r="AE3" i="26"/>
  <c r="AD3" i="26"/>
  <c r="AE2" i="26"/>
  <c r="AD2" i="26"/>
  <c r="AE69" i="30"/>
  <c r="AD69" i="30"/>
  <c r="AE68" i="30"/>
  <c r="AD68" i="30"/>
  <c r="AE67" i="30"/>
  <c r="AD67" i="30"/>
  <c r="AE66" i="30"/>
  <c r="AD66" i="30"/>
  <c r="AE65" i="30"/>
  <c r="AD65" i="30"/>
  <c r="AE64" i="30"/>
  <c r="AD64" i="30"/>
  <c r="AE63" i="30"/>
  <c r="AD63" i="30"/>
  <c r="AE62" i="30"/>
  <c r="AD62" i="30"/>
  <c r="AE61" i="30"/>
  <c r="AD61" i="30"/>
  <c r="AE60" i="30"/>
  <c r="AD60" i="30"/>
  <c r="Q60" i="30"/>
  <c r="AE59" i="30"/>
  <c r="AD59" i="30"/>
  <c r="Q59" i="30"/>
  <c r="AE58" i="30"/>
  <c r="AD58" i="30"/>
  <c r="Q58" i="30"/>
  <c r="AE57" i="30"/>
  <c r="AD57" i="30"/>
  <c r="Q57" i="30"/>
  <c r="AE56" i="30"/>
  <c r="AD56" i="30"/>
  <c r="Q56" i="30"/>
  <c r="AE55" i="30"/>
  <c r="AD55" i="30"/>
  <c r="Q55" i="30"/>
  <c r="AE54" i="30"/>
  <c r="AD54" i="30"/>
  <c r="Q54" i="30"/>
  <c r="AE53" i="30"/>
  <c r="AD53" i="30"/>
  <c r="Q53" i="30"/>
  <c r="AE52" i="30"/>
  <c r="AD52" i="30"/>
  <c r="Q52" i="30"/>
  <c r="AE51" i="30"/>
  <c r="AD51" i="30"/>
  <c r="Q51" i="30"/>
  <c r="AE50" i="30"/>
  <c r="AD50" i="30"/>
  <c r="Q50" i="30"/>
  <c r="AE49" i="30"/>
  <c r="AD49" i="30"/>
  <c r="Q49" i="30"/>
  <c r="AE48" i="30"/>
  <c r="AD48" i="30"/>
  <c r="Q48" i="30"/>
  <c r="AE47" i="30"/>
  <c r="AD47" i="30"/>
  <c r="Q47" i="30"/>
  <c r="AE46" i="30"/>
  <c r="AD46" i="30"/>
  <c r="Q46" i="30"/>
  <c r="AE45" i="30"/>
  <c r="AD45" i="30"/>
  <c r="Q45" i="30"/>
  <c r="AE44" i="30"/>
  <c r="AD44" i="30"/>
  <c r="Q44" i="30"/>
  <c r="AE43" i="30"/>
  <c r="AD43" i="30"/>
  <c r="Q43" i="30"/>
  <c r="AE42" i="30"/>
  <c r="AD42" i="30"/>
  <c r="Q42" i="30"/>
  <c r="AE41" i="30"/>
  <c r="AD41" i="30"/>
  <c r="Q41" i="30"/>
  <c r="AE40" i="30"/>
  <c r="AD40" i="30"/>
  <c r="Q40" i="30"/>
  <c r="AE39" i="30"/>
  <c r="AD39" i="30"/>
  <c r="AE38" i="30"/>
  <c r="AD38" i="30"/>
  <c r="AE37" i="30"/>
  <c r="AD37" i="30"/>
  <c r="AE36" i="30"/>
  <c r="AD36" i="30"/>
  <c r="AE35" i="30"/>
  <c r="AD35" i="30"/>
  <c r="M35" i="30"/>
  <c r="H35" i="30"/>
  <c r="C35" i="30"/>
  <c r="AE34" i="30"/>
  <c r="AD34" i="30"/>
  <c r="AE33" i="30"/>
  <c r="AD33" i="30"/>
  <c r="AE32" i="30"/>
  <c r="AD32" i="30"/>
  <c r="AE31" i="30"/>
  <c r="AD31" i="30"/>
  <c r="F31" i="30"/>
  <c r="AE30" i="30"/>
  <c r="AD30" i="30"/>
  <c r="K30" i="30"/>
  <c r="F30" i="30"/>
  <c r="AE29" i="30"/>
  <c r="AD29" i="30"/>
  <c r="K29" i="30"/>
  <c r="F29" i="30"/>
  <c r="AE28" i="30"/>
  <c r="AD28" i="30"/>
  <c r="AE27" i="30"/>
  <c r="AD27" i="30"/>
  <c r="AE26" i="30"/>
  <c r="AD26" i="30"/>
  <c r="AE25" i="30"/>
  <c r="AD25" i="30"/>
  <c r="AE24" i="30"/>
  <c r="AD24" i="30"/>
  <c r="AE23" i="30"/>
  <c r="AD23" i="30"/>
  <c r="AE22" i="30"/>
  <c r="AD22" i="30"/>
  <c r="AE21" i="30"/>
  <c r="AD21" i="30"/>
  <c r="AE20" i="30"/>
  <c r="AD20" i="30"/>
  <c r="AE19" i="30"/>
  <c r="AD19" i="30"/>
  <c r="AE18" i="30"/>
  <c r="AD18" i="30"/>
  <c r="M18" i="30"/>
  <c r="K18" i="30"/>
  <c r="H18" i="30"/>
  <c r="F18" i="30"/>
  <c r="C18" i="30"/>
  <c r="AE17" i="30"/>
  <c r="AD17" i="30"/>
  <c r="AE16" i="30"/>
  <c r="AD16" i="30"/>
  <c r="AE15" i="30"/>
  <c r="AD15" i="30"/>
  <c r="AE14" i="30"/>
  <c r="AD14" i="30"/>
  <c r="AE13" i="30"/>
  <c r="AD13" i="30"/>
  <c r="AE12" i="30"/>
  <c r="AD12" i="30"/>
  <c r="AE11" i="30"/>
  <c r="AD11" i="30"/>
  <c r="Q11" i="30"/>
  <c r="AE10" i="30"/>
  <c r="AD10" i="30"/>
  <c r="AE9" i="30"/>
  <c r="AD9" i="30"/>
  <c r="AE8" i="30"/>
  <c r="AD8" i="30"/>
  <c r="AE7" i="30"/>
  <c r="AD7" i="30"/>
  <c r="AE6" i="30"/>
  <c r="AD6" i="30"/>
  <c r="AE5" i="30"/>
  <c r="AD5" i="30"/>
  <c r="AE4" i="30"/>
  <c r="AD4" i="30"/>
  <c r="AE3" i="30"/>
  <c r="AD3" i="30"/>
  <c r="AE2" i="30"/>
  <c r="AD2" i="30"/>
  <c r="AE69" i="32"/>
  <c r="AD69" i="32"/>
  <c r="AE68" i="32"/>
  <c r="AD68" i="32"/>
  <c r="AE67" i="32"/>
  <c r="AD67" i="32"/>
  <c r="AE66" i="32"/>
  <c r="AD66" i="32"/>
  <c r="AE65" i="32"/>
  <c r="AD65" i="32"/>
  <c r="AE64" i="32"/>
  <c r="AD64" i="32"/>
  <c r="AE63" i="32"/>
  <c r="AD63" i="32"/>
  <c r="P63" i="32"/>
  <c r="AE62" i="32"/>
  <c r="AD62" i="32"/>
  <c r="P62" i="32"/>
  <c r="AE61" i="32"/>
  <c r="AD61" i="32"/>
  <c r="P61" i="32"/>
  <c r="AE60" i="32"/>
  <c r="AD60" i="32"/>
  <c r="P60" i="32"/>
  <c r="AE59" i="32"/>
  <c r="AD59" i="32"/>
  <c r="P59" i="32"/>
  <c r="AE58" i="32"/>
  <c r="AD58" i="32"/>
  <c r="P58" i="32"/>
  <c r="AE57" i="32"/>
  <c r="AD57" i="32"/>
  <c r="P57" i="32"/>
  <c r="AE56" i="32"/>
  <c r="AD56" i="32"/>
  <c r="P56" i="32"/>
  <c r="AE55" i="32"/>
  <c r="AD55" i="32"/>
  <c r="P55" i="32"/>
  <c r="AE54" i="32"/>
  <c r="AD54" i="32"/>
  <c r="P54" i="32"/>
  <c r="AE53" i="32"/>
  <c r="AD53" i="32"/>
  <c r="P53" i="32"/>
  <c r="AE52" i="32"/>
  <c r="AD52" i="32"/>
  <c r="P52" i="32"/>
  <c r="AE51" i="32"/>
  <c r="AD51" i="32"/>
  <c r="P51" i="32"/>
  <c r="AE50" i="32"/>
  <c r="AD50" i="32"/>
  <c r="P50" i="32"/>
  <c r="AE49" i="32"/>
  <c r="AD49" i="32"/>
  <c r="P49" i="32"/>
  <c r="AE48" i="32"/>
  <c r="AD48" i="32"/>
  <c r="P48" i="32"/>
  <c r="AE47" i="32"/>
  <c r="AD47" i="32"/>
  <c r="P47" i="32"/>
  <c r="M47" i="32"/>
  <c r="H47" i="32"/>
  <c r="C47" i="32"/>
  <c r="AE46" i="32"/>
  <c r="AD46" i="32"/>
  <c r="P46" i="32"/>
  <c r="AE45" i="32"/>
  <c r="AD45" i="32"/>
  <c r="P45" i="32"/>
  <c r="F45" i="32"/>
  <c r="AE44" i="32"/>
  <c r="AD44" i="32"/>
  <c r="P44" i="32"/>
  <c r="F44" i="32"/>
  <c r="AE43" i="32"/>
  <c r="AD43" i="32"/>
  <c r="P43" i="32"/>
  <c r="F43" i="32"/>
  <c r="AE42" i="32"/>
  <c r="AD42" i="32"/>
  <c r="K42" i="32"/>
  <c r="F42" i="32"/>
  <c r="AE41" i="32"/>
  <c r="AD41" i="32"/>
  <c r="K41" i="32"/>
  <c r="F41" i="32"/>
  <c r="AE40" i="32"/>
  <c r="AD40" i="32"/>
  <c r="K40" i="32"/>
  <c r="F40" i="32"/>
  <c r="AE39" i="32"/>
  <c r="AD39" i="32"/>
  <c r="K39" i="32"/>
  <c r="F39" i="32"/>
  <c r="AE38" i="32"/>
  <c r="AD38" i="32"/>
  <c r="K38" i="32"/>
  <c r="F38" i="32"/>
  <c r="AE37" i="32"/>
  <c r="AD37" i="32"/>
  <c r="AE36" i="32"/>
  <c r="AD36" i="32"/>
  <c r="AE35" i="32"/>
  <c r="AD35" i="32"/>
  <c r="AE34" i="32"/>
  <c r="AD34" i="32"/>
  <c r="AE33" i="32"/>
  <c r="AD33" i="32"/>
  <c r="AE32" i="32"/>
  <c r="AD32" i="32"/>
  <c r="AE31" i="32"/>
  <c r="AD31" i="32"/>
  <c r="H31" i="32"/>
  <c r="G31" i="32"/>
  <c r="AE30" i="32"/>
  <c r="AD30" i="32"/>
  <c r="H30" i="32"/>
  <c r="G30" i="32"/>
  <c r="AE29" i="32"/>
  <c r="AD29" i="32"/>
  <c r="H29" i="32"/>
  <c r="G29" i="32"/>
  <c r="AE28" i="32"/>
  <c r="AD28" i="32"/>
  <c r="H28" i="32"/>
  <c r="G28" i="32"/>
  <c r="AE27" i="32"/>
  <c r="AD27" i="32"/>
  <c r="H27" i="32"/>
  <c r="G27" i="32"/>
  <c r="AE26" i="32"/>
  <c r="AD26" i="32"/>
  <c r="H26" i="32"/>
  <c r="G26" i="32"/>
  <c r="AE25" i="32"/>
  <c r="AD25" i="32"/>
  <c r="H25" i="32"/>
  <c r="G25" i="32"/>
  <c r="AE24" i="32"/>
  <c r="AD24" i="32"/>
  <c r="H24" i="32"/>
  <c r="G24" i="32"/>
  <c r="AE23" i="32"/>
  <c r="AD23" i="32"/>
  <c r="H23" i="32"/>
  <c r="G23" i="32"/>
  <c r="AE22" i="32"/>
  <c r="AD22" i="32"/>
  <c r="H22" i="32"/>
  <c r="G22" i="32"/>
  <c r="AE21" i="32"/>
  <c r="AD21" i="32"/>
  <c r="H21" i="32"/>
  <c r="G21" i="32"/>
  <c r="AE20" i="32"/>
  <c r="AD20" i="32"/>
  <c r="AE19" i="32"/>
  <c r="AD19" i="32"/>
  <c r="AE18" i="32"/>
  <c r="AD18" i="32"/>
  <c r="M18" i="32"/>
  <c r="K18" i="32"/>
  <c r="H18" i="32"/>
  <c r="F18" i="32"/>
  <c r="C18" i="32"/>
  <c r="AE17" i="32"/>
  <c r="AD17" i="32"/>
  <c r="AE16" i="32"/>
  <c r="AD16" i="32"/>
  <c r="AE15" i="32"/>
  <c r="AD15" i="32"/>
  <c r="AE14" i="32"/>
  <c r="AD14" i="32"/>
  <c r="AE13" i="32"/>
  <c r="AD13" i="32"/>
  <c r="AE12" i="32"/>
  <c r="AD12" i="32"/>
  <c r="AE11" i="32"/>
  <c r="AD11" i="32"/>
  <c r="Q11" i="32"/>
  <c r="AE10" i="32"/>
  <c r="AD10" i="32"/>
  <c r="AE9" i="32"/>
  <c r="AD9" i="32"/>
  <c r="AE8" i="32"/>
  <c r="AD8" i="32"/>
  <c r="AE7" i="32"/>
  <c r="AD7" i="32"/>
  <c r="AE6" i="32"/>
  <c r="AD6" i="32"/>
  <c r="AE5" i="32"/>
  <c r="AD5" i="32"/>
  <c r="AE4" i="32"/>
  <c r="AD4" i="32"/>
  <c r="AE3" i="32"/>
  <c r="AD3" i="32"/>
  <c r="AE2" i="32"/>
  <c r="AD2" i="32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P53" i="48"/>
  <c r="P52" i="48"/>
  <c r="P51" i="48"/>
  <c r="P50" i="48"/>
  <c r="P49" i="48"/>
  <c r="P48" i="48"/>
  <c r="P47" i="48"/>
  <c r="P46" i="48"/>
  <c r="M54" i="48"/>
  <c r="H54" i="48"/>
  <c r="C54" i="48"/>
  <c r="K45" i="48"/>
  <c r="K54" i="48" s="1"/>
  <c r="F45" i="48"/>
  <c r="F54" i="48" s="1"/>
  <c r="H24" i="48"/>
  <c r="G24" i="48"/>
  <c r="F24" i="48"/>
  <c r="H23" i="48"/>
  <c r="G23" i="48"/>
  <c r="F23" i="48"/>
  <c r="H22" i="48"/>
  <c r="G22" i="48"/>
  <c r="F22" i="48"/>
  <c r="H21" i="48"/>
  <c r="G21" i="48"/>
  <c r="F21" i="48"/>
  <c r="M18" i="48"/>
  <c r="K18" i="48"/>
  <c r="H18" i="48"/>
  <c r="F18" i="48"/>
  <c r="C18" i="48"/>
  <c r="Q11" i="48"/>
  <c r="AE69" i="29"/>
  <c r="AD69" i="29"/>
  <c r="AE68" i="29"/>
  <c r="AD68" i="29"/>
  <c r="AE67" i="29"/>
  <c r="AD67" i="29"/>
  <c r="AE66" i="29"/>
  <c r="AD66" i="29"/>
  <c r="AE65" i="29"/>
  <c r="AD65" i="29"/>
  <c r="AE64" i="29"/>
  <c r="AD64" i="29"/>
  <c r="AE63" i="29"/>
  <c r="AD63" i="29"/>
  <c r="AE62" i="29"/>
  <c r="AD62" i="29"/>
  <c r="P62" i="29"/>
  <c r="AE61" i="29"/>
  <c r="AD61" i="29"/>
  <c r="P61" i="29"/>
  <c r="AE60" i="29"/>
  <c r="AD60" i="29"/>
  <c r="P60" i="29"/>
  <c r="AE59" i="29"/>
  <c r="AD59" i="29"/>
  <c r="P59" i="29"/>
  <c r="AE58" i="29"/>
  <c r="AD58" i="29"/>
  <c r="P58" i="29"/>
  <c r="AE57" i="29"/>
  <c r="AD57" i="29"/>
  <c r="P57" i="29"/>
  <c r="AE56" i="29"/>
  <c r="AD56" i="29"/>
  <c r="P56" i="29"/>
  <c r="AE55" i="29"/>
  <c r="AD55" i="29"/>
  <c r="P55" i="29"/>
  <c r="AE54" i="29"/>
  <c r="AD54" i="29"/>
  <c r="P54" i="29"/>
  <c r="AE53" i="29"/>
  <c r="AD53" i="29"/>
  <c r="P53" i="29"/>
  <c r="AE52" i="29"/>
  <c r="AD52" i="29"/>
  <c r="P52" i="29"/>
  <c r="AE51" i="29"/>
  <c r="AD51" i="29"/>
  <c r="P51" i="29"/>
  <c r="AE50" i="29"/>
  <c r="AD50" i="29"/>
  <c r="P50" i="29"/>
  <c r="AE49" i="29"/>
  <c r="AD49" i="29"/>
  <c r="P49" i="29"/>
  <c r="AE48" i="29"/>
  <c r="AD48" i="29"/>
  <c r="P48" i="29"/>
  <c r="AE47" i="29"/>
  <c r="AD47" i="29"/>
  <c r="P47" i="29"/>
  <c r="M47" i="29"/>
  <c r="H47" i="29"/>
  <c r="C47" i="29"/>
  <c r="AE46" i="29"/>
  <c r="AD46" i="29"/>
  <c r="P46" i="29"/>
  <c r="AE45" i="29"/>
  <c r="AD45" i="29"/>
  <c r="P45" i="29"/>
  <c r="AE44" i="29"/>
  <c r="AD44" i="29"/>
  <c r="P44" i="29"/>
  <c r="AE43" i="29"/>
  <c r="AD43" i="29"/>
  <c r="P43" i="29"/>
  <c r="AE42" i="29"/>
  <c r="AD42" i="29"/>
  <c r="P42" i="29"/>
  <c r="AE41" i="29"/>
  <c r="AD41" i="29"/>
  <c r="AE40" i="29"/>
  <c r="AD40" i="29"/>
  <c r="AE39" i="29"/>
  <c r="AD39" i="29"/>
  <c r="AE38" i="29"/>
  <c r="AD38" i="29"/>
  <c r="AE37" i="29"/>
  <c r="AD37" i="29"/>
  <c r="AE36" i="29"/>
  <c r="AD36" i="29"/>
  <c r="AE35" i="29"/>
  <c r="AD35" i="29"/>
  <c r="AE34" i="29"/>
  <c r="AD34" i="29"/>
  <c r="F34" i="29"/>
  <c r="AE33" i="29"/>
  <c r="AD33" i="29"/>
  <c r="F33" i="29"/>
  <c r="AE32" i="29"/>
  <c r="AD32" i="29"/>
  <c r="K32" i="29"/>
  <c r="F32" i="29"/>
  <c r="AE31" i="29"/>
  <c r="AD31" i="29"/>
  <c r="K31" i="29"/>
  <c r="F31" i="29"/>
  <c r="AE30" i="29"/>
  <c r="AD30" i="29"/>
  <c r="AE29" i="29"/>
  <c r="AD29" i="29"/>
  <c r="AE28" i="29"/>
  <c r="AD28" i="29"/>
  <c r="AE27" i="29"/>
  <c r="AD27" i="29"/>
  <c r="AE26" i="29"/>
  <c r="AD26" i="29"/>
  <c r="AE25" i="29"/>
  <c r="AD25" i="29"/>
  <c r="AE24" i="29"/>
  <c r="AD24" i="29"/>
  <c r="AE23" i="29"/>
  <c r="AD23" i="29"/>
  <c r="AE22" i="29"/>
  <c r="AD22" i="29"/>
  <c r="AE21" i="29"/>
  <c r="AD21" i="29"/>
  <c r="AE20" i="29"/>
  <c r="AD20" i="29"/>
  <c r="AE19" i="29"/>
  <c r="AD19" i="29"/>
  <c r="AE18" i="29"/>
  <c r="AD18" i="29"/>
  <c r="M18" i="29"/>
  <c r="K18" i="29"/>
  <c r="H18" i="29"/>
  <c r="F18" i="29"/>
  <c r="C18" i="29"/>
  <c r="AE17" i="29"/>
  <c r="AD17" i="29"/>
  <c r="AE16" i="29"/>
  <c r="AD16" i="29"/>
  <c r="AE15" i="29"/>
  <c r="AD15" i="29"/>
  <c r="AE14" i="29"/>
  <c r="AD14" i="29"/>
  <c r="AE13" i="29"/>
  <c r="AD13" i="29"/>
  <c r="AE12" i="29"/>
  <c r="AD12" i="29"/>
  <c r="AE11" i="29"/>
  <c r="AD11" i="29"/>
  <c r="Q11" i="29"/>
  <c r="AE10" i="29"/>
  <c r="AD10" i="29"/>
  <c r="AE9" i="29"/>
  <c r="AD9" i="29"/>
  <c r="AE8" i="29"/>
  <c r="AD8" i="29"/>
  <c r="AE7" i="29"/>
  <c r="AD7" i="29"/>
  <c r="AE6" i="29"/>
  <c r="AD6" i="29"/>
  <c r="AE5" i="29"/>
  <c r="AD5" i="29"/>
  <c r="AE4" i="29"/>
  <c r="AD4" i="29"/>
  <c r="AE3" i="29"/>
  <c r="AD3" i="29"/>
  <c r="AE2" i="29"/>
  <c r="AD2" i="29"/>
  <c r="AF69" i="43"/>
  <c r="AE69" i="43"/>
  <c r="AF68" i="43"/>
  <c r="AE68" i="43"/>
  <c r="AF67" i="43"/>
  <c r="AE67" i="43"/>
  <c r="AF66" i="43"/>
  <c r="AE66" i="43"/>
  <c r="AF65" i="43"/>
  <c r="AE65" i="43"/>
  <c r="AF64" i="43"/>
  <c r="AE64" i="43"/>
  <c r="AF63" i="43"/>
  <c r="AE63" i="43"/>
  <c r="AF62" i="43"/>
  <c r="AE62" i="43"/>
  <c r="P62" i="43"/>
  <c r="AF61" i="43"/>
  <c r="AE61" i="43"/>
  <c r="P61" i="43"/>
  <c r="AF60" i="43"/>
  <c r="AE60" i="43"/>
  <c r="P60" i="43"/>
  <c r="AF59" i="43"/>
  <c r="AE59" i="43"/>
  <c r="P59" i="43"/>
  <c r="AF58" i="43"/>
  <c r="AE58" i="43"/>
  <c r="P58" i="43"/>
  <c r="AF57" i="43"/>
  <c r="AE57" i="43"/>
  <c r="P57" i="43"/>
  <c r="AF56" i="43"/>
  <c r="AE56" i="43"/>
  <c r="P56" i="43"/>
  <c r="AF55" i="43"/>
  <c r="AE55" i="43"/>
  <c r="P55" i="43"/>
  <c r="AF54" i="43"/>
  <c r="AE54" i="43"/>
  <c r="P54" i="43"/>
  <c r="AF53" i="43"/>
  <c r="AE53" i="43"/>
  <c r="P53" i="43"/>
  <c r="AF52" i="43"/>
  <c r="AE52" i="43"/>
  <c r="P52" i="43"/>
  <c r="AF51" i="43"/>
  <c r="AE51" i="43"/>
  <c r="P51" i="43"/>
  <c r="AF50" i="43"/>
  <c r="AE50" i="43"/>
  <c r="P50" i="43"/>
  <c r="AF49" i="43"/>
  <c r="AE49" i="43"/>
  <c r="P49" i="43"/>
  <c r="AF48" i="43"/>
  <c r="AE48" i="43"/>
  <c r="P48" i="43"/>
  <c r="AF47" i="43"/>
  <c r="AE47" i="43"/>
  <c r="P47" i="43"/>
  <c r="AF46" i="43"/>
  <c r="AE46" i="43"/>
  <c r="P46" i="43"/>
  <c r="AF45" i="43"/>
  <c r="AE45" i="43"/>
  <c r="P45" i="43"/>
  <c r="AF44" i="43"/>
  <c r="AE44" i="43"/>
  <c r="P44" i="43"/>
  <c r="AF43" i="43"/>
  <c r="AE43" i="43"/>
  <c r="P43" i="43"/>
  <c r="AF42" i="43"/>
  <c r="AE42" i="43"/>
  <c r="P42" i="43"/>
  <c r="AF41" i="43"/>
  <c r="AE41" i="43"/>
  <c r="AF40" i="43"/>
  <c r="AE40" i="43"/>
  <c r="AF39" i="43"/>
  <c r="AE39" i="43"/>
  <c r="AF38" i="43"/>
  <c r="AE38" i="43"/>
  <c r="AF37" i="43"/>
  <c r="AE37" i="43"/>
  <c r="M49" i="43"/>
  <c r="H49" i="43"/>
  <c r="C49" i="43"/>
  <c r="AF36" i="43"/>
  <c r="AE36" i="43"/>
  <c r="AF35" i="43"/>
  <c r="AE35" i="43"/>
  <c r="AF34" i="43"/>
  <c r="AE34" i="43"/>
  <c r="AF33" i="43"/>
  <c r="AE33" i="43"/>
  <c r="AF32" i="43"/>
  <c r="AE32" i="43"/>
  <c r="AF31" i="43"/>
  <c r="AE31" i="43"/>
  <c r="AF30" i="43"/>
  <c r="AE30" i="43"/>
  <c r="K42" i="43"/>
  <c r="K49" i="43" s="1"/>
  <c r="F42" i="43"/>
  <c r="F49" i="43" s="1"/>
  <c r="AF29" i="43"/>
  <c r="AE29" i="43"/>
  <c r="AF28" i="43"/>
  <c r="AE28" i="43"/>
  <c r="AF27" i="43"/>
  <c r="AE27" i="43"/>
  <c r="AF26" i="43"/>
  <c r="AE26" i="43"/>
  <c r="AF25" i="43"/>
  <c r="AE25" i="43"/>
  <c r="AF24" i="43"/>
  <c r="AE24" i="43"/>
  <c r="AF23" i="43"/>
  <c r="AE23" i="43"/>
  <c r="AF22" i="43"/>
  <c r="AE22" i="43"/>
  <c r="F22" i="43"/>
  <c r="AF21" i="43"/>
  <c r="AE21" i="43"/>
  <c r="AF20" i="43"/>
  <c r="AE20" i="43"/>
  <c r="AF19" i="43"/>
  <c r="AE19" i="43"/>
  <c r="AF18" i="43"/>
  <c r="AE18" i="43"/>
  <c r="M18" i="43"/>
  <c r="K18" i="43"/>
  <c r="H18" i="43"/>
  <c r="C18" i="43"/>
  <c r="AF17" i="43"/>
  <c r="AE17" i="43"/>
  <c r="AF16" i="43"/>
  <c r="AE16" i="43"/>
  <c r="AF15" i="43"/>
  <c r="AE15" i="43"/>
  <c r="AF14" i="43"/>
  <c r="AE14" i="43"/>
  <c r="AF13" i="43"/>
  <c r="AE13" i="43"/>
  <c r="AF12" i="43"/>
  <c r="AE12" i="43"/>
  <c r="AF11" i="43"/>
  <c r="AE11" i="43"/>
  <c r="Q11" i="43"/>
  <c r="AF10" i="43"/>
  <c r="AE10" i="43"/>
  <c r="AF9" i="43"/>
  <c r="AE9" i="43"/>
  <c r="AF8" i="43"/>
  <c r="AE8" i="43"/>
  <c r="AF7" i="43"/>
  <c r="AE7" i="43"/>
  <c r="AF6" i="43"/>
  <c r="AE6" i="43"/>
  <c r="AF5" i="43"/>
  <c r="AE5" i="43"/>
  <c r="AF4" i="43"/>
  <c r="AE4" i="43"/>
  <c r="AF3" i="43"/>
  <c r="AE3" i="43"/>
  <c r="AF2" i="43"/>
  <c r="AE2" i="43"/>
  <c r="F2" i="43"/>
  <c r="F18" i="43" s="1"/>
  <c r="AE69" i="28"/>
  <c r="AD69" i="28"/>
  <c r="AE68" i="28"/>
  <c r="AD68" i="28"/>
  <c r="AE67" i="28"/>
  <c r="AD67" i="28"/>
  <c r="AE66" i="28"/>
  <c r="AD66" i="28"/>
  <c r="AE65" i="28"/>
  <c r="AD65" i="28"/>
  <c r="AE64" i="28"/>
  <c r="AD64" i="28"/>
  <c r="AE63" i="28"/>
  <c r="AD63" i="28"/>
  <c r="P63" i="28"/>
  <c r="AE62" i="28"/>
  <c r="AD62" i="28"/>
  <c r="P62" i="28"/>
  <c r="AE61" i="28"/>
  <c r="AD61" i="28"/>
  <c r="P61" i="28"/>
  <c r="AE60" i="28"/>
  <c r="AD60" i="28"/>
  <c r="P60" i="28"/>
  <c r="AE59" i="28"/>
  <c r="AD59" i="28"/>
  <c r="P59" i="28"/>
  <c r="AE58" i="28"/>
  <c r="AD58" i="28"/>
  <c r="P58" i="28"/>
  <c r="AE57" i="28"/>
  <c r="AD57" i="28"/>
  <c r="P57" i="28"/>
  <c r="AE56" i="28"/>
  <c r="AD56" i="28"/>
  <c r="P56" i="28"/>
  <c r="AE55" i="28"/>
  <c r="AD55" i="28"/>
  <c r="P55" i="28"/>
  <c r="AE54" i="28"/>
  <c r="AD54" i="28"/>
  <c r="P54" i="28"/>
  <c r="AE53" i="28"/>
  <c r="AD53" i="28"/>
  <c r="P53" i="28"/>
  <c r="AE52" i="28"/>
  <c r="AD52" i="28"/>
  <c r="P52" i="28"/>
  <c r="AE51" i="28"/>
  <c r="AD51" i="28"/>
  <c r="P51" i="28"/>
  <c r="M51" i="28"/>
  <c r="H51" i="28"/>
  <c r="C51" i="28"/>
  <c r="AE50" i="28"/>
  <c r="AD50" i="28"/>
  <c r="P50" i="28"/>
  <c r="AE49" i="28"/>
  <c r="AD49" i="28"/>
  <c r="P49" i="28"/>
  <c r="AE48" i="28"/>
  <c r="AD48" i="28"/>
  <c r="P48" i="28"/>
  <c r="AE47" i="28"/>
  <c r="AD47" i="28"/>
  <c r="P47" i="28"/>
  <c r="AE46" i="28"/>
  <c r="AD46" i="28"/>
  <c r="P46" i="28"/>
  <c r="AE45" i="28"/>
  <c r="AD45" i="28"/>
  <c r="P45" i="28"/>
  <c r="AE44" i="28"/>
  <c r="AD44" i="28"/>
  <c r="P44" i="28"/>
  <c r="AE43" i="28"/>
  <c r="AD43" i="28"/>
  <c r="P43" i="28"/>
  <c r="AE42" i="28"/>
  <c r="AD42" i="28"/>
  <c r="AE41" i="28"/>
  <c r="AD41" i="28"/>
  <c r="AE40" i="28"/>
  <c r="AD40" i="28"/>
  <c r="AE39" i="28"/>
  <c r="AD39" i="28"/>
  <c r="AE38" i="28"/>
  <c r="AD38" i="28"/>
  <c r="AE37" i="28"/>
  <c r="AD37" i="28"/>
  <c r="F37" i="28"/>
  <c r="AE36" i="28"/>
  <c r="AD36" i="28"/>
  <c r="F36" i="28"/>
  <c r="AE35" i="28"/>
  <c r="AD35" i="28"/>
  <c r="K35" i="28"/>
  <c r="K51" i="28" s="1"/>
  <c r="F35" i="28"/>
  <c r="AE34" i="28"/>
  <c r="AD34" i="28"/>
  <c r="AE33" i="28"/>
  <c r="AD33" i="28"/>
  <c r="AE32" i="28"/>
  <c r="AD32" i="28"/>
  <c r="AE31" i="28"/>
  <c r="AD31" i="28"/>
  <c r="AE30" i="28"/>
  <c r="AD30" i="28"/>
  <c r="AE29" i="28"/>
  <c r="AD29" i="28"/>
  <c r="AE28" i="28"/>
  <c r="AD28" i="28"/>
  <c r="AE27" i="28"/>
  <c r="AD27" i="28"/>
  <c r="AE26" i="28"/>
  <c r="AD26" i="28"/>
  <c r="AE25" i="28"/>
  <c r="AD25" i="28"/>
  <c r="AE24" i="28"/>
  <c r="AD24" i="28"/>
  <c r="AE23" i="28"/>
  <c r="AD23" i="28"/>
  <c r="AE22" i="28"/>
  <c r="AD22" i="28"/>
  <c r="AE21" i="28"/>
  <c r="AD21" i="28"/>
  <c r="AE20" i="28"/>
  <c r="AD20" i="28"/>
  <c r="AE19" i="28"/>
  <c r="AD19" i="28"/>
  <c r="AE18" i="28"/>
  <c r="AD18" i="28"/>
  <c r="M18" i="28"/>
  <c r="K18" i="28"/>
  <c r="H18" i="28"/>
  <c r="F18" i="28"/>
  <c r="C18" i="28"/>
  <c r="AE17" i="28"/>
  <c r="AD17" i="28"/>
  <c r="AE16" i="28"/>
  <c r="AD16" i="28"/>
  <c r="AE15" i="28"/>
  <c r="AD15" i="28"/>
  <c r="AE14" i="28"/>
  <c r="AD14" i="28"/>
  <c r="AE13" i="28"/>
  <c r="AD13" i="28"/>
  <c r="AE12" i="28"/>
  <c r="AD12" i="28"/>
  <c r="AE11" i="28"/>
  <c r="AD11" i="28"/>
  <c r="Q11" i="28"/>
  <c r="AE10" i="28"/>
  <c r="AD10" i="28"/>
  <c r="AE9" i="28"/>
  <c r="AD9" i="28"/>
  <c r="AE8" i="28"/>
  <c r="AD8" i="28"/>
  <c r="AE7" i="28"/>
  <c r="AD7" i="28"/>
  <c r="AE6" i="28"/>
  <c r="AD6" i="28"/>
  <c r="AE5" i="28"/>
  <c r="AD5" i="28"/>
  <c r="AE4" i="28"/>
  <c r="AD4" i="28"/>
  <c r="AE3" i="28"/>
  <c r="AD3" i="28"/>
  <c r="AE2" i="28"/>
  <c r="AD2" i="28"/>
  <c r="H94" i="31"/>
  <c r="G94" i="31"/>
  <c r="F94" i="31"/>
  <c r="H93" i="31"/>
  <c r="G93" i="31"/>
  <c r="F93" i="31"/>
  <c r="H92" i="31"/>
  <c r="G92" i="31"/>
  <c r="F92" i="31"/>
  <c r="H91" i="31"/>
  <c r="G91" i="31"/>
  <c r="F91" i="31"/>
  <c r="H90" i="31"/>
  <c r="G90" i="31"/>
  <c r="F90" i="31"/>
  <c r="H89" i="31"/>
  <c r="G89" i="31"/>
  <c r="F89" i="31"/>
  <c r="H88" i="31"/>
  <c r="G88" i="31"/>
  <c r="F88" i="31"/>
  <c r="H87" i="31"/>
  <c r="G87" i="31"/>
  <c r="F87" i="31"/>
  <c r="H86" i="31"/>
  <c r="G86" i="31"/>
  <c r="F86" i="31"/>
  <c r="H85" i="31"/>
  <c r="G85" i="31"/>
  <c r="F85" i="31"/>
  <c r="H84" i="31"/>
  <c r="G84" i="31"/>
  <c r="F84" i="31"/>
  <c r="H83" i="31"/>
  <c r="G83" i="31"/>
  <c r="F83" i="31"/>
  <c r="H82" i="31"/>
  <c r="G82" i="31"/>
  <c r="F82" i="31"/>
  <c r="H81" i="31"/>
  <c r="G81" i="31"/>
  <c r="F81" i="31"/>
  <c r="H80" i="31"/>
  <c r="G80" i="31"/>
  <c r="F80" i="31"/>
  <c r="H79" i="31"/>
  <c r="G79" i="31"/>
  <c r="F79" i="31"/>
  <c r="H78" i="31"/>
  <c r="G78" i="31"/>
  <c r="F78" i="31"/>
  <c r="H77" i="31"/>
  <c r="G77" i="31"/>
  <c r="F77" i="31"/>
  <c r="H76" i="31"/>
  <c r="G76" i="31"/>
  <c r="F76" i="31"/>
  <c r="H75" i="31"/>
  <c r="G75" i="31"/>
  <c r="F75" i="31"/>
  <c r="H74" i="31"/>
  <c r="G74" i="31"/>
  <c r="F74" i="31"/>
  <c r="H73" i="31"/>
  <c r="G73" i="31"/>
  <c r="F73" i="31"/>
  <c r="H72" i="31"/>
  <c r="G72" i="31"/>
  <c r="F72" i="31"/>
  <c r="H71" i="31"/>
  <c r="G71" i="31"/>
  <c r="F71" i="31"/>
  <c r="H70" i="31"/>
  <c r="G70" i="31"/>
  <c r="F70" i="31"/>
  <c r="AE69" i="31"/>
  <c r="AD69" i="31"/>
  <c r="H69" i="31"/>
  <c r="G69" i="31"/>
  <c r="F69" i="31"/>
  <c r="AE68" i="31"/>
  <c r="AD68" i="31"/>
  <c r="H68" i="31"/>
  <c r="G68" i="31"/>
  <c r="F68" i="31"/>
  <c r="AE67" i="31"/>
  <c r="AD67" i="31"/>
  <c r="H67" i="31"/>
  <c r="G67" i="31"/>
  <c r="F67" i="31"/>
  <c r="AE66" i="31"/>
  <c r="AD66" i="31"/>
  <c r="H66" i="31"/>
  <c r="G66" i="31"/>
  <c r="F66" i="31"/>
  <c r="AE65" i="31"/>
  <c r="AD65" i="31"/>
  <c r="H65" i="31"/>
  <c r="G65" i="31"/>
  <c r="F65" i="31"/>
  <c r="AE64" i="31"/>
  <c r="AD64" i="31"/>
  <c r="H64" i="31"/>
  <c r="G64" i="31"/>
  <c r="F64" i="31"/>
  <c r="AE63" i="31"/>
  <c r="AD63" i="31"/>
  <c r="P63" i="31"/>
  <c r="H63" i="31"/>
  <c r="G63" i="31"/>
  <c r="F63" i="31"/>
  <c r="AE62" i="31"/>
  <c r="AD62" i="31"/>
  <c r="P62" i="31"/>
  <c r="H62" i="31"/>
  <c r="G62" i="31"/>
  <c r="F62" i="31"/>
  <c r="AE61" i="31"/>
  <c r="AD61" i="31"/>
  <c r="P61" i="31"/>
  <c r="H61" i="31"/>
  <c r="G61" i="31"/>
  <c r="F61" i="31"/>
  <c r="AE60" i="31"/>
  <c r="AD60" i="31"/>
  <c r="P60" i="31"/>
  <c r="H60" i="31"/>
  <c r="G60" i="31"/>
  <c r="F60" i="31"/>
  <c r="AE59" i="31"/>
  <c r="AD59" i="31"/>
  <c r="P59" i="31"/>
  <c r="H59" i="31"/>
  <c r="G59" i="31"/>
  <c r="F59" i="31"/>
  <c r="AE58" i="31"/>
  <c r="AD58" i="31"/>
  <c r="P58" i="31"/>
  <c r="H58" i="31"/>
  <c r="G58" i="31"/>
  <c r="F58" i="31"/>
  <c r="AE57" i="31"/>
  <c r="AD57" i="31"/>
  <c r="P57" i="31"/>
  <c r="H57" i="31"/>
  <c r="G57" i="31"/>
  <c r="F57" i="31"/>
  <c r="AE56" i="31"/>
  <c r="AD56" i="31"/>
  <c r="P56" i="31"/>
  <c r="H56" i="31"/>
  <c r="G56" i="31"/>
  <c r="F56" i="31"/>
  <c r="AE55" i="31"/>
  <c r="AD55" i="31"/>
  <c r="P55" i="31"/>
  <c r="H55" i="31"/>
  <c r="G55" i="31"/>
  <c r="F55" i="31"/>
  <c r="AE54" i="31"/>
  <c r="AD54" i="31"/>
  <c r="P54" i="31"/>
  <c r="H54" i="31"/>
  <c r="G54" i="31"/>
  <c r="F54" i="31"/>
  <c r="AE53" i="31"/>
  <c r="AD53" i="31"/>
  <c r="P53" i="31"/>
  <c r="H53" i="31"/>
  <c r="G53" i="31"/>
  <c r="F53" i="31"/>
  <c r="AE52" i="31"/>
  <c r="AD52" i="31"/>
  <c r="P52" i="31"/>
  <c r="H52" i="31"/>
  <c r="G52" i="31"/>
  <c r="F52" i="31"/>
  <c r="AE51" i="31"/>
  <c r="AD51" i="31"/>
  <c r="P51" i="31"/>
  <c r="H51" i="31"/>
  <c r="G51" i="31"/>
  <c r="F51" i="31"/>
  <c r="AE50" i="31"/>
  <c r="AD50" i="31"/>
  <c r="P50" i="31"/>
  <c r="H50" i="31"/>
  <c r="G50" i="31"/>
  <c r="F50" i="31"/>
  <c r="AE49" i="31"/>
  <c r="AD49" i="31"/>
  <c r="P49" i="31"/>
  <c r="H49" i="31"/>
  <c r="G49" i="31"/>
  <c r="F49" i="31"/>
  <c r="AE48" i="31"/>
  <c r="AD48" i="31"/>
  <c r="P48" i="31"/>
  <c r="H48" i="31"/>
  <c r="G48" i="31"/>
  <c r="F48" i="31"/>
  <c r="AE47" i="31"/>
  <c r="AD47" i="31"/>
  <c r="P47" i="31"/>
  <c r="H47" i="31"/>
  <c r="G47" i="31"/>
  <c r="F47" i="31"/>
  <c r="AE46" i="31"/>
  <c r="AD46" i="31"/>
  <c r="P46" i="31"/>
  <c r="H46" i="31"/>
  <c r="G46" i="31"/>
  <c r="F46" i="31"/>
  <c r="AE45" i="31"/>
  <c r="AD45" i="31"/>
  <c r="P45" i="31"/>
  <c r="H45" i="31"/>
  <c r="G45" i="31"/>
  <c r="F45" i="31"/>
  <c r="AE44" i="31"/>
  <c r="AD44" i="31"/>
  <c r="P44" i="31"/>
  <c r="H44" i="31"/>
  <c r="G44" i="31"/>
  <c r="F44" i="31"/>
  <c r="AE43" i="31"/>
  <c r="AD43" i="31"/>
  <c r="P43" i="31"/>
  <c r="H43" i="31"/>
  <c r="G43" i="31"/>
  <c r="F43" i="31"/>
  <c r="AE42" i="31"/>
  <c r="AD42" i="31"/>
  <c r="H42" i="31"/>
  <c r="G42" i="31"/>
  <c r="F42" i="31"/>
  <c r="AE41" i="31"/>
  <c r="AD41" i="31"/>
  <c r="H41" i="31"/>
  <c r="G41" i="31"/>
  <c r="F41" i="31"/>
  <c r="AE40" i="31"/>
  <c r="AD40" i="31"/>
  <c r="H40" i="31"/>
  <c r="G40" i="31"/>
  <c r="F40" i="31"/>
  <c r="AE39" i="31"/>
  <c r="AD39" i="31"/>
  <c r="AE38" i="31"/>
  <c r="AD38" i="31"/>
  <c r="AE37" i="31"/>
  <c r="AD37" i="31"/>
  <c r="AE36" i="31"/>
  <c r="AD36" i="31"/>
  <c r="AE35" i="31"/>
  <c r="AD35" i="31"/>
  <c r="AE34" i="31"/>
  <c r="AD34" i="31"/>
  <c r="AE33" i="31"/>
  <c r="AD33" i="31"/>
  <c r="AE32" i="31"/>
  <c r="AD32" i="31"/>
  <c r="AE31" i="31"/>
  <c r="AD31" i="31"/>
  <c r="M31" i="31"/>
  <c r="H31" i="31"/>
  <c r="C31" i="31"/>
  <c r="AE30" i="31"/>
  <c r="AD30" i="31"/>
  <c r="AE29" i="31"/>
  <c r="AD29" i="31"/>
  <c r="AE28" i="31"/>
  <c r="AD28" i="31"/>
  <c r="AE27" i="31"/>
  <c r="AD27" i="31"/>
  <c r="AE26" i="31"/>
  <c r="AD26" i="31"/>
  <c r="AE25" i="31"/>
  <c r="AD25" i="31"/>
  <c r="AE24" i="31"/>
  <c r="AD24" i="31"/>
  <c r="AE23" i="31"/>
  <c r="AD23" i="31"/>
  <c r="AE22" i="31"/>
  <c r="AD22" i="31"/>
  <c r="AE21" i="31"/>
  <c r="AD21" i="31"/>
  <c r="AE20" i="31"/>
  <c r="AD20" i="31"/>
  <c r="AE19" i="31"/>
  <c r="AD19" i="31"/>
  <c r="AE18" i="31"/>
  <c r="AD18" i="31"/>
  <c r="AE17" i="31"/>
  <c r="AD17" i="31"/>
  <c r="AE16" i="31"/>
  <c r="AD16" i="31"/>
  <c r="F16" i="31"/>
  <c r="AE15" i="31"/>
  <c r="AD15" i="31"/>
  <c r="F15" i="31"/>
  <c r="AE14" i="31"/>
  <c r="AD14" i="31"/>
  <c r="F14" i="31"/>
  <c r="AE13" i="31"/>
  <c r="AD13" i="31"/>
  <c r="F13" i="31"/>
  <c r="AE12" i="31"/>
  <c r="AD12" i="31"/>
  <c r="F12" i="31"/>
  <c r="AE11" i="31"/>
  <c r="AD11" i="31"/>
  <c r="Q11" i="31"/>
  <c r="K11" i="31"/>
  <c r="F11" i="31"/>
  <c r="AE10" i="31"/>
  <c r="AD10" i="31"/>
  <c r="Q10" i="31"/>
  <c r="F10" i="31"/>
  <c r="AE9" i="31"/>
  <c r="AD9" i="31"/>
  <c r="F9" i="31"/>
  <c r="AE8" i="31"/>
  <c r="AD8" i="31"/>
  <c r="F8" i="31"/>
  <c r="AE7" i="31"/>
  <c r="AD7" i="31"/>
  <c r="F7" i="31"/>
  <c r="AE6" i="31"/>
  <c r="AD6" i="31"/>
  <c r="K6" i="31"/>
  <c r="F6" i="31"/>
  <c r="AE5" i="31"/>
  <c r="AD5" i="31"/>
  <c r="K5" i="31"/>
  <c r="F5" i="31"/>
  <c r="AE4" i="31"/>
  <c r="AD4" i="31"/>
  <c r="K4" i="31"/>
  <c r="F4" i="31"/>
  <c r="AE3" i="31"/>
  <c r="AD3" i="31"/>
  <c r="K3" i="31"/>
  <c r="F3" i="31"/>
  <c r="AE2" i="31"/>
  <c r="AD2" i="31"/>
  <c r="K2" i="31"/>
  <c r="F2" i="31"/>
  <c r="AE69" i="40"/>
  <c r="AD69" i="40"/>
  <c r="AE68" i="40"/>
  <c r="AD68" i="40"/>
  <c r="AE67" i="40"/>
  <c r="AD67" i="40"/>
  <c r="AE66" i="40"/>
  <c r="AD66" i="40"/>
  <c r="AE65" i="40"/>
  <c r="AD65" i="40"/>
  <c r="AE64" i="40"/>
  <c r="AD64" i="40"/>
  <c r="AE63" i="40"/>
  <c r="AD63" i="40"/>
  <c r="AE62" i="40"/>
  <c r="AD62" i="40"/>
  <c r="AE61" i="40"/>
  <c r="AD61" i="40"/>
  <c r="P61" i="40"/>
  <c r="M86" i="40"/>
  <c r="H86" i="40"/>
  <c r="C86" i="40"/>
  <c r="AE60" i="40"/>
  <c r="AD60" i="40"/>
  <c r="P60" i="40"/>
  <c r="AE59" i="40"/>
  <c r="AD59" i="40"/>
  <c r="P59" i="40"/>
  <c r="AE58" i="40"/>
  <c r="AD58" i="40"/>
  <c r="P58" i="40"/>
  <c r="AE57" i="40"/>
  <c r="AD57" i="40"/>
  <c r="P57" i="40"/>
  <c r="AE56" i="40"/>
  <c r="AD56" i="40"/>
  <c r="P56" i="40"/>
  <c r="AE55" i="40"/>
  <c r="AD55" i="40"/>
  <c r="P55" i="40"/>
  <c r="AE54" i="40"/>
  <c r="AD54" i="40"/>
  <c r="P54" i="40"/>
  <c r="AE53" i="40"/>
  <c r="AD53" i="40"/>
  <c r="P53" i="40"/>
  <c r="AE52" i="40"/>
  <c r="AD52" i="40"/>
  <c r="P52" i="40"/>
  <c r="AE51" i="40"/>
  <c r="AD51" i="40"/>
  <c r="P51" i="40"/>
  <c r="AE50" i="40"/>
  <c r="AD50" i="40"/>
  <c r="P50" i="40"/>
  <c r="AE49" i="40"/>
  <c r="AD49" i="40"/>
  <c r="P49" i="40"/>
  <c r="AE48" i="40"/>
  <c r="AD48" i="40"/>
  <c r="P48" i="40"/>
  <c r="AE47" i="40"/>
  <c r="AD47" i="40"/>
  <c r="P47" i="40"/>
  <c r="K72" i="40"/>
  <c r="F72" i="40"/>
  <c r="AE46" i="40"/>
  <c r="AD46" i="40"/>
  <c r="P46" i="40"/>
  <c r="K71" i="40"/>
  <c r="F71" i="40"/>
  <c r="AE45" i="40"/>
  <c r="AD45" i="40"/>
  <c r="P45" i="40"/>
  <c r="K70" i="40"/>
  <c r="F70" i="40"/>
  <c r="AE44" i="40"/>
  <c r="AD44" i="40"/>
  <c r="P44" i="40"/>
  <c r="AE43" i="40"/>
  <c r="AD43" i="40"/>
  <c r="P43" i="40"/>
  <c r="AE42" i="40"/>
  <c r="AD42" i="40"/>
  <c r="P42" i="40"/>
  <c r="AE41" i="40"/>
  <c r="AD41" i="40"/>
  <c r="P41" i="40"/>
  <c r="AE40" i="40"/>
  <c r="AD40" i="40"/>
  <c r="AE39" i="40"/>
  <c r="AD39" i="40"/>
  <c r="AE38" i="40"/>
  <c r="AD38" i="40"/>
  <c r="AE37" i="40"/>
  <c r="AD37" i="40"/>
  <c r="AE36" i="40"/>
  <c r="AD36" i="40"/>
  <c r="H36" i="40"/>
  <c r="G36" i="40"/>
  <c r="F36" i="40"/>
  <c r="AE35" i="40"/>
  <c r="AD35" i="40"/>
  <c r="AE34" i="40"/>
  <c r="AD34" i="40"/>
  <c r="AE33" i="40"/>
  <c r="AD33" i="40"/>
  <c r="AE32" i="40"/>
  <c r="AD32" i="40"/>
  <c r="H100" i="40"/>
  <c r="G100" i="40"/>
  <c r="F100" i="40"/>
  <c r="AE31" i="40"/>
  <c r="AD31" i="40"/>
  <c r="H99" i="40"/>
  <c r="G99" i="40"/>
  <c r="F99" i="40"/>
  <c r="AE30" i="40"/>
  <c r="AD30" i="40"/>
  <c r="H98" i="40"/>
  <c r="G98" i="40"/>
  <c r="F98" i="40"/>
  <c r="AE29" i="40"/>
  <c r="AD29" i="40"/>
  <c r="H97" i="40"/>
  <c r="G97" i="40"/>
  <c r="F97" i="40"/>
  <c r="AE28" i="40"/>
  <c r="AD28" i="40"/>
  <c r="H96" i="40"/>
  <c r="G96" i="40"/>
  <c r="F96" i="40"/>
  <c r="AE27" i="40"/>
  <c r="AD27" i="40"/>
  <c r="H95" i="40"/>
  <c r="G95" i="40"/>
  <c r="F95" i="40"/>
  <c r="AE26" i="40"/>
  <c r="AD26" i="40"/>
  <c r="H94" i="40"/>
  <c r="G94" i="40"/>
  <c r="F94" i="40"/>
  <c r="AE25" i="40"/>
  <c r="AD25" i="40"/>
  <c r="H93" i="40"/>
  <c r="G93" i="40"/>
  <c r="F93" i="40"/>
  <c r="AE24" i="40"/>
  <c r="AD24" i="40"/>
  <c r="H92" i="40"/>
  <c r="G92" i="40"/>
  <c r="F92" i="40"/>
  <c r="AE23" i="40"/>
  <c r="AD23" i="40"/>
  <c r="H91" i="40"/>
  <c r="G91" i="40"/>
  <c r="F91" i="40"/>
  <c r="AE22" i="40"/>
  <c r="AD22" i="40"/>
  <c r="H90" i="40"/>
  <c r="G90" i="40"/>
  <c r="F90" i="40"/>
  <c r="AE21" i="40"/>
  <c r="AD21" i="40"/>
  <c r="AE20" i="40"/>
  <c r="AD20" i="40"/>
  <c r="AE19" i="40"/>
  <c r="AD19" i="40"/>
  <c r="AE18" i="40"/>
  <c r="AD18" i="40"/>
  <c r="M18" i="40"/>
  <c r="AE17" i="40"/>
  <c r="AD17" i="40"/>
  <c r="AE16" i="40"/>
  <c r="AD16" i="40"/>
  <c r="AE15" i="40"/>
  <c r="AD15" i="40"/>
  <c r="AE14" i="40"/>
  <c r="AD14" i="40"/>
  <c r="AE13" i="40"/>
  <c r="AD13" i="40"/>
  <c r="AE12" i="40"/>
  <c r="AD12" i="40"/>
  <c r="AE11" i="40"/>
  <c r="AD11" i="40"/>
  <c r="AE10" i="40"/>
  <c r="AD10" i="40"/>
  <c r="AE9" i="40"/>
  <c r="AD9" i="40"/>
  <c r="AE8" i="40"/>
  <c r="AD8" i="40"/>
  <c r="AE7" i="40"/>
  <c r="AD7" i="40"/>
  <c r="AE6" i="40"/>
  <c r="AD6" i="40"/>
  <c r="AE5" i="40"/>
  <c r="AD5" i="40"/>
  <c r="AE4" i="40"/>
  <c r="AD4" i="40"/>
  <c r="AE3" i="40"/>
  <c r="AD3" i="40"/>
  <c r="AE2" i="40"/>
  <c r="AD2" i="40"/>
  <c r="F2" i="40"/>
  <c r="AE69" i="34"/>
  <c r="AD69" i="34"/>
  <c r="AE68" i="34"/>
  <c r="AD68" i="34"/>
  <c r="AE67" i="34"/>
  <c r="AD67" i="34"/>
  <c r="AE66" i="34"/>
  <c r="AD66" i="34"/>
  <c r="AE65" i="34"/>
  <c r="AD65" i="34"/>
  <c r="AE64" i="34"/>
  <c r="AD64" i="34"/>
  <c r="AE63" i="34"/>
  <c r="AD63" i="34"/>
  <c r="AE62" i="34"/>
  <c r="AD62" i="34"/>
  <c r="AE61" i="34"/>
  <c r="AD61" i="34"/>
  <c r="P61" i="34"/>
  <c r="AE60" i="34"/>
  <c r="AD60" i="34"/>
  <c r="P60" i="34"/>
  <c r="AE59" i="34"/>
  <c r="AD59" i="34"/>
  <c r="P59" i="34"/>
  <c r="AE58" i="34"/>
  <c r="AD58" i="34"/>
  <c r="P58" i="34"/>
  <c r="AE57" i="34"/>
  <c r="AD57" i="34"/>
  <c r="P57" i="34"/>
  <c r="H57" i="34"/>
  <c r="G57" i="34"/>
  <c r="F57" i="34"/>
  <c r="AE56" i="34"/>
  <c r="AD56" i="34"/>
  <c r="P56" i="34"/>
  <c r="H56" i="34"/>
  <c r="G56" i="34"/>
  <c r="F56" i="34"/>
  <c r="AE55" i="34"/>
  <c r="AD55" i="34"/>
  <c r="P55" i="34"/>
  <c r="H55" i="34"/>
  <c r="G55" i="34"/>
  <c r="F55" i="34"/>
  <c r="AE54" i="34"/>
  <c r="AD54" i="34"/>
  <c r="P54" i="34"/>
  <c r="H54" i="34"/>
  <c r="G54" i="34"/>
  <c r="F54" i="34"/>
  <c r="AE53" i="34"/>
  <c r="AD53" i="34"/>
  <c r="P53" i="34"/>
  <c r="H53" i="34"/>
  <c r="G53" i="34"/>
  <c r="F53" i="34"/>
  <c r="AE52" i="34"/>
  <c r="AD52" i="34"/>
  <c r="P52" i="34"/>
  <c r="H52" i="34"/>
  <c r="G52" i="34"/>
  <c r="F52" i="34"/>
  <c r="AE51" i="34"/>
  <c r="AD51" i="34"/>
  <c r="P51" i="34"/>
  <c r="H51" i="34"/>
  <c r="G51" i="34"/>
  <c r="F51" i="34"/>
  <c r="AE50" i="34"/>
  <c r="AD50" i="34"/>
  <c r="P50" i="34"/>
  <c r="H50" i="34"/>
  <c r="G50" i="34"/>
  <c r="F50" i="34"/>
  <c r="AE49" i="34"/>
  <c r="AD49" i="34"/>
  <c r="P49" i="34"/>
  <c r="H49" i="34"/>
  <c r="G49" i="34"/>
  <c r="F49" i="34"/>
  <c r="AE48" i="34"/>
  <c r="AD48" i="34"/>
  <c r="P48" i="34"/>
  <c r="H48" i="34"/>
  <c r="G48" i="34"/>
  <c r="F48" i="34"/>
  <c r="AE47" i="34"/>
  <c r="AD47" i="34"/>
  <c r="P47" i="34"/>
  <c r="H47" i="34"/>
  <c r="G47" i="34"/>
  <c r="F47" i="34"/>
  <c r="AE46" i="34"/>
  <c r="AD46" i="34"/>
  <c r="P46" i="34"/>
  <c r="H46" i="34"/>
  <c r="G46" i="34"/>
  <c r="F46" i="34"/>
  <c r="AE45" i="34"/>
  <c r="AD45" i="34"/>
  <c r="P45" i="34"/>
  <c r="H45" i="34"/>
  <c r="G45" i="34"/>
  <c r="F45" i="34"/>
  <c r="AE44" i="34"/>
  <c r="AD44" i="34"/>
  <c r="P44" i="34"/>
  <c r="H44" i="34"/>
  <c r="G44" i="34"/>
  <c r="F44" i="34"/>
  <c r="AE43" i="34"/>
  <c r="AD43" i="34"/>
  <c r="P43" i="34"/>
  <c r="H43" i="34"/>
  <c r="G43" i="34"/>
  <c r="F43" i="34"/>
  <c r="AE42" i="34"/>
  <c r="AD42" i="34"/>
  <c r="P42" i="34"/>
  <c r="H42" i="34"/>
  <c r="G42" i="34"/>
  <c r="F42" i="34"/>
  <c r="AE41" i="34"/>
  <c r="AD41" i="34"/>
  <c r="P41" i="34"/>
  <c r="H41" i="34"/>
  <c r="G41" i="34"/>
  <c r="F41" i="34"/>
  <c r="AE40" i="34"/>
  <c r="AD40" i="34"/>
  <c r="H40" i="34"/>
  <c r="G40" i="34"/>
  <c r="F40" i="34"/>
  <c r="AE39" i="34"/>
  <c r="AD39" i="34"/>
  <c r="H39" i="34"/>
  <c r="G39" i="34"/>
  <c r="F39" i="34"/>
  <c r="AE38" i="34"/>
  <c r="AD38" i="34"/>
  <c r="H38" i="34"/>
  <c r="G38" i="34"/>
  <c r="F38" i="34"/>
  <c r="AE37" i="34"/>
  <c r="AD37" i="34"/>
  <c r="H37" i="34"/>
  <c r="G37" i="34"/>
  <c r="F37" i="34"/>
  <c r="AE36" i="34"/>
  <c r="AD36" i="34"/>
  <c r="H36" i="34"/>
  <c r="G36" i="34"/>
  <c r="F36" i="34"/>
  <c r="AE35" i="34"/>
  <c r="AD35" i="34"/>
  <c r="H35" i="34"/>
  <c r="G35" i="34"/>
  <c r="F35" i="34"/>
  <c r="AE34" i="34"/>
  <c r="AD34" i="34"/>
  <c r="H34" i="34"/>
  <c r="G34" i="34"/>
  <c r="F34" i="34"/>
  <c r="AE33" i="34"/>
  <c r="AD33" i="34"/>
  <c r="H33" i="34"/>
  <c r="G33" i="34"/>
  <c r="F33" i="34"/>
  <c r="AE32" i="34"/>
  <c r="AD32" i="34"/>
  <c r="H32" i="34"/>
  <c r="G32" i="34"/>
  <c r="F32" i="34"/>
  <c r="AE31" i="34"/>
  <c r="AD31" i="34"/>
  <c r="H31" i="34"/>
  <c r="G31" i="34"/>
  <c r="F31" i="34"/>
  <c r="AE30" i="34"/>
  <c r="AD30" i="34"/>
  <c r="H30" i="34"/>
  <c r="G30" i="34"/>
  <c r="F30" i="34"/>
  <c r="AE29" i="34"/>
  <c r="AD29" i="34"/>
  <c r="H29" i="34"/>
  <c r="G29" i="34"/>
  <c r="F29" i="34"/>
  <c r="AE28" i="34"/>
  <c r="AD28" i="34"/>
  <c r="H28" i="34"/>
  <c r="G28" i="34"/>
  <c r="F28" i="34"/>
  <c r="AE27" i="34"/>
  <c r="AD27" i="34"/>
  <c r="H27" i="34"/>
  <c r="G27" i="34"/>
  <c r="F27" i="34"/>
  <c r="AE26" i="34"/>
  <c r="AD26" i="34"/>
  <c r="H26" i="34"/>
  <c r="G26" i="34"/>
  <c r="F26" i="34"/>
  <c r="AE25" i="34"/>
  <c r="AD25" i="34"/>
  <c r="AE24" i="34"/>
  <c r="AD24" i="34"/>
  <c r="AE23" i="34"/>
  <c r="AD23" i="34"/>
  <c r="AE22" i="34"/>
  <c r="AD22" i="34"/>
  <c r="AE21" i="34"/>
  <c r="AD21" i="34"/>
  <c r="AE20" i="34"/>
  <c r="AD20" i="34"/>
  <c r="AE19" i="34"/>
  <c r="AD19" i="34"/>
  <c r="AE18" i="34"/>
  <c r="AD18" i="34"/>
  <c r="M18" i="34"/>
  <c r="C18" i="34"/>
  <c r="AE17" i="34"/>
  <c r="AD17" i="34"/>
  <c r="AE16" i="34"/>
  <c r="AD16" i="34"/>
  <c r="AE15" i="34"/>
  <c r="AD15" i="34"/>
  <c r="AE14" i="34"/>
  <c r="AD14" i="34"/>
  <c r="AE13" i="34"/>
  <c r="AD13" i="34"/>
  <c r="AE12" i="34"/>
  <c r="AD12" i="34"/>
  <c r="AE11" i="34"/>
  <c r="AD11" i="34"/>
  <c r="Q11" i="34"/>
  <c r="AE10" i="34"/>
  <c r="AD10" i="34"/>
  <c r="AE9" i="34"/>
  <c r="AD9" i="34"/>
  <c r="AE8" i="34"/>
  <c r="AD8" i="34"/>
  <c r="AE7" i="34"/>
  <c r="AD7" i="34"/>
  <c r="AE6" i="34"/>
  <c r="AD6" i="34"/>
  <c r="AE5" i="34"/>
  <c r="AD5" i="34"/>
  <c r="AE4" i="34"/>
  <c r="AD4" i="34"/>
  <c r="AE3" i="34"/>
  <c r="AD3" i="34"/>
  <c r="AE2" i="34"/>
  <c r="AD2" i="34"/>
  <c r="M122" i="49"/>
  <c r="H122" i="49"/>
  <c r="C122" i="49"/>
  <c r="K106" i="49"/>
  <c r="K122" i="49" s="1"/>
  <c r="F106" i="49"/>
  <c r="F122" i="49" s="1"/>
  <c r="H82" i="49"/>
  <c r="G82" i="49"/>
  <c r="F82" i="49"/>
  <c r="H81" i="49"/>
  <c r="G81" i="49"/>
  <c r="F81" i="49"/>
  <c r="H80" i="49"/>
  <c r="G80" i="49"/>
  <c r="F80" i="49"/>
  <c r="H79" i="49"/>
  <c r="G79" i="49"/>
  <c r="F79" i="49"/>
  <c r="H78" i="49"/>
  <c r="G78" i="49"/>
  <c r="F78" i="49"/>
  <c r="H77" i="49"/>
  <c r="G77" i="49"/>
  <c r="F77" i="49"/>
  <c r="H76" i="49"/>
  <c r="G76" i="49"/>
  <c r="F76" i="49"/>
  <c r="H75" i="49"/>
  <c r="G75" i="49"/>
  <c r="F75" i="49"/>
  <c r="H74" i="49"/>
  <c r="G74" i="49"/>
  <c r="F74" i="49"/>
  <c r="H73" i="49"/>
  <c r="G73" i="49"/>
  <c r="F73" i="49"/>
  <c r="H72" i="49"/>
  <c r="G72" i="49"/>
  <c r="F72" i="49"/>
  <c r="H71" i="49"/>
  <c r="G71" i="49"/>
  <c r="F71" i="49"/>
  <c r="H70" i="49"/>
  <c r="G70" i="49"/>
  <c r="F70" i="49"/>
  <c r="AE69" i="49"/>
  <c r="AD69" i="49"/>
  <c r="H69" i="49"/>
  <c r="G69" i="49"/>
  <c r="F69" i="49"/>
  <c r="AE68" i="49"/>
  <c r="AD68" i="49"/>
  <c r="H68" i="49"/>
  <c r="G68" i="49"/>
  <c r="F68" i="49"/>
  <c r="AE67" i="49"/>
  <c r="AD67" i="49"/>
  <c r="H67" i="49"/>
  <c r="G67" i="49"/>
  <c r="F67" i="49"/>
  <c r="AE66" i="49"/>
  <c r="AD66" i="49"/>
  <c r="H66" i="49"/>
  <c r="G66" i="49"/>
  <c r="F66" i="49"/>
  <c r="AE65" i="49"/>
  <c r="AD65" i="49"/>
  <c r="H65" i="49"/>
  <c r="G65" i="49"/>
  <c r="F65" i="49"/>
  <c r="AE64" i="49"/>
  <c r="AD64" i="49"/>
  <c r="H64" i="49"/>
  <c r="G64" i="49"/>
  <c r="F64" i="49"/>
  <c r="AE63" i="49"/>
  <c r="AD63" i="49"/>
  <c r="P63" i="49"/>
  <c r="H63" i="49"/>
  <c r="G63" i="49"/>
  <c r="F63" i="49"/>
  <c r="AE62" i="49"/>
  <c r="AD62" i="49"/>
  <c r="P62" i="49"/>
  <c r="H62" i="49"/>
  <c r="G62" i="49"/>
  <c r="F62" i="49"/>
  <c r="AE61" i="49"/>
  <c r="AD61" i="49"/>
  <c r="P61" i="49"/>
  <c r="H61" i="49"/>
  <c r="G61" i="49"/>
  <c r="F61" i="49"/>
  <c r="AE60" i="49"/>
  <c r="AD60" i="49"/>
  <c r="P60" i="49"/>
  <c r="H60" i="49"/>
  <c r="G60" i="49"/>
  <c r="F60" i="49"/>
  <c r="AE59" i="49"/>
  <c r="AD59" i="49"/>
  <c r="P59" i="49"/>
  <c r="H59" i="49"/>
  <c r="G59" i="49"/>
  <c r="F59" i="49"/>
  <c r="AE58" i="49"/>
  <c r="AD58" i="49"/>
  <c r="P58" i="49"/>
  <c r="H58" i="49"/>
  <c r="G58" i="49"/>
  <c r="F58" i="49"/>
  <c r="AE57" i="49"/>
  <c r="AD57" i="49"/>
  <c r="P57" i="49"/>
  <c r="H57" i="49"/>
  <c r="G57" i="49"/>
  <c r="F57" i="49"/>
  <c r="AE56" i="49"/>
  <c r="AD56" i="49"/>
  <c r="P56" i="49"/>
  <c r="H56" i="49"/>
  <c r="G56" i="49"/>
  <c r="F56" i="49"/>
  <c r="AE55" i="49"/>
  <c r="AD55" i="49"/>
  <c r="P55" i="49"/>
  <c r="H55" i="49"/>
  <c r="G55" i="49"/>
  <c r="F55" i="49"/>
  <c r="AE54" i="49"/>
  <c r="AD54" i="49"/>
  <c r="P54" i="49"/>
  <c r="H54" i="49"/>
  <c r="G54" i="49"/>
  <c r="F54" i="49"/>
  <c r="AE53" i="49"/>
  <c r="AD53" i="49"/>
  <c r="P53" i="49"/>
  <c r="H53" i="49"/>
  <c r="G53" i="49"/>
  <c r="F53" i="49"/>
  <c r="AE52" i="49"/>
  <c r="AD52" i="49"/>
  <c r="P52" i="49"/>
  <c r="H52" i="49"/>
  <c r="G52" i="49"/>
  <c r="F52" i="49"/>
  <c r="AE51" i="49"/>
  <c r="AD51" i="49"/>
  <c r="P51" i="49"/>
  <c r="H51" i="49"/>
  <c r="G51" i="49"/>
  <c r="F51" i="49"/>
  <c r="AE50" i="49"/>
  <c r="AD50" i="49"/>
  <c r="P50" i="49"/>
  <c r="H50" i="49"/>
  <c r="G50" i="49"/>
  <c r="F50" i="49"/>
  <c r="AE49" i="49"/>
  <c r="AD49" i="49"/>
  <c r="P49" i="49"/>
  <c r="H49" i="49"/>
  <c r="G49" i="49"/>
  <c r="F49" i="49"/>
  <c r="AE48" i="49"/>
  <c r="AD48" i="49"/>
  <c r="P48" i="49"/>
  <c r="H48" i="49"/>
  <c r="G48" i="49"/>
  <c r="F48" i="49"/>
  <c r="AE47" i="49"/>
  <c r="AD47" i="49"/>
  <c r="P47" i="49"/>
  <c r="H47" i="49"/>
  <c r="G47" i="49"/>
  <c r="F47" i="49"/>
  <c r="AE46" i="49"/>
  <c r="AD46" i="49"/>
  <c r="P46" i="49"/>
  <c r="H46" i="49"/>
  <c r="G46" i="49"/>
  <c r="F46" i="49"/>
  <c r="AE45" i="49"/>
  <c r="AD45" i="49"/>
  <c r="P45" i="49"/>
  <c r="H45" i="49"/>
  <c r="G45" i="49"/>
  <c r="F45" i="49"/>
  <c r="AE44" i="49"/>
  <c r="AD44" i="49"/>
  <c r="P44" i="49"/>
  <c r="H44" i="49"/>
  <c r="G44" i="49"/>
  <c r="F44" i="49"/>
  <c r="AE43" i="49"/>
  <c r="AD43" i="49"/>
  <c r="P43" i="49"/>
  <c r="H43" i="49"/>
  <c r="G43" i="49"/>
  <c r="F43" i="49"/>
  <c r="AE42" i="49"/>
  <c r="AD42" i="49"/>
  <c r="H42" i="49"/>
  <c r="G42" i="49"/>
  <c r="F42" i="49"/>
  <c r="AE41" i="49"/>
  <c r="AD41" i="49"/>
  <c r="H41" i="49"/>
  <c r="G41" i="49"/>
  <c r="F41" i="49"/>
  <c r="AE40" i="49"/>
  <c r="AD40" i="49"/>
  <c r="H40" i="49"/>
  <c r="G40" i="49"/>
  <c r="F40" i="49"/>
  <c r="AE39" i="49"/>
  <c r="AD39" i="49"/>
  <c r="H39" i="49"/>
  <c r="G39" i="49"/>
  <c r="F39" i="49"/>
  <c r="AE38" i="49"/>
  <c r="AD38" i="49"/>
  <c r="H38" i="49"/>
  <c r="G38" i="49"/>
  <c r="F38" i="49"/>
  <c r="AE37" i="49"/>
  <c r="AD37" i="49"/>
  <c r="H37" i="49"/>
  <c r="G37" i="49"/>
  <c r="F37" i="49"/>
  <c r="AE36" i="49"/>
  <c r="AD36" i="49"/>
  <c r="H36" i="49"/>
  <c r="G36" i="49"/>
  <c r="F36" i="49"/>
  <c r="AE35" i="49"/>
  <c r="AD35" i="49"/>
  <c r="AE34" i="49"/>
  <c r="AD34" i="49"/>
  <c r="AE33" i="49"/>
  <c r="AD33" i="49"/>
  <c r="AE32" i="49"/>
  <c r="AD32" i="49"/>
  <c r="AE31" i="49"/>
  <c r="AD31" i="49"/>
  <c r="AE30" i="49"/>
  <c r="AD30" i="49"/>
  <c r="AE29" i="49"/>
  <c r="AD29" i="49"/>
  <c r="M29" i="49"/>
  <c r="H29" i="49"/>
  <c r="AE28" i="49"/>
  <c r="AD28" i="49"/>
  <c r="AE27" i="49"/>
  <c r="AD27" i="49"/>
  <c r="AE26" i="49"/>
  <c r="AD26" i="49"/>
  <c r="AE25" i="49"/>
  <c r="AD25" i="49"/>
  <c r="AE24" i="49"/>
  <c r="AD24" i="49"/>
  <c r="AE23" i="49"/>
  <c r="AD23" i="49"/>
  <c r="AE22" i="49"/>
  <c r="AD22" i="49"/>
  <c r="AE21" i="49"/>
  <c r="AD21" i="49"/>
  <c r="AE20" i="49"/>
  <c r="AD20" i="49"/>
  <c r="AE19" i="49"/>
  <c r="AD19" i="49"/>
  <c r="AE18" i="49"/>
  <c r="AD18" i="49"/>
  <c r="AE17" i="49"/>
  <c r="AD17" i="49"/>
  <c r="AE16" i="49"/>
  <c r="AD16" i="49"/>
  <c r="AE15" i="49"/>
  <c r="AD15" i="49"/>
  <c r="AE14" i="49"/>
  <c r="AD14" i="49"/>
  <c r="AE13" i="49"/>
  <c r="AD13" i="49"/>
  <c r="AE12" i="49"/>
  <c r="AD12" i="49"/>
  <c r="AE11" i="49"/>
  <c r="AD11" i="49"/>
  <c r="Q11" i="49"/>
  <c r="AE10" i="49"/>
  <c r="AD10" i="49"/>
  <c r="AE9" i="49"/>
  <c r="AD9" i="49"/>
  <c r="AE8" i="49"/>
  <c r="AD8" i="49"/>
  <c r="AE7" i="49"/>
  <c r="AD7" i="49"/>
  <c r="AE6" i="49"/>
  <c r="AD6" i="49"/>
  <c r="AE5" i="49"/>
  <c r="AD5" i="49"/>
  <c r="AE4" i="49"/>
  <c r="AD4" i="49"/>
  <c r="AE3" i="49"/>
  <c r="AD3" i="49"/>
  <c r="AE2" i="49"/>
  <c r="AD2" i="49"/>
  <c r="M85" i="53"/>
  <c r="H85" i="53"/>
  <c r="AE69" i="53"/>
  <c r="AD69" i="53"/>
  <c r="AE68" i="53"/>
  <c r="AD68" i="53"/>
  <c r="K72" i="53"/>
  <c r="F72" i="53"/>
  <c r="AE67" i="53"/>
  <c r="AD67" i="53"/>
  <c r="K71" i="53"/>
  <c r="F71" i="53"/>
  <c r="AE66" i="53"/>
  <c r="AD66" i="53"/>
  <c r="K70" i="53"/>
  <c r="F70" i="53"/>
  <c r="AE65" i="53"/>
  <c r="AD65" i="53"/>
  <c r="K69" i="53"/>
  <c r="F69" i="53"/>
  <c r="AE64" i="53"/>
  <c r="AD64" i="53"/>
  <c r="AE63" i="53"/>
  <c r="AD63" i="53"/>
  <c r="AE62" i="53"/>
  <c r="AD62" i="53"/>
  <c r="AE61" i="53"/>
  <c r="AD61" i="53"/>
  <c r="P61" i="53"/>
  <c r="AE60" i="53"/>
  <c r="AD60" i="53"/>
  <c r="P60" i="53"/>
  <c r="AE59" i="53"/>
  <c r="AD59" i="53"/>
  <c r="P59" i="53"/>
  <c r="AE58" i="53"/>
  <c r="AD58" i="53"/>
  <c r="P58" i="53"/>
  <c r="AE57" i="53"/>
  <c r="AD57" i="53"/>
  <c r="P57" i="53"/>
  <c r="AE56" i="53"/>
  <c r="AD56" i="53"/>
  <c r="P56" i="53"/>
  <c r="AE55" i="53"/>
  <c r="AD55" i="53"/>
  <c r="P55" i="53"/>
  <c r="AE54" i="53"/>
  <c r="AD54" i="53"/>
  <c r="P54" i="53"/>
  <c r="AE53" i="53"/>
  <c r="AD53" i="53"/>
  <c r="P53" i="53"/>
  <c r="AE52" i="53"/>
  <c r="AD52" i="53"/>
  <c r="P52" i="53"/>
  <c r="AE51" i="53"/>
  <c r="AD51" i="53"/>
  <c r="P51" i="53"/>
  <c r="AE50" i="53"/>
  <c r="AD50" i="53"/>
  <c r="P50" i="53"/>
  <c r="AE49" i="53"/>
  <c r="AD49" i="53"/>
  <c r="P49" i="53"/>
  <c r="AE48" i="53"/>
  <c r="AD48" i="53"/>
  <c r="P48" i="53"/>
  <c r="AE47" i="53"/>
  <c r="AD47" i="53"/>
  <c r="P47" i="53"/>
  <c r="AE46" i="53"/>
  <c r="AD46" i="53"/>
  <c r="P46" i="53"/>
  <c r="AE45" i="53"/>
  <c r="AD45" i="53"/>
  <c r="P45" i="53"/>
  <c r="AE44" i="53"/>
  <c r="AD44" i="53"/>
  <c r="P44" i="53"/>
  <c r="AE43" i="53"/>
  <c r="AD43" i="53"/>
  <c r="P43" i="53"/>
  <c r="AE42" i="53"/>
  <c r="AD42" i="53"/>
  <c r="P42" i="53"/>
  <c r="AE41" i="53"/>
  <c r="AD41" i="53"/>
  <c r="P41" i="53"/>
  <c r="AE40" i="53"/>
  <c r="AD40" i="53"/>
  <c r="AE39" i="53"/>
  <c r="AD39" i="53"/>
  <c r="AE38" i="53"/>
  <c r="AD38" i="53"/>
  <c r="AE37" i="53"/>
  <c r="AD37" i="53"/>
  <c r="AE36" i="53"/>
  <c r="AD36" i="53"/>
  <c r="AE35" i="53"/>
  <c r="AD35" i="53"/>
  <c r="AE34" i="53"/>
  <c r="AD34" i="53"/>
  <c r="AE33" i="53"/>
  <c r="AD33" i="53"/>
  <c r="AE32" i="53"/>
  <c r="AD32" i="53"/>
  <c r="AE31" i="53"/>
  <c r="AD31" i="53"/>
  <c r="AE30" i="53"/>
  <c r="AD30" i="53"/>
  <c r="AE29" i="53"/>
  <c r="AD29" i="53"/>
  <c r="AE28" i="53"/>
  <c r="AD28" i="53"/>
  <c r="AE27" i="53"/>
  <c r="AD27" i="53"/>
  <c r="AE26" i="53"/>
  <c r="AD26" i="53"/>
  <c r="AE25" i="53"/>
  <c r="AD25" i="53"/>
  <c r="AE24" i="53"/>
  <c r="AD24" i="53"/>
  <c r="AE23" i="53"/>
  <c r="AD23" i="53"/>
  <c r="AE22" i="53"/>
  <c r="AD22" i="53"/>
  <c r="AE21" i="53"/>
  <c r="AD21" i="53"/>
  <c r="AE20" i="53"/>
  <c r="AD20" i="53"/>
  <c r="AE19" i="53"/>
  <c r="AD19" i="53"/>
  <c r="AE18" i="53"/>
  <c r="AD18" i="53"/>
  <c r="M18" i="53"/>
  <c r="K18" i="53"/>
  <c r="H18" i="53"/>
  <c r="AE17" i="53"/>
  <c r="AD17" i="53"/>
  <c r="AE16" i="53"/>
  <c r="AD16" i="53"/>
  <c r="AE15" i="53"/>
  <c r="AD15" i="53"/>
  <c r="AE14" i="53"/>
  <c r="AD14" i="53"/>
  <c r="AE13" i="53"/>
  <c r="AD13" i="53"/>
  <c r="AE12" i="53"/>
  <c r="AD12" i="53"/>
  <c r="AE11" i="53"/>
  <c r="AD11" i="53"/>
  <c r="Q11" i="53"/>
  <c r="AE10" i="53"/>
  <c r="AD10" i="53"/>
  <c r="AE9" i="53"/>
  <c r="AD9" i="53"/>
  <c r="AE8" i="53"/>
  <c r="AD8" i="53"/>
  <c r="AE7" i="53"/>
  <c r="AD7" i="53"/>
  <c r="AE6" i="53"/>
  <c r="AD6" i="53"/>
  <c r="AE5" i="53"/>
  <c r="AD5" i="53"/>
  <c r="AE4" i="53"/>
  <c r="AD4" i="53"/>
  <c r="AE3" i="53"/>
  <c r="AD3" i="53"/>
  <c r="AE2" i="53"/>
  <c r="AD2" i="53"/>
  <c r="M93" i="52"/>
  <c r="H93" i="52"/>
  <c r="C93" i="52"/>
  <c r="K85" i="52"/>
  <c r="F85" i="52"/>
  <c r="K84" i="52"/>
  <c r="F84" i="52"/>
  <c r="K83" i="52"/>
  <c r="F83" i="52"/>
  <c r="K82" i="52"/>
  <c r="F82" i="52"/>
  <c r="K81" i="52"/>
  <c r="F81" i="52"/>
  <c r="K80" i="52"/>
  <c r="F80" i="52"/>
  <c r="F79" i="52"/>
  <c r="F78" i="52"/>
  <c r="F77" i="52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H57" i="52"/>
  <c r="G57" i="52"/>
  <c r="F57" i="52"/>
  <c r="AE56" i="52"/>
  <c r="AD56" i="52"/>
  <c r="P56" i="52"/>
  <c r="H56" i="52"/>
  <c r="G56" i="52"/>
  <c r="F56" i="52"/>
  <c r="AE55" i="52"/>
  <c r="AD55" i="52"/>
  <c r="P55" i="52"/>
  <c r="H55" i="52"/>
  <c r="G55" i="52"/>
  <c r="F55" i="52"/>
  <c r="AE54" i="52"/>
  <c r="AD54" i="52"/>
  <c r="P54" i="52"/>
  <c r="H54" i="52"/>
  <c r="G54" i="52"/>
  <c r="F54" i="52"/>
  <c r="AE53" i="52"/>
  <c r="AD53" i="52"/>
  <c r="P53" i="52"/>
  <c r="H53" i="52"/>
  <c r="G53" i="52"/>
  <c r="F53" i="52"/>
  <c r="AE52" i="52"/>
  <c r="AD52" i="52"/>
  <c r="P52" i="52"/>
  <c r="H52" i="52"/>
  <c r="G52" i="52"/>
  <c r="F52" i="52"/>
  <c r="AE51" i="52"/>
  <c r="AD51" i="52"/>
  <c r="P51" i="52"/>
  <c r="H51" i="52"/>
  <c r="G51" i="52"/>
  <c r="F51" i="52"/>
  <c r="AE50" i="52"/>
  <c r="AD50" i="52"/>
  <c r="P50" i="52"/>
  <c r="H50" i="52"/>
  <c r="G50" i="52"/>
  <c r="F50" i="52"/>
  <c r="AE49" i="52"/>
  <c r="AD49" i="52"/>
  <c r="P49" i="52"/>
  <c r="H49" i="52"/>
  <c r="G49" i="52"/>
  <c r="F49" i="52"/>
  <c r="AE48" i="52"/>
  <c r="AD48" i="52"/>
  <c r="P48" i="52"/>
  <c r="H48" i="52"/>
  <c r="G48" i="52"/>
  <c r="F48" i="52"/>
  <c r="AE47" i="52"/>
  <c r="AD47" i="52"/>
  <c r="P47" i="52"/>
  <c r="H47" i="52"/>
  <c r="G47" i="52"/>
  <c r="F47" i="52"/>
  <c r="AE46" i="52"/>
  <c r="AD46" i="52"/>
  <c r="P46" i="52"/>
  <c r="H46" i="52"/>
  <c r="G46" i="52"/>
  <c r="F46" i="52"/>
  <c r="AE45" i="52"/>
  <c r="AD45" i="52"/>
  <c r="P45" i="52"/>
  <c r="H45" i="52"/>
  <c r="G45" i="52"/>
  <c r="F45" i="52"/>
  <c r="AE44" i="52"/>
  <c r="AD44" i="52"/>
  <c r="P44" i="52"/>
  <c r="H44" i="52"/>
  <c r="G44" i="52"/>
  <c r="F44" i="52"/>
  <c r="AE43" i="52"/>
  <c r="AD43" i="52"/>
  <c r="P43" i="52"/>
  <c r="H43" i="52"/>
  <c r="G43" i="52"/>
  <c r="F43" i="52"/>
  <c r="AE42" i="52"/>
  <c r="AD42" i="52"/>
  <c r="P42" i="52"/>
  <c r="H42" i="52"/>
  <c r="G42" i="52"/>
  <c r="F42" i="52"/>
  <c r="AE41" i="52"/>
  <c r="AD41" i="52"/>
  <c r="P41" i="52"/>
  <c r="H41" i="52"/>
  <c r="G41" i="52"/>
  <c r="F41" i="52"/>
  <c r="AE40" i="52"/>
  <c r="AD40" i="52"/>
  <c r="H40" i="52"/>
  <c r="G40" i="52"/>
  <c r="F40" i="52"/>
  <c r="AE39" i="52"/>
  <c r="AD39" i="52"/>
  <c r="H39" i="52"/>
  <c r="G39" i="52"/>
  <c r="F39" i="52"/>
  <c r="AE38" i="52"/>
  <c r="AD38" i="52"/>
  <c r="H38" i="52"/>
  <c r="G38" i="52"/>
  <c r="F38" i="52"/>
  <c r="AE37" i="52"/>
  <c r="AD37" i="52"/>
  <c r="H37" i="52"/>
  <c r="G37" i="52"/>
  <c r="F37" i="52"/>
  <c r="AE36" i="52"/>
  <c r="AD36" i="52"/>
  <c r="H36" i="52"/>
  <c r="G36" i="52"/>
  <c r="F36" i="52"/>
  <c r="AE35" i="52"/>
  <c r="AD35" i="52"/>
  <c r="H35" i="52"/>
  <c r="G35" i="52"/>
  <c r="F35" i="52"/>
  <c r="AE34" i="52"/>
  <c r="AD34" i="52"/>
  <c r="H34" i="52"/>
  <c r="G34" i="52"/>
  <c r="F34" i="52"/>
  <c r="AE33" i="52"/>
  <c r="AD33" i="52"/>
  <c r="H33" i="52"/>
  <c r="G33" i="52"/>
  <c r="F33" i="52"/>
  <c r="AE32" i="52"/>
  <c r="AD32" i="52"/>
  <c r="H32" i="52"/>
  <c r="G32" i="52"/>
  <c r="F32" i="52"/>
  <c r="AE31" i="52"/>
  <c r="AD31" i="52"/>
  <c r="H31" i="52"/>
  <c r="G31" i="52"/>
  <c r="F31" i="52"/>
  <c r="AE30" i="52"/>
  <c r="AD30" i="52"/>
  <c r="H30" i="52"/>
  <c r="G30" i="52"/>
  <c r="F30" i="52"/>
  <c r="AE29" i="52"/>
  <c r="AD29" i="52"/>
  <c r="H29" i="52"/>
  <c r="G29" i="52"/>
  <c r="F29" i="52"/>
  <c r="AE28" i="52"/>
  <c r="AD28" i="52"/>
  <c r="H28" i="52"/>
  <c r="G28" i="52"/>
  <c r="F28" i="52"/>
  <c r="AE27" i="52"/>
  <c r="AD27" i="52"/>
  <c r="H27" i="52"/>
  <c r="G27" i="52"/>
  <c r="F27" i="52"/>
  <c r="AE26" i="52"/>
  <c r="AD26" i="52"/>
  <c r="H26" i="52"/>
  <c r="G26" i="52"/>
  <c r="F26" i="52"/>
  <c r="AE25" i="52"/>
  <c r="AD25" i="52"/>
  <c r="H25" i="52"/>
  <c r="G25" i="52"/>
  <c r="F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M18" i="52"/>
  <c r="K18" i="52"/>
  <c r="H18" i="52"/>
  <c r="F18" i="52"/>
  <c r="C18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Q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AE69" i="15"/>
  <c r="AD69" i="15"/>
  <c r="AE68" i="15"/>
  <c r="AD68" i="15"/>
  <c r="AE67" i="15"/>
  <c r="AD67" i="15"/>
  <c r="AE66" i="15"/>
  <c r="AD66" i="15"/>
  <c r="AE65" i="15"/>
  <c r="AD65" i="15"/>
  <c r="AE64" i="15"/>
  <c r="AD64" i="15"/>
  <c r="AE63" i="15"/>
  <c r="AD63" i="15"/>
  <c r="AE62" i="15"/>
  <c r="AD62" i="15"/>
  <c r="P62" i="15"/>
  <c r="AE61" i="15"/>
  <c r="AD61" i="15"/>
  <c r="P61" i="15"/>
  <c r="AE60" i="15"/>
  <c r="AD60" i="15"/>
  <c r="P60" i="15"/>
  <c r="AE59" i="15"/>
  <c r="AD59" i="15"/>
  <c r="P59" i="15"/>
  <c r="AE58" i="15"/>
  <c r="AD58" i="15"/>
  <c r="P58" i="15"/>
  <c r="AE57" i="15"/>
  <c r="AD57" i="15"/>
  <c r="P57" i="15"/>
  <c r="AE56" i="15"/>
  <c r="AD56" i="15"/>
  <c r="P56" i="15"/>
  <c r="AE55" i="15"/>
  <c r="AD55" i="15"/>
  <c r="P55" i="15"/>
  <c r="AE54" i="15"/>
  <c r="AD54" i="15"/>
  <c r="P54" i="15"/>
  <c r="AE53" i="15"/>
  <c r="AD53" i="15"/>
  <c r="P53" i="15"/>
  <c r="AE52" i="15"/>
  <c r="AD52" i="15"/>
  <c r="P52" i="15"/>
  <c r="AE51" i="15"/>
  <c r="AD51" i="15"/>
  <c r="P51" i="15"/>
  <c r="AE50" i="15"/>
  <c r="AD50" i="15"/>
  <c r="P50" i="15"/>
  <c r="M50" i="15"/>
  <c r="H50" i="15"/>
  <c r="C50" i="15"/>
  <c r="AE49" i="15"/>
  <c r="AD49" i="15"/>
  <c r="P49" i="15"/>
  <c r="AE48" i="15"/>
  <c r="AD48" i="15"/>
  <c r="P48" i="15"/>
  <c r="AE47" i="15"/>
  <c r="AD47" i="15"/>
  <c r="P47" i="15"/>
  <c r="AE46" i="15"/>
  <c r="AD46" i="15"/>
  <c r="P46" i="15"/>
  <c r="AE45" i="15"/>
  <c r="AD45" i="15"/>
  <c r="P45" i="15"/>
  <c r="AE44" i="15"/>
  <c r="AD44" i="15"/>
  <c r="P44" i="15"/>
  <c r="F44" i="15"/>
  <c r="AE43" i="15"/>
  <c r="AD43" i="15"/>
  <c r="P43" i="15"/>
  <c r="F43" i="15"/>
  <c r="AE42" i="15"/>
  <c r="AD42" i="15"/>
  <c r="P42" i="15"/>
  <c r="F42" i="15"/>
  <c r="AE41" i="15"/>
  <c r="AD41" i="15"/>
  <c r="F41" i="15"/>
  <c r="AE40" i="15"/>
  <c r="AD40" i="15"/>
  <c r="F40" i="15"/>
  <c r="AE39" i="15"/>
  <c r="AD39" i="15"/>
  <c r="F39" i="15"/>
  <c r="AE38" i="15"/>
  <c r="AD38" i="15"/>
  <c r="K38" i="15"/>
  <c r="F38" i="15"/>
  <c r="AE37" i="15"/>
  <c r="AD37" i="15"/>
  <c r="K37" i="15"/>
  <c r="F37" i="15"/>
  <c r="AE36" i="15"/>
  <c r="AD36" i="15"/>
  <c r="K36" i="15"/>
  <c r="F36" i="15"/>
  <c r="AE35" i="15"/>
  <c r="AD35" i="15"/>
  <c r="K35" i="15"/>
  <c r="F35" i="15"/>
  <c r="AE34" i="15"/>
  <c r="AD34" i="15"/>
  <c r="I34" i="15"/>
  <c r="K34" i="15" s="1"/>
  <c r="F34" i="15"/>
  <c r="AE33" i="15"/>
  <c r="AD33" i="15"/>
  <c r="AE32" i="15"/>
  <c r="AD32" i="15"/>
  <c r="AE31" i="15"/>
  <c r="AD31" i="15"/>
  <c r="AE30" i="15"/>
  <c r="AD30" i="15"/>
  <c r="AE29" i="15"/>
  <c r="AD29" i="15"/>
  <c r="AE28" i="15"/>
  <c r="AD28" i="15"/>
  <c r="AE27" i="15"/>
  <c r="AD27" i="15"/>
  <c r="AE26" i="15"/>
  <c r="AD26" i="15"/>
  <c r="AE25" i="15"/>
  <c r="AD25" i="15"/>
  <c r="AE24" i="15"/>
  <c r="AD24" i="15"/>
  <c r="AE23" i="15"/>
  <c r="AD23" i="15"/>
  <c r="AE22" i="15"/>
  <c r="AD22" i="15"/>
  <c r="AE21" i="15"/>
  <c r="AD21" i="15"/>
  <c r="AE20" i="15"/>
  <c r="AD20" i="15"/>
  <c r="AE19" i="15"/>
  <c r="AD19" i="15"/>
  <c r="AE18" i="15"/>
  <c r="AD18" i="15"/>
  <c r="M18" i="15"/>
  <c r="K18" i="15"/>
  <c r="H18" i="15"/>
  <c r="F18" i="15"/>
  <c r="C18" i="15"/>
  <c r="AE17" i="15"/>
  <c r="AD17" i="15"/>
  <c r="AE16" i="15"/>
  <c r="AD16" i="15"/>
  <c r="AE15" i="15"/>
  <c r="AD15" i="15"/>
  <c r="AE14" i="15"/>
  <c r="AD14" i="15"/>
  <c r="AE13" i="15"/>
  <c r="AD13" i="15"/>
  <c r="AE12" i="15"/>
  <c r="AD12" i="15"/>
  <c r="AE11" i="15"/>
  <c r="AD11" i="15"/>
  <c r="Q11" i="15"/>
  <c r="AE10" i="15"/>
  <c r="AD10" i="15"/>
  <c r="AE9" i="15"/>
  <c r="AD9" i="15"/>
  <c r="AE8" i="15"/>
  <c r="AD8" i="15"/>
  <c r="AE7" i="15"/>
  <c r="AD7" i="15"/>
  <c r="AE6" i="15"/>
  <c r="AD6" i="15"/>
  <c r="AE5" i="15"/>
  <c r="AD5" i="15"/>
  <c r="AE4" i="15"/>
  <c r="AD4" i="15"/>
  <c r="AE3" i="15"/>
  <c r="AD3" i="15"/>
  <c r="AE2" i="15"/>
  <c r="AD2" i="15"/>
  <c r="AE69" i="24"/>
  <c r="AD69" i="24"/>
  <c r="AE68" i="24"/>
  <c r="AD68" i="24"/>
  <c r="AE67" i="24"/>
  <c r="AD67" i="24"/>
  <c r="AE66" i="24"/>
  <c r="AD66" i="24"/>
  <c r="AE65" i="24"/>
  <c r="AD65" i="24"/>
  <c r="AE64" i="24"/>
  <c r="AD64" i="24"/>
  <c r="AE63" i="24"/>
  <c r="AD63" i="24"/>
  <c r="P63" i="24"/>
  <c r="AE62" i="24"/>
  <c r="AD62" i="24"/>
  <c r="P62" i="24"/>
  <c r="AE61" i="24"/>
  <c r="AD61" i="24"/>
  <c r="P61" i="24"/>
  <c r="AE60" i="24"/>
  <c r="AD60" i="24"/>
  <c r="P60" i="24"/>
  <c r="AE59" i="24"/>
  <c r="AD59" i="24"/>
  <c r="P59" i="24"/>
  <c r="AE58" i="24"/>
  <c r="AD58" i="24"/>
  <c r="P58" i="24"/>
  <c r="AE57" i="24"/>
  <c r="AD57" i="24"/>
  <c r="P57" i="24"/>
  <c r="AE56" i="24"/>
  <c r="AD56" i="24"/>
  <c r="P56" i="24"/>
  <c r="AE55" i="24"/>
  <c r="AD55" i="24"/>
  <c r="P55" i="24"/>
  <c r="AE54" i="24"/>
  <c r="AD54" i="24"/>
  <c r="P54" i="24"/>
  <c r="AE53" i="24"/>
  <c r="AD53" i="24"/>
  <c r="P53" i="24"/>
  <c r="AE52" i="24"/>
  <c r="AD52" i="24"/>
  <c r="P52" i="24"/>
  <c r="AE51" i="24"/>
  <c r="AD51" i="24"/>
  <c r="P51" i="24"/>
  <c r="M51" i="24"/>
  <c r="H51" i="24"/>
  <c r="C51" i="24"/>
  <c r="AE50" i="24"/>
  <c r="AD50" i="24"/>
  <c r="P50" i="24"/>
  <c r="AE49" i="24"/>
  <c r="AD49" i="24"/>
  <c r="P49" i="24"/>
  <c r="AE48" i="24"/>
  <c r="AD48" i="24"/>
  <c r="P48" i="24"/>
  <c r="AE47" i="24"/>
  <c r="AD47" i="24"/>
  <c r="P47" i="24"/>
  <c r="AE46" i="24"/>
  <c r="AD46" i="24"/>
  <c r="P46" i="24"/>
  <c r="AE45" i="24"/>
  <c r="AD45" i="24"/>
  <c r="P45" i="24"/>
  <c r="AE44" i="24"/>
  <c r="AD44" i="24"/>
  <c r="P44" i="24"/>
  <c r="AE43" i="24"/>
  <c r="AD43" i="24"/>
  <c r="P43" i="24"/>
  <c r="AE42" i="24"/>
  <c r="AD42" i="24"/>
  <c r="AE41" i="24"/>
  <c r="AD41" i="24"/>
  <c r="AE40" i="24"/>
  <c r="AD40" i="24"/>
  <c r="F40" i="24"/>
  <c r="AE39" i="24"/>
  <c r="AD39" i="24"/>
  <c r="F39" i="24"/>
  <c r="AE38" i="24"/>
  <c r="AD38" i="24"/>
  <c r="F38" i="24"/>
  <c r="AE37" i="24"/>
  <c r="AD37" i="24"/>
  <c r="F37" i="24"/>
  <c r="AE36" i="24"/>
  <c r="AD36" i="24"/>
  <c r="K36" i="24"/>
  <c r="F36" i="24"/>
  <c r="AE35" i="24"/>
  <c r="AD35" i="24"/>
  <c r="K35" i="24"/>
  <c r="F35" i="24"/>
  <c r="AE34" i="24"/>
  <c r="AD34" i="24"/>
  <c r="AE33" i="24"/>
  <c r="AD33" i="24"/>
  <c r="AE32" i="24"/>
  <c r="AD32" i="24"/>
  <c r="AE31" i="24"/>
  <c r="AD31" i="24"/>
  <c r="AE30" i="24"/>
  <c r="AD30" i="24"/>
  <c r="AE29" i="24"/>
  <c r="AD29" i="24"/>
  <c r="AE28" i="24"/>
  <c r="AD28" i="24"/>
  <c r="AE27" i="24"/>
  <c r="AD27" i="24"/>
  <c r="AE26" i="24"/>
  <c r="AD26" i="24"/>
  <c r="AE25" i="24"/>
  <c r="AD25" i="24"/>
  <c r="AE24" i="24"/>
  <c r="AD24" i="24"/>
  <c r="AE23" i="24"/>
  <c r="AD23" i="24"/>
  <c r="AE22" i="24"/>
  <c r="AD22" i="24"/>
  <c r="AE21" i="24"/>
  <c r="AD21" i="24"/>
  <c r="AE20" i="24"/>
  <c r="AD20" i="24"/>
  <c r="AE19" i="24"/>
  <c r="AD19" i="24"/>
  <c r="AE18" i="24"/>
  <c r="AD18" i="24"/>
  <c r="M18" i="24"/>
  <c r="K18" i="24"/>
  <c r="H18" i="24"/>
  <c r="F18" i="24"/>
  <c r="C18" i="24"/>
  <c r="AE17" i="24"/>
  <c r="AD17" i="24"/>
  <c r="AE16" i="24"/>
  <c r="AD16" i="24"/>
  <c r="AE15" i="24"/>
  <c r="AD15" i="24"/>
  <c r="AE14" i="24"/>
  <c r="AD14" i="24"/>
  <c r="AE13" i="24"/>
  <c r="AD13" i="24"/>
  <c r="AE12" i="24"/>
  <c r="AD12" i="24"/>
  <c r="AE11" i="24"/>
  <c r="AD11" i="24"/>
  <c r="Q11" i="24"/>
  <c r="AE10" i="24"/>
  <c r="AD10" i="24"/>
  <c r="AE9" i="24"/>
  <c r="AD9" i="24"/>
  <c r="AE8" i="24"/>
  <c r="AD8" i="24"/>
  <c r="AE7" i="24"/>
  <c r="AD7" i="24"/>
  <c r="AE6" i="24"/>
  <c r="AD6" i="24"/>
  <c r="AE5" i="24"/>
  <c r="AD5" i="24"/>
  <c r="AE4" i="24"/>
  <c r="AD4" i="24"/>
  <c r="AE3" i="24"/>
  <c r="AD3" i="24"/>
  <c r="AE2" i="24"/>
  <c r="AD2" i="24"/>
  <c r="AF69" i="22"/>
  <c r="AE69" i="22"/>
  <c r="AF68" i="22"/>
  <c r="AE68" i="22"/>
  <c r="AF67" i="22"/>
  <c r="AE67" i="22"/>
  <c r="AF66" i="22"/>
  <c r="AE66" i="22"/>
  <c r="AF65" i="22"/>
  <c r="AE65" i="22"/>
  <c r="AF64" i="22"/>
  <c r="AE64" i="22"/>
  <c r="AF63" i="22"/>
  <c r="AE63" i="22"/>
  <c r="AF62" i="22"/>
  <c r="AE62" i="22"/>
  <c r="AF61" i="22"/>
  <c r="AE61" i="22"/>
  <c r="AF60" i="22"/>
  <c r="AE60" i="22"/>
  <c r="AF59" i="22"/>
  <c r="AE59" i="22"/>
  <c r="AF58" i="22"/>
  <c r="AE58" i="22"/>
  <c r="AF57" i="22"/>
  <c r="AE57" i="22"/>
  <c r="AF56" i="22"/>
  <c r="AE56" i="22"/>
  <c r="P56" i="22"/>
  <c r="M56" i="22"/>
  <c r="H56" i="22"/>
  <c r="C56" i="22"/>
  <c r="AF55" i="22"/>
  <c r="AE55" i="22"/>
  <c r="P55" i="22"/>
  <c r="AF54" i="22"/>
  <c r="AE54" i="22"/>
  <c r="P54" i="22"/>
  <c r="AF53" i="22"/>
  <c r="AE53" i="22"/>
  <c r="P53" i="22"/>
  <c r="AF52" i="22"/>
  <c r="AE52" i="22"/>
  <c r="P52" i="22"/>
  <c r="AF51" i="22"/>
  <c r="AE51" i="22"/>
  <c r="P51" i="22"/>
  <c r="F51" i="22"/>
  <c r="AF50" i="22"/>
  <c r="AE50" i="22"/>
  <c r="P50" i="22"/>
  <c r="F50" i="22"/>
  <c r="AF49" i="22"/>
  <c r="AE49" i="22"/>
  <c r="P49" i="22"/>
  <c r="F49" i="22"/>
  <c r="AF48" i="22"/>
  <c r="AE48" i="22"/>
  <c r="P48" i="22"/>
  <c r="K48" i="22"/>
  <c r="F48" i="22"/>
  <c r="AF47" i="22"/>
  <c r="AE47" i="22"/>
  <c r="P47" i="22"/>
  <c r="K47" i="22"/>
  <c r="F47" i="22"/>
  <c r="AF46" i="22"/>
  <c r="AE46" i="22"/>
  <c r="P46" i="22"/>
  <c r="K46" i="22"/>
  <c r="F46" i="22"/>
  <c r="AF45" i="22"/>
  <c r="AE45" i="22"/>
  <c r="P45" i="22"/>
  <c r="K45" i="22"/>
  <c r="F45" i="22"/>
  <c r="AF44" i="22"/>
  <c r="AE44" i="22"/>
  <c r="P44" i="22"/>
  <c r="K44" i="22"/>
  <c r="F44" i="22"/>
  <c r="AF43" i="22"/>
  <c r="AE43" i="22"/>
  <c r="P43" i="22"/>
  <c r="K43" i="22"/>
  <c r="F43" i="22"/>
  <c r="AF42" i="22"/>
  <c r="AE42" i="22"/>
  <c r="P42" i="22"/>
  <c r="K42" i="22"/>
  <c r="F42" i="22"/>
  <c r="AF41" i="22"/>
  <c r="AE41" i="22"/>
  <c r="P41" i="22"/>
  <c r="AF40" i="22"/>
  <c r="AE40" i="22"/>
  <c r="P40" i="22"/>
  <c r="AF39" i="22"/>
  <c r="AE39" i="22"/>
  <c r="P39" i="22"/>
  <c r="AF38" i="22"/>
  <c r="AE38" i="22"/>
  <c r="P38" i="22"/>
  <c r="AF37" i="22"/>
  <c r="AE37" i="22"/>
  <c r="P37" i="22"/>
  <c r="AF36" i="22"/>
  <c r="AE36" i="22"/>
  <c r="P36" i="22"/>
  <c r="AF35" i="22"/>
  <c r="AE35" i="22"/>
  <c r="AF34" i="22"/>
  <c r="AE34" i="22"/>
  <c r="AF33" i="22"/>
  <c r="AE33" i="22"/>
  <c r="G33" i="22"/>
  <c r="AF32" i="22"/>
  <c r="AE32" i="22"/>
  <c r="H32" i="22"/>
  <c r="G32" i="22"/>
  <c r="AF31" i="22"/>
  <c r="AE31" i="22"/>
  <c r="G31" i="22"/>
  <c r="AF30" i="22"/>
  <c r="AE30" i="22"/>
  <c r="H30" i="22"/>
  <c r="G30" i="22"/>
  <c r="AF29" i="22"/>
  <c r="AE29" i="22"/>
  <c r="H29" i="22"/>
  <c r="G29" i="22"/>
  <c r="AF28" i="22"/>
  <c r="AE28" i="22"/>
  <c r="H28" i="22"/>
  <c r="G28" i="22"/>
  <c r="AF27" i="22"/>
  <c r="AE27" i="22"/>
  <c r="H27" i="22"/>
  <c r="G27" i="22"/>
  <c r="AF26" i="22"/>
  <c r="AE26" i="22"/>
  <c r="AF25" i="22"/>
  <c r="AE25" i="22"/>
  <c r="AF24" i="22"/>
  <c r="AE24" i="22"/>
  <c r="AF23" i="22"/>
  <c r="AE23" i="22"/>
  <c r="AF22" i="22"/>
  <c r="AE22" i="22"/>
  <c r="AF21" i="22"/>
  <c r="AE21" i="22"/>
  <c r="AF20" i="22"/>
  <c r="AE20" i="22"/>
  <c r="AF19" i="22"/>
  <c r="AE19" i="22"/>
  <c r="AF18" i="22"/>
  <c r="AE18" i="22"/>
  <c r="M18" i="22"/>
  <c r="K18" i="22"/>
  <c r="H18" i="22"/>
  <c r="F18" i="22"/>
  <c r="C18" i="22"/>
  <c r="AF17" i="22"/>
  <c r="AE17" i="22"/>
  <c r="AF16" i="22"/>
  <c r="AE16" i="22"/>
  <c r="AF15" i="22"/>
  <c r="AE15" i="22"/>
  <c r="AF14" i="22"/>
  <c r="AE14" i="22"/>
  <c r="AF13" i="22"/>
  <c r="AE13" i="22"/>
  <c r="AF12" i="22"/>
  <c r="AE12" i="22"/>
  <c r="AF11" i="22"/>
  <c r="AE11" i="22"/>
  <c r="Q11" i="22"/>
  <c r="AF10" i="22"/>
  <c r="AE10" i="22"/>
  <c r="AF9" i="22"/>
  <c r="AE9" i="22"/>
  <c r="AF8" i="22"/>
  <c r="AE8" i="22"/>
  <c r="AF7" i="22"/>
  <c r="AE7" i="22"/>
  <c r="AF6" i="22"/>
  <c r="AE6" i="22"/>
  <c r="AF5" i="22"/>
  <c r="AE5" i="22"/>
  <c r="AF4" i="22"/>
  <c r="AE4" i="22"/>
  <c r="AF3" i="22"/>
  <c r="AE3" i="22"/>
  <c r="AF2" i="22"/>
  <c r="AE2" i="22"/>
  <c r="AE68" i="16"/>
  <c r="AD68" i="16"/>
  <c r="AE67" i="16"/>
  <c r="AD67" i="16"/>
  <c r="AE66" i="16"/>
  <c r="AD66" i="16"/>
  <c r="AE65" i="16"/>
  <c r="AD65" i="16"/>
  <c r="AE64" i="16"/>
  <c r="AD64" i="16"/>
  <c r="AE63" i="16"/>
  <c r="AD63" i="16"/>
  <c r="P63" i="16"/>
  <c r="AE62" i="16"/>
  <c r="AD62" i="16"/>
  <c r="P62" i="16"/>
  <c r="AE61" i="16"/>
  <c r="AD61" i="16"/>
  <c r="P61" i="16"/>
  <c r="AE60" i="16"/>
  <c r="AD60" i="16"/>
  <c r="P60" i="16"/>
  <c r="AE59" i="16"/>
  <c r="AD59" i="16"/>
  <c r="P59" i="16"/>
  <c r="AE58" i="16"/>
  <c r="AD58" i="16"/>
  <c r="P58" i="16"/>
  <c r="AE57" i="16"/>
  <c r="AD57" i="16"/>
  <c r="P57" i="16"/>
  <c r="AE56" i="16"/>
  <c r="AD56" i="16"/>
  <c r="P56" i="16"/>
  <c r="AE55" i="16"/>
  <c r="AD55" i="16"/>
  <c r="P55" i="16"/>
  <c r="AE54" i="16"/>
  <c r="AD54" i="16"/>
  <c r="P54" i="16"/>
  <c r="AE53" i="16"/>
  <c r="AD53" i="16"/>
  <c r="P53" i="16"/>
  <c r="AE52" i="16"/>
  <c r="AD52" i="16"/>
  <c r="P52" i="16"/>
  <c r="AE51" i="16"/>
  <c r="AD51" i="16"/>
  <c r="P51" i="16"/>
  <c r="H51" i="16"/>
  <c r="C51" i="16"/>
  <c r="AE50" i="16"/>
  <c r="AD50" i="16"/>
  <c r="P50" i="16"/>
  <c r="AE49" i="16"/>
  <c r="AD49" i="16"/>
  <c r="P49" i="16"/>
  <c r="F49" i="16"/>
  <c r="AE48" i="16"/>
  <c r="AD48" i="16"/>
  <c r="P48" i="16"/>
  <c r="F48" i="16"/>
  <c r="AE47" i="16"/>
  <c r="AD47" i="16"/>
  <c r="P47" i="16"/>
  <c r="K47" i="16"/>
  <c r="F47" i="16"/>
  <c r="AE46" i="16"/>
  <c r="AD46" i="16"/>
  <c r="P46" i="16"/>
  <c r="K46" i="16"/>
  <c r="F46" i="16"/>
  <c r="AE45" i="16"/>
  <c r="AD45" i="16"/>
  <c r="P45" i="16"/>
  <c r="K45" i="16"/>
  <c r="F45" i="16"/>
  <c r="AE44" i="16"/>
  <c r="AD44" i="16"/>
  <c r="P44" i="16"/>
  <c r="K44" i="16"/>
  <c r="F44" i="16"/>
  <c r="AE43" i="16"/>
  <c r="AD43" i="16"/>
  <c r="P43" i="16"/>
  <c r="K43" i="16"/>
  <c r="F43" i="16"/>
  <c r="AE42" i="16"/>
  <c r="AD42" i="16"/>
  <c r="K42" i="16"/>
  <c r="F42" i="16"/>
  <c r="AE41" i="16"/>
  <c r="AD41" i="16"/>
  <c r="K41" i="16"/>
  <c r="F41" i="16"/>
  <c r="AE40" i="16"/>
  <c r="AD40" i="16"/>
  <c r="K40" i="16"/>
  <c r="F40" i="16"/>
  <c r="AE39" i="16"/>
  <c r="AD39" i="16"/>
  <c r="K39" i="16"/>
  <c r="F39" i="16"/>
  <c r="AE38" i="16"/>
  <c r="AD38" i="16"/>
  <c r="K38" i="16"/>
  <c r="F38" i="16"/>
  <c r="AE37" i="16"/>
  <c r="AD37" i="16"/>
  <c r="K37" i="16"/>
  <c r="F37" i="16"/>
  <c r="AE36" i="16"/>
  <c r="AD36" i="16"/>
  <c r="AE35" i="16"/>
  <c r="AD35" i="16"/>
  <c r="AE34" i="16"/>
  <c r="AD34" i="16"/>
  <c r="AE33" i="16"/>
  <c r="AD33" i="16"/>
  <c r="AE32" i="16"/>
  <c r="AD32" i="16"/>
  <c r="G32" i="16"/>
  <c r="AE31" i="16"/>
  <c r="AD31" i="16"/>
  <c r="H31" i="16"/>
  <c r="G31" i="16"/>
  <c r="F31" i="16"/>
  <c r="AE30" i="16"/>
  <c r="AD30" i="16"/>
  <c r="H30" i="16"/>
  <c r="G30" i="16"/>
  <c r="F30" i="16"/>
  <c r="AE29" i="16"/>
  <c r="AD29" i="16"/>
  <c r="H29" i="16"/>
  <c r="G29" i="16"/>
  <c r="F29" i="16"/>
  <c r="AE28" i="16"/>
  <c r="AD28" i="16"/>
  <c r="H28" i="16"/>
  <c r="G28" i="16"/>
  <c r="F28" i="16"/>
  <c r="AE27" i="16"/>
  <c r="AD27" i="16"/>
  <c r="H27" i="16"/>
  <c r="G27" i="16"/>
  <c r="F27" i="16"/>
  <c r="AE26" i="16"/>
  <c r="AD26" i="16"/>
  <c r="H26" i="16"/>
  <c r="G26" i="16"/>
  <c r="F26" i="16"/>
  <c r="AE25" i="16"/>
  <c r="AD25" i="16"/>
  <c r="H25" i="16"/>
  <c r="G25" i="16"/>
  <c r="F25" i="16"/>
  <c r="AE24" i="16"/>
  <c r="AD24" i="16"/>
  <c r="H24" i="16"/>
  <c r="G24" i="16"/>
  <c r="F24" i="16"/>
  <c r="AE23" i="16"/>
  <c r="AD23" i="16"/>
  <c r="H23" i="16"/>
  <c r="G23" i="16"/>
  <c r="F23" i="16"/>
  <c r="AE22" i="16"/>
  <c r="AD22" i="16"/>
  <c r="H22" i="16"/>
  <c r="G22" i="16"/>
  <c r="F22" i="16"/>
  <c r="AE21" i="16"/>
  <c r="AD21" i="16"/>
  <c r="H21" i="16"/>
  <c r="G21" i="16"/>
  <c r="F21" i="16"/>
  <c r="AE20" i="16"/>
  <c r="AD20" i="16"/>
  <c r="AE19" i="16"/>
  <c r="AD19" i="16"/>
  <c r="AE18" i="16"/>
  <c r="AD18" i="16"/>
  <c r="K18" i="16"/>
  <c r="H18" i="16"/>
  <c r="F18" i="16"/>
  <c r="C18" i="16"/>
  <c r="AE17" i="16"/>
  <c r="AD17" i="16"/>
  <c r="AE16" i="16"/>
  <c r="AD16" i="16"/>
  <c r="AE15" i="16"/>
  <c r="AD15" i="16"/>
  <c r="AE14" i="16"/>
  <c r="AD14" i="16"/>
  <c r="AE13" i="16"/>
  <c r="AD13" i="16"/>
  <c r="AE12" i="16"/>
  <c r="AD12" i="16"/>
  <c r="AE11" i="16"/>
  <c r="AD11" i="16"/>
  <c r="Q11" i="16"/>
  <c r="AE10" i="16"/>
  <c r="AD10" i="16"/>
  <c r="AE9" i="16"/>
  <c r="AD9" i="16"/>
  <c r="AE8" i="16"/>
  <c r="AD8" i="16"/>
  <c r="AE7" i="16"/>
  <c r="AD7" i="16"/>
  <c r="AE6" i="16"/>
  <c r="AD6" i="16"/>
  <c r="AE5" i="16"/>
  <c r="AD5" i="16"/>
  <c r="AE4" i="16"/>
  <c r="AD4" i="16"/>
  <c r="AE3" i="16"/>
  <c r="AD3" i="16"/>
  <c r="AE2" i="16"/>
  <c r="AD2" i="16"/>
  <c r="AE68" i="46"/>
  <c r="AD68" i="46"/>
  <c r="AE67" i="46"/>
  <c r="AD67" i="46"/>
  <c r="AE66" i="46"/>
  <c r="AD66" i="46"/>
  <c r="AE65" i="46"/>
  <c r="AD65" i="46"/>
  <c r="AE64" i="46"/>
  <c r="AD64" i="46"/>
  <c r="AE63" i="46"/>
  <c r="AD63" i="46"/>
  <c r="P63" i="46"/>
  <c r="AE62" i="46"/>
  <c r="AD62" i="46"/>
  <c r="P62" i="46"/>
  <c r="AE61" i="46"/>
  <c r="AD61" i="46"/>
  <c r="P61" i="46"/>
  <c r="AE60" i="46"/>
  <c r="AD60" i="46"/>
  <c r="P60" i="46"/>
  <c r="AE59" i="46"/>
  <c r="AD59" i="46"/>
  <c r="P59" i="46"/>
  <c r="AE58" i="46"/>
  <c r="AD58" i="46"/>
  <c r="P58" i="46"/>
  <c r="AE57" i="46"/>
  <c r="AD57" i="46"/>
  <c r="P57" i="46"/>
  <c r="AE56" i="46"/>
  <c r="AD56" i="46"/>
  <c r="P56" i="46"/>
  <c r="AE55" i="46"/>
  <c r="AD55" i="46"/>
  <c r="P55" i="46"/>
  <c r="AE54" i="46"/>
  <c r="AD54" i="46"/>
  <c r="P54" i="46"/>
  <c r="AE53" i="46"/>
  <c r="AD53" i="46"/>
  <c r="P53" i="46"/>
  <c r="AE52" i="46"/>
  <c r="AD52" i="46"/>
  <c r="P52" i="46"/>
  <c r="AE51" i="46"/>
  <c r="AD51" i="46"/>
  <c r="P51" i="46"/>
  <c r="AE50" i="46"/>
  <c r="AD50" i="46"/>
  <c r="P50" i="46"/>
  <c r="M50" i="46"/>
  <c r="H50" i="46"/>
  <c r="C50" i="46"/>
  <c r="AE49" i="46"/>
  <c r="AD49" i="46"/>
  <c r="P49" i="46"/>
  <c r="AE48" i="46"/>
  <c r="AD48" i="46"/>
  <c r="P48" i="46"/>
  <c r="AE47" i="46"/>
  <c r="AD47" i="46"/>
  <c r="P47" i="46"/>
  <c r="AE46" i="46"/>
  <c r="AD46" i="46"/>
  <c r="P46" i="46"/>
  <c r="AE45" i="46"/>
  <c r="AD45" i="46"/>
  <c r="P45" i="46"/>
  <c r="AE44" i="46"/>
  <c r="AD44" i="46"/>
  <c r="P44" i="46"/>
  <c r="AE43" i="46"/>
  <c r="AD43" i="46"/>
  <c r="P43" i="46"/>
  <c r="AE42" i="46"/>
  <c r="AD42" i="46"/>
  <c r="AE41" i="46"/>
  <c r="AD41" i="46"/>
  <c r="AE40" i="46"/>
  <c r="AD40" i="46"/>
  <c r="K40" i="46"/>
  <c r="AE39" i="46"/>
  <c r="AD39" i="46"/>
  <c r="K39" i="46"/>
  <c r="F39" i="46"/>
  <c r="AE38" i="46"/>
  <c r="AD38" i="46"/>
  <c r="K38" i="46"/>
  <c r="F38" i="46"/>
  <c r="AE37" i="46"/>
  <c r="AD37" i="46"/>
  <c r="AE36" i="46"/>
  <c r="AD36" i="46"/>
  <c r="AE35" i="46"/>
  <c r="AD35" i="46"/>
  <c r="AE34" i="46"/>
  <c r="AD34" i="46"/>
  <c r="AE33" i="46"/>
  <c r="AD33" i="46"/>
  <c r="AE32" i="46"/>
  <c r="AD32" i="46"/>
  <c r="AE31" i="46"/>
  <c r="AD31" i="46"/>
  <c r="H31" i="46"/>
  <c r="G31" i="46"/>
  <c r="F31" i="46"/>
  <c r="AE30" i="46"/>
  <c r="AD30" i="46"/>
  <c r="H30" i="46"/>
  <c r="G30" i="46"/>
  <c r="F30" i="46"/>
  <c r="AE29" i="46"/>
  <c r="AD29" i="46"/>
  <c r="H29" i="46"/>
  <c r="G29" i="46"/>
  <c r="F29" i="46"/>
  <c r="AE28" i="46"/>
  <c r="AD28" i="46"/>
  <c r="H28" i="46"/>
  <c r="G28" i="46"/>
  <c r="F28" i="46"/>
  <c r="AE27" i="46"/>
  <c r="AD27" i="46"/>
  <c r="H27" i="46"/>
  <c r="G27" i="46"/>
  <c r="F27" i="46"/>
  <c r="AE26" i="46"/>
  <c r="AD26" i="46"/>
  <c r="H26" i="46"/>
  <c r="G26" i="46"/>
  <c r="F26" i="46"/>
  <c r="AE25" i="46"/>
  <c r="AD25" i="46"/>
  <c r="H25" i="46"/>
  <c r="G25" i="46"/>
  <c r="F25" i="46"/>
  <c r="AE24" i="46"/>
  <c r="AD24" i="46"/>
  <c r="H24" i="46"/>
  <c r="G24" i="46"/>
  <c r="F24" i="46"/>
  <c r="AE23" i="46"/>
  <c r="AD23" i="46"/>
  <c r="H23" i="46"/>
  <c r="G23" i="46"/>
  <c r="F23" i="46"/>
  <c r="AE22" i="46"/>
  <c r="AD22" i="46"/>
  <c r="H22" i="46"/>
  <c r="G22" i="46"/>
  <c r="F22" i="46"/>
  <c r="AE21" i="46"/>
  <c r="AD21" i="46"/>
  <c r="H21" i="46"/>
  <c r="G21" i="46"/>
  <c r="F21" i="46"/>
  <c r="AE20" i="46"/>
  <c r="AD20" i="46"/>
  <c r="AE19" i="46"/>
  <c r="AD19" i="46"/>
  <c r="AE18" i="46"/>
  <c r="AD18" i="46"/>
  <c r="M18" i="46"/>
  <c r="K18" i="46"/>
  <c r="H18" i="46"/>
  <c r="F18" i="46"/>
  <c r="C18" i="46"/>
  <c r="AE17" i="46"/>
  <c r="AD17" i="46"/>
  <c r="AE16" i="46"/>
  <c r="AD16" i="46"/>
  <c r="AE15" i="46"/>
  <c r="AD15" i="46"/>
  <c r="AE14" i="46"/>
  <c r="AD14" i="46"/>
  <c r="AE13" i="46"/>
  <c r="AD13" i="46"/>
  <c r="AE12" i="46"/>
  <c r="AD12" i="46"/>
  <c r="AE11" i="46"/>
  <c r="AD11" i="46"/>
  <c r="Q11" i="46"/>
  <c r="AE10" i="46"/>
  <c r="AD10" i="46"/>
  <c r="AE9" i="46"/>
  <c r="AD9" i="46"/>
  <c r="AE8" i="46"/>
  <c r="AD8" i="46"/>
  <c r="AE7" i="46"/>
  <c r="AD7" i="46"/>
  <c r="AE6" i="46"/>
  <c r="AD6" i="46"/>
  <c r="AE5" i="46"/>
  <c r="AD5" i="46"/>
  <c r="AE4" i="46"/>
  <c r="AD4" i="46"/>
  <c r="AE3" i="46"/>
  <c r="AD3" i="46"/>
  <c r="AE2" i="46"/>
  <c r="AD2" i="46"/>
  <c r="AE68" i="5"/>
  <c r="AD68" i="5"/>
  <c r="AE67" i="5"/>
  <c r="AD67" i="5"/>
  <c r="AE66" i="5"/>
  <c r="AD66" i="5"/>
  <c r="AE65" i="5"/>
  <c r="AD65" i="5"/>
  <c r="P65" i="5"/>
  <c r="AE64" i="5"/>
  <c r="AD64" i="5"/>
  <c r="P64" i="5"/>
  <c r="H64" i="5"/>
  <c r="C64" i="5"/>
  <c r="AE63" i="5"/>
  <c r="AD63" i="5"/>
  <c r="P63" i="5"/>
  <c r="AE62" i="5"/>
  <c r="AD62" i="5"/>
  <c r="P62" i="5"/>
  <c r="AE61" i="5"/>
  <c r="AD61" i="5"/>
  <c r="P61" i="5"/>
  <c r="F61" i="5"/>
  <c r="AE60" i="5"/>
  <c r="AD60" i="5"/>
  <c r="P60" i="5"/>
  <c r="F60" i="5"/>
  <c r="AE59" i="5"/>
  <c r="AD59" i="5"/>
  <c r="P59" i="5"/>
  <c r="F59" i="5"/>
  <c r="AE58" i="5"/>
  <c r="AD58" i="5"/>
  <c r="P58" i="5"/>
  <c r="F58" i="5"/>
  <c r="AE57" i="5"/>
  <c r="AD57" i="5"/>
  <c r="P57" i="5"/>
  <c r="F57" i="5"/>
  <c r="AE56" i="5"/>
  <c r="AD56" i="5"/>
  <c r="P56" i="5"/>
  <c r="F56" i="5"/>
  <c r="AE55" i="5"/>
  <c r="AD55" i="5"/>
  <c r="P55" i="5"/>
  <c r="F55" i="5"/>
  <c r="AE54" i="5"/>
  <c r="AD54" i="5"/>
  <c r="P54" i="5"/>
  <c r="K54" i="5"/>
  <c r="F54" i="5"/>
  <c r="AE53" i="5"/>
  <c r="AD53" i="5"/>
  <c r="P53" i="5"/>
  <c r="K53" i="5"/>
  <c r="F53" i="5"/>
  <c r="AE52" i="5"/>
  <c r="AD52" i="5"/>
  <c r="P52" i="5"/>
  <c r="K52" i="5"/>
  <c r="F52" i="5"/>
  <c r="AE51" i="5"/>
  <c r="AD51" i="5"/>
  <c r="P51" i="5"/>
  <c r="K51" i="5"/>
  <c r="F51" i="5"/>
  <c r="AE50" i="5"/>
  <c r="AD50" i="5"/>
  <c r="P50" i="5"/>
  <c r="K50" i="5"/>
  <c r="F50" i="5"/>
  <c r="AE49" i="5"/>
  <c r="AD49" i="5"/>
  <c r="P49" i="5"/>
  <c r="K49" i="5"/>
  <c r="F49" i="5"/>
  <c r="AE48" i="5"/>
  <c r="AD48" i="5"/>
  <c r="P48" i="5"/>
  <c r="K48" i="5"/>
  <c r="F48" i="5"/>
  <c r="AE47" i="5"/>
  <c r="AD47" i="5"/>
  <c r="P47" i="5"/>
  <c r="K47" i="5"/>
  <c r="F47" i="5"/>
  <c r="AE46" i="5"/>
  <c r="AD46" i="5"/>
  <c r="P46" i="5"/>
  <c r="AE45" i="5"/>
  <c r="AD45" i="5"/>
  <c r="P45" i="5"/>
  <c r="AE44" i="5"/>
  <c r="AD44" i="5"/>
  <c r="AE43" i="5"/>
  <c r="AD43" i="5"/>
  <c r="AE42" i="5"/>
  <c r="AD42" i="5"/>
  <c r="AE41" i="5"/>
  <c r="AD41" i="5"/>
  <c r="AE40" i="5"/>
  <c r="AD40" i="5"/>
  <c r="AE39" i="5"/>
  <c r="AD39" i="5"/>
  <c r="AE38" i="5"/>
  <c r="AD38" i="5"/>
  <c r="AE37" i="5"/>
  <c r="AD37" i="5"/>
  <c r="AE36" i="5"/>
  <c r="AD36" i="5"/>
  <c r="AE35" i="5"/>
  <c r="AD35" i="5"/>
  <c r="AE34" i="5"/>
  <c r="AD34" i="5"/>
  <c r="AE33" i="5"/>
  <c r="AD33" i="5"/>
  <c r="AE32" i="5"/>
  <c r="AD32" i="5"/>
  <c r="AE31" i="5"/>
  <c r="AD31" i="5"/>
  <c r="AE30" i="5"/>
  <c r="AD30" i="5"/>
  <c r="AE29" i="5"/>
  <c r="AD29" i="5"/>
  <c r="H29" i="5"/>
  <c r="G29" i="5"/>
  <c r="AE28" i="5"/>
  <c r="AD28" i="5"/>
  <c r="H28" i="5"/>
  <c r="G28" i="5"/>
  <c r="F28" i="5"/>
  <c r="AE27" i="5"/>
  <c r="AD27" i="5"/>
  <c r="H27" i="5"/>
  <c r="G27" i="5"/>
  <c r="F27" i="5"/>
  <c r="AE26" i="5"/>
  <c r="AD26" i="5"/>
  <c r="H26" i="5"/>
  <c r="G26" i="5"/>
  <c r="F26" i="5"/>
  <c r="AE25" i="5"/>
  <c r="AD25" i="5"/>
  <c r="H25" i="5"/>
  <c r="G25" i="5"/>
  <c r="F25" i="5"/>
  <c r="AE24" i="5"/>
  <c r="AD24" i="5"/>
  <c r="H24" i="5"/>
  <c r="G24" i="5"/>
  <c r="F24" i="5"/>
  <c r="AE23" i="5"/>
  <c r="AD23" i="5"/>
  <c r="H23" i="5"/>
  <c r="G23" i="5"/>
  <c r="F23" i="5"/>
  <c r="AE22" i="5"/>
  <c r="AD22" i="5"/>
  <c r="H22" i="5"/>
  <c r="G22" i="5"/>
  <c r="F22" i="5"/>
  <c r="AE21" i="5"/>
  <c r="AD21" i="5"/>
  <c r="AE20" i="5"/>
  <c r="AD20" i="5"/>
  <c r="AE19" i="5"/>
  <c r="AD19" i="5"/>
  <c r="K19" i="5"/>
  <c r="H19" i="5"/>
  <c r="F19" i="5"/>
  <c r="C19" i="5"/>
  <c r="AE18" i="5"/>
  <c r="AD18" i="5"/>
  <c r="AE17" i="5"/>
  <c r="AD17" i="5"/>
  <c r="AE16" i="5"/>
  <c r="AD16" i="5"/>
  <c r="AE15" i="5"/>
  <c r="AD15" i="5"/>
  <c r="AE14" i="5"/>
  <c r="AD14" i="5"/>
  <c r="AE13" i="5"/>
  <c r="AD13" i="5"/>
  <c r="AE12" i="5"/>
  <c r="AD12" i="5"/>
  <c r="AE11" i="5"/>
  <c r="AD11" i="5"/>
  <c r="Q11" i="5"/>
  <c r="AE10" i="5"/>
  <c r="AD10" i="5"/>
  <c r="AE9" i="5"/>
  <c r="AD9" i="5"/>
  <c r="AE8" i="5"/>
  <c r="AD8" i="5"/>
  <c r="AE7" i="5"/>
  <c r="AD7" i="5"/>
  <c r="AE6" i="5"/>
  <c r="AD6" i="5"/>
  <c r="AE5" i="5"/>
  <c r="AD5" i="5"/>
  <c r="AE4" i="5"/>
  <c r="AD4" i="5"/>
  <c r="AE3" i="5"/>
  <c r="AD3" i="5"/>
  <c r="AE2" i="5"/>
  <c r="AD2" i="5"/>
  <c r="H127" i="3"/>
  <c r="G127" i="3"/>
  <c r="F127" i="3"/>
  <c r="H126" i="3"/>
  <c r="G126" i="3"/>
  <c r="F126" i="3"/>
  <c r="H125" i="3"/>
  <c r="G125" i="3"/>
  <c r="F125" i="3"/>
  <c r="H124" i="3"/>
  <c r="G124" i="3"/>
  <c r="F124" i="3"/>
  <c r="H123" i="3"/>
  <c r="G123" i="3"/>
  <c r="F123" i="3"/>
  <c r="H122" i="3"/>
  <c r="G122" i="3"/>
  <c r="F122" i="3"/>
  <c r="H121" i="3"/>
  <c r="G121" i="3"/>
  <c r="F121" i="3"/>
  <c r="H120" i="3"/>
  <c r="G120" i="3"/>
  <c r="F120" i="3"/>
  <c r="H119" i="3"/>
  <c r="G119" i="3"/>
  <c r="F119" i="3"/>
  <c r="H118" i="3"/>
  <c r="G118" i="3"/>
  <c r="F118" i="3"/>
  <c r="H117" i="3"/>
  <c r="G117" i="3"/>
  <c r="F117" i="3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M85" i="3"/>
  <c r="H85" i="3"/>
  <c r="C85" i="3"/>
  <c r="K83" i="3"/>
  <c r="K82" i="3"/>
  <c r="F82" i="3"/>
  <c r="F79" i="3"/>
  <c r="F78" i="3"/>
  <c r="F77" i="3"/>
  <c r="F76" i="3"/>
  <c r="F75" i="3"/>
  <c r="F74" i="3"/>
  <c r="F73" i="3"/>
  <c r="F72" i="3"/>
  <c r="F71" i="3"/>
  <c r="F70" i="3"/>
  <c r="F69" i="3"/>
  <c r="F68" i="3"/>
  <c r="K67" i="3"/>
  <c r="F67" i="3"/>
  <c r="K66" i="3"/>
  <c r="F66" i="3"/>
  <c r="K65" i="3"/>
  <c r="F65" i="3"/>
  <c r="K64" i="3"/>
  <c r="F64" i="3"/>
  <c r="K63" i="3"/>
  <c r="F63" i="3"/>
  <c r="K62" i="3"/>
  <c r="F62" i="3"/>
  <c r="K61" i="3"/>
  <c r="F61" i="3"/>
  <c r="Q60" i="3"/>
  <c r="K60" i="3"/>
  <c r="F60" i="3"/>
  <c r="Q59" i="3"/>
  <c r="K59" i="3"/>
  <c r="F59" i="3"/>
  <c r="Q58" i="3"/>
  <c r="K58" i="3"/>
  <c r="F58" i="3"/>
  <c r="Q57" i="3"/>
  <c r="K57" i="3"/>
  <c r="F57" i="3"/>
  <c r="Q56" i="3"/>
  <c r="K56" i="3"/>
  <c r="F56" i="3"/>
  <c r="Q55" i="3"/>
  <c r="K55" i="3"/>
  <c r="F55" i="3"/>
  <c r="Q54" i="3"/>
  <c r="K54" i="3"/>
  <c r="F54" i="3"/>
  <c r="Q53" i="3"/>
  <c r="K53" i="3"/>
  <c r="F53" i="3"/>
  <c r="Q52" i="3"/>
  <c r="K52" i="3"/>
  <c r="F52" i="3"/>
  <c r="Q51" i="3"/>
  <c r="K51" i="3"/>
  <c r="F51" i="3"/>
  <c r="Q50" i="3"/>
  <c r="K50" i="3"/>
  <c r="F50" i="3"/>
  <c r="Q49" i="3"/>
  <c r="K49" i="3"/>
  <c r="F49" i="3"/>
  <c r="Q48" i="3"/>
  <c r="K48" i="3"/>
  <c r="F48" i="3"/>
  <c r="Q47" i="3"/>
  <c r="K47" i="3"/>
  <c r="F47" i="3"/>
  <c r="Q46" i="3"/>
  <c r="K46" i="3"/>
  <c r="F46" i="3"/>
  <c r="Q45" i="3"/>
  <c r="K45" i="3"/>
  <c r="F45" i="3"/>
  <c r="Q44" i="3"/>
  <c r="K44" i="3"/>
  <c r="F44" i="3"/>
  <c r="Q43" i="3"/>
  <c r="Q42" i="3"/>
  <c r="Q41" i="3"/>
  <c r="Q40" i="3"/>
  <c r="M18" i="3"/>
  <c r="K18" i="3"/>
  <c r="H18" i="3"/>
  <c r="F18" i="3"/>
  <c r="C18" i="3"/>
  <c r="Q11" i="3"/>
  <c r="AE2" i="3"/>
  <c r="M124" i="45"/>
  <c r="H124" i="45"/>
  <c r="C124" i="45"/>
  <c r="F116" i="45"/>
  <c r="K115" i="45"/>
  <c r="F115" i="45"/>
  <c r="K114" i="45"/>
  <c r="F114" i="45"/>
  <c r="K113" i="45"/>
  <c r="F113" i="45"/>
  <c r="K112" i="45"/>
  <c r="F112" i="45"/>
  <c r="K111" i="45"/>
  <c r="F111" i="45"/>
  <c r="K110" i="45"/>
  <c r="F110" i="45"/>
  <c r="K109" i="45"/>
  <c r="F109" i="45"/>
  <c r="F108" i="45"/>
  <c r="AE69" i="45"/>
  <c r="AD69" i="45"/>
  <c r="H88" i="45"/>
  <c r="G88" i="45"/>
  <c r="F88" i="45"/>
  <c r="AE68" i="45"/>
  <c r="AD68" i="45"/>
  <c r="H87" i="45"/>
  <c r="G87" i="45"/>
  <c r="F87" i="45"/>
  <c r="AE67" i="45"/>
  <c r="AD67" i="45"/>
  <c r="AE66" i="45"/>
  <c r="AD66" i="45"/>
  <c r="AE65" i="45"/>
  <c r="AD65" i="45"/>
  <c r="AE64" i="45"/>
  <c r="AD64" i="45"/>
  <c r="AE63" i="45"/>
  <c r="AD63" i="45"/>
  <c r="H82" i="45"/>
  <c r="G82" i="45"/>
  <c r="F82" i="45"/>
  <c r="AE62" i="45"/>
  <c r="AD62" i="45"/>
  <c r="H81" i="45"/>
  <c r="G81" i="45"/>
  <c r="F81" i="45"/>
  <c r="AE61" i="45"/>
  <c r="AD61" i="45"/>
  <c r="H80" i="45"/>
  <c r="G80" i="45"/>
  <c r="F80" i="45"/>
  <c r="AE60" i="45"/>
  <c r="AD60" i="45"/>
  <c r="Q60" i="45"/>
  <c r="H79" i="45"/>
  <c r="G79" i="45"/>
  <c r="F79" i="45"/>
  <c r="AE59" i="45"/>
  <c r="AD59" i="45"/>
  <c r="Q59" i="45"/>
  <c r="H78" i="45"/>
  <c r="G78" i="45"/>
  <c r="F78" i="45"/>
  <c r="AE58" i="45"/>
  <c r="AD58" i="45"/>
  <c r="Q58" i="45"/>
  <c r="H77" i="45"/>
  <c r="G77" i="45"/>
  <c r="F77" i="45"/>
  <c r="AE57" i="45"/>
  <c r="AD57" i="45"/>
  <c r="Q57" i="45"/>
  <c r="H76" i="45"/>
  <c r="G76" i="45"/>
  <c r="F76" i="45"/>
  <c r="AE56" i="45"/>
  <c r="AD56" i="45"/>
  <c r="Q56" i="45"/>
  <c r="H75" i="45"/>
  <c r="G75" i="45"/>
  <c r="F75" i="45"/>
  <c r="AE55" i="45"/>
  <c r="AD55" i="45"/>
  <c r="Q55" i="45"/>
  <c r="H74" i="45"/>
  <c r="G74" i="45"/>
  <c r="F74" i="45"/>
  <c r="AE54" i="45"/>
  <c r="AD54" i="45"/>
  <c r="Q54" i="45"/>
  <c r="H73" i="45"/>
  <c r="G73" i="45"/>
  <c r="F73" i="45"/>
  <c r="AE53" i="45"/>
  <c r="AD53" i="45"/>
  <c r="Q53" i="45"/>
  <c r="H72" i="45"/>
  <c r="G72" i="45"/>
  <c r="F72" i="45"/>
  <c r="AE52" i="45"/>
  <c r="AD52" i="45"/>
  <c r="Q52" i="45"/>
  <c r="H71" i="45"/>
  <c r="G71" i="45"/>
  <c r="F71" i="45"/>
  <c r="AE51" i="45"/>
  <c r="AD51" i="45"/>
  <c r="Q51" i="45"/>
  <c r="H70" i="45"/>
  <c r="G70" i="45"/>
  <c r="F70" i="45"/>
  <c r="AE50" i="45"/>
  <c r="AD50" i="45"/>
  <c r="Q50" i="45"/>
  <c r="H69" i="45"/>
  <c r="G69" i="45"/>
  <c r="F69" i="45"/>
  <c r="AE49" i="45"/>
  <c r="AD49" i="45"/>
  <c r="Q49" i="45"/>
  <c r="H68" i="45"/>
  <c r="G68" i="45"/>
  <c r="F68" i="45"/>
  <c r="AE48" i="45"/>
  <c r="AD48" i="45"/>
  <c r="Q48" i="45"/>
  <c r="H67" i="45"/>
  <c r="G67" i="45"/>
  <c r="F67" i="45"/>
  <c r="AE47" i="45"/>
  <c r="AD47" i="45"/>
  <c r="Q47" i="45"/>
  <c r="H66" i="45"/>
  <c r="G66" i="45"/>
  <c r="F66" i="45"/>
  <c r="AE46" i="45"/>
  <c r="AD46" i="45"/>
  <c r="Q46" i="45"/>
  <c r="H65" i="45"/>
  <c r="G65" i="45"/>
  <c r="F65" i="45"/>
  <c r="AE45" i="45"/>
  <c r="AD45" i="45"/>
  <c r="Q45" i="45"/>
  <c r="H64" i="45"/>
  <c r="G64" i="45"/>
  <c r="F64" i="45"/>
  <c r="AE44" i="45"/>
  <c r="AD44" i="45"/>
  <c r="Q44" i="45"/>
  <c r="H63" i="45"/>
  <c r="G63" i="45"/>
  <c r="F63" i="45"/>
  <c r="AE43" i="45"/>
  <c r="AD43" i="45"/>
  <c r="Q43" i="45"/>
  <c r="H62" i="45"/>
  <c r="G62" i="45"/>
  <c r="F62" i="45"/>
  <c r="AE42" i="45"/>
  <c r="AD42" i="45"/>
  <c r="Q42" i="45"/>
  <c r="H61" i="45"/>
  <c r="G61" i="45"/>
  <c r="F61" i="45"/>
  <c r="AE41" i="45"/>
  <c r="AD41" i="45"/>
  <c r="Q41" i="45"/>
  <c r="H60" i="45"/>
  <c r="G60" i="45"/>
  <c r="F60" i="45"/>
  <c r="AE40" i="45"/>
  <c r="AD40" i="45"/>
  <c r="Q40" i="45"/>
  <c r="H59" i="45"/>
  <c r="G59" i="45"/>
  <c r="F59" i="45"/>
  <c r="AE39" i="45"/>
  <c r="AD39" i="45"/>
  <c r="H58" i="45"/>
  <c r="G58" i="45"/>
  <c r="F58" i="45"/>
  <c r="AE38" i="45"/>
  <c r="AD38" i="45"/>
  <c r="H57" i="45"/>
  <c r="G57" i="45"/>
  <c r="F57" i="45"/>
  <c r="AE37" i="45"/>
  <c r="AD37" i="45"/>
  <c r="H56" i="45"/>
  <c r="G56" i="45"/>
  <c r="F56" i="45"/>
  <c r="AE36" i="45"/>
  <c r="AD36" i="45"/>
  <c r="H55" i="45"/>
  <c r="G55" i="45"/>
  <c r="F55" i="45"/>
  <c r="AE35" i="45"/>
  <c r="AD35" i="45"/>
  <c r="H54" i="45"/>
  <c r="G54" i="45"/>
  <c r="F54" i="45"/>
  <c r="AE34" i="45"/>
  <c r="AD34" i="45"/>
  <c r="H53" i="45"/>
  <c r="G53" i="45"/>
  <c r="F53" i="45"/>
  <c r="AE33" i="45"/>
  <c r="AD33" i="45"/>
  <c r="H52" i="45"/>
  <c r="G52" i="45"/>
  <c r="F52" i="45"/>
  <c r="AE32" i="45"/>
  <c r="AD32" i="45"/>
  <c r="H51" i="45"/>
  <c r="G51" i="45"/>
  <c r="F51" i="45"/>
  <c r="AE31" i="45"/>
  <c r="AD31" i="45"/>
  <c r="H50" i="45"/>
  <c r="G50" i="45"/>
  <c r="F50" i="45"/>
  <c r="AE30" i="45"/>
  <c r="AD30" i="45"/>
  <c r="H49" i="45"/>
  <c r="G49" i="45"/>
  <c r="F49" i="45"/>
  <c r="AE29" i="45"/>
  <c r="AD29" i="45"/>
  <c r="H48" i="45"/>
  <c r="G48" i="45"/>
  <c r="F48" i="45"/>
  <c r="AE28" i="45"/>
  <c r="AD28" i="45"/>
  <c r="H47" i="45"/>
  <c r="G47" i="45"/>
  <c r="F47" i="45"/>
  <c r="AE27" i="45"/>
  <c r="AD27" i="45"/>
  <c r="H46" i="45"/>
  <c r="G46" i="45"/>
  <c r="F46" i="45"/>
  <c r="AE26" i="45"/>
  <c r="AD26" i="45"/>
  <c r="H45" i="45"/>
  <c r="G45" i="45"/>
  <c r="F45" i="45"/>
  <c r="AE25" i="45"/>
  <c r="AD25" i="45"/>
  <c r="H44" i="45"/>
  <c r="G44" i="45"/>
  <c r="F44" i="45"/>
  <c r="AE24" i="45"/>
  <c r="AD24" i="45"/>
  <c r="H43" i="45"/>
  <c r="G43" i="45"/>
  <c r="F43" i="45"/>
  <c r="AE23" i="45"/>
  <c r="AD23" i="45"/>
  <c r="H42" i="45"/>
  <c r="G42" i="45"/>
  <c r="F42" i="45"/>
  <c r="AE22" i="45"/>
  <c r="AD22" i="45"/>
  <c r="H41" i="45"/>
  <c r="G41" i="45"/>
  <c r="F41" i="45"/>
  <c r="AE21" i="45"/>
  <c r="AD21" i="45"/>
  <c r="AE20" i="45"/>
  <c r="AD20" i="45"/>
  <c r="AE19" i="45"/>
  <c r="AD19" i="45"/>
  <c r="AE18" i="45"/>
  <c r="AD18" i="45"/>
  <c r="C18" i="45"/>
  <c r="AE17" i="45"/>
  <c r="AD17" i="45"/>
  <c r="AE16" i="45"/>
  <c r="AD16" i="45"/>
  <c r="AE15" i="45"/>
  <c r="AD15" i="45"/>
  <c r="AE14" i="45"/>
  <c r="AD14" i="45"/>
  <c r="AE13" i="45"/>
  <c r="AD13" i="45"/>
  <c r="AE12" i="45"/>
  <c r="AD12" i="45"/>
  <c r="AE11" i="45"/>
  <c r="AD11" i="45"/>
  <c r="Q11" i="45"/>
  <c r="AE10" i="45"/>
  <c r="AD10" i="45"/>
  <c r="AE9" i="45"/>
  <c r="AD9" i="45"/>
  <c r="AE8" i="45"/>
  <c r="AD8" i="45"/>
  <c r="AE7" i="45"/>
  <c r="AD7" i="45"/>
  <c r="AE6" i="45"/>
  <c r="AD6" i="45"/>
  <c r="AE5" i="45"/>
  <c r="AD5" i="45"/>
  <c r="AE4" i="45"/>
  <c r="AD4" i="45"/>
  <c r="AE3" i="45"/>
  <c r="AD3" i="45"/>
  <c r="AE2" i="45"/>
  <c r="AD2" i="45"/>
  <c r="AE68" i="42"/>
  <c r="AD68" i="42"/>
  <c r="AE67" i="42"/>
  <c r="AD67" i="42"/>
  <c r="AE66" i="42"/>
  <c r="AD66" i="42"/>
  <c r="AE65" i="42"/>
  <c r="AD65" i="42"/>
  <c r="AE64" i="42"/>
  <c r="AD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H54" i="42"/>
  <c r="C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P46" i="42"/>
  <c r="AE45" i="42"/>
  <c r="AD45" i="42"/>
  <c r="P45" i="42"/>
  <c r="AE44" i="42"/>
  <c r="AD44" i="42"/>
  <c r="P44" i="42"/>
  <c r="AE43" i="42"/>
  <c r="AD43" i="42"/>
  <c r="P43" i="42"/>
  <c r="AE42" i="42"/>
  <c r="AD42" i="42"/>
  <c r="AE41" i="42"/>
  <c r="AD41" i="42"/>
  <c r="AE40" i="42"/>
  <c r="AD40" i="42"/>
  <c r="AE39" i="42"/>
  <c r="AD39" i="42"/>
  <c r="AE38" i="42"/>
  <c r="AD38" i="42"/>
  <c r="K38" i="42"/>
  <c r="K54" i="42" s="1"/>
  <c r="F38" i="42"/>
  <c r="F54" i="42" s="1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H24" i="42"/>
  <c r="G24" i="42"/>
  <c r="F24" i="42"/>
  <c r="AE23" i="42"/>
  <c r="AD23" i="42"/>
  <c r="H23" i="42"/>
  <c r="G23" i="42"/>
  <c r="F23" i="42"/>
  <c r="AE22" i="42"/>
  <c r="AD22" i="42"/>
  <c r="AE21" i="42"/>
  <c r="AD21" i="42"/>
  <c r="AE20" i="42"/>
  <c r="AD20" i="42"/>
  <c r="AE19" i="42"/>
  <c r="AD19" i="42"/>
  <c r="AE18" i="42"/>
  <c r="AD18" i="42"/>
  <c r="K18" i="42"/>
  <c r="H18" i="42"/>
  <c r="G18" i="42"/>
  <c r="F18" i="42"/>
  <c r="C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Q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M79" i="41"/>
  <c r="H79" i="41"/>
  <c r="C79" i="41"/>
  <c r="AE69" i="41"/>
  <c r="AD69" i="41"/>
  <c r="AE68" i="41"/>
  <c r="AD68" i="41"/>
  <c r="AE67" i="41"/>
  <c r="AD67" i="41"/>
  <c r="AE66" i="41"/>
  <c r="AD66" i="41"/>
  <c r="K66" i="41"/>
  <c r="F66" i="41"/>
  <c r="AE65" i="41"/>
  <c r="AD65" i="41"/>
  <c r="K65" i="41"/>
  <c r="F65" i="41"/>
  <c r="AE64" i="41"/>
  <c r="AD64" i="41"/>
  <c r="K64" i="41"/>
  <c r="F64" i="41"/>
  <c r="AE63" i="41"/>
  <c r="AD63" i="41"/>
  <c r="K63" i="41"/>
  <c r="F63" i="41"/>
  <c r="AE62" i="41"/>
  <c r="AD62" i="41"/>
  <c r="AE61" i="41"/>
  <c r="AD61" i="41"/>
  <c r="AE60" i="41"/>
  <c r="AD60" i="41"/>
  <c r="AE59" i="41"/>
  <c r="AD59" i="41"/>
  <c r="M59" i="41"/>
  <c r="H59" i="41"/>
  <c r="C59" i="41"/>
  <c r="AE58" i="41"/>
  <c r="AD58" i="41"/>
  <c r="AE57" i="41"/>
  <c r="AD57" i="41"/>
  <c r="Q57" i="41"/>
  <c r="AE56" i="41"/>
  <c r="AD56" i="41"/>
  <c r="Q56" i="41"/>
  <c r="AE55" i="41"/>
  <c r="AD55" i="41"/>
  <c r="Q55" i="41"/>
  <c r="K55" i="41"/>
  <c r="F55" i="41"/>
  <c r="AE54" i="41"/>
  <c r="AD54" i="41"/>
  <c r="Q54" i="41"/>
  <c r="K54" i="41"/>
  <c r="F54" i="41"/>
  <c r="AE53" i="41"/>
  <c r="AD53" i="41"/>
  <c r="Q53" i="41"/>
  <c r="K53" i="41"/>
  <c r="F53" i="41"/>
  <c r="AE52" i="41"/>
  <c r="AD52" i="41"/>
  <c r="Q52" i="41"/>
  <c r="K52" i="41"/>
  <c r="F52" i="41"/>
  <c r="AE51" i="41"/>
  <c r="AD51" i="41"/>
  <c r="Q51" i="41"/>
  <c r="K51" i="41"/>
  <c r="F51" i="41"/>
  <c r="AE50" i="41"/>
  <c r="AD50" i="41"/>
  <c r="Q50" i="41"/>
  <c r="K50" i="41"/>
  <c r="F50" i="41"/>
  <c r="AE49" i="41"/>
  <c r="AD49" i="41"/>
  <c r="Q49" i="41"/>
  <c r="AE48" i="41"/>
  <c r="AD48" i="41"/>
  <c r="Q48" i="41"/>
  <c r="AE47" i="41"/>
  <c r="AD47" i="41"/>
  <c r="Q47" i="41"/>
  <c r="AE46" i="41"/>
  <c r="AD46" i="41"/>
  <c r="Q46" i="41"/>
  <c r="AE45" i="41"/>
  <c r="AD45" i="41"/>
  <c r="Q45" i="41"/>
  <c r="AE44" i="41"/>
  <c r="AD44" i="41"/>
  <c r="Q44" i="41"/>
  <c r="AE43" i="41"/>
  <c r="AD43" i="41"/>
  <c r="Q43" i="41"/>
  <c r="AE42" i="41"/>
  <c r="AD42" i="41"/>
  <c r="Q42" i="41"/>
  <c r="H42" i="41"/>
  <c r="G42" i="41"/>
  <c r="F42" i="41"/>
  <c r="AE41" i="41"/>
  <c r="AD41" i="41"/>
  <c r="Q41" i="41"/>
  <c r="H41" i="41"/>
  <c r="G41" i="41"/>
  <c r="F41" i="41"/>
  <c r="AE40" i="41"/>
  <c r="AD40" i="41"/>
  <c r="Q40" i="41"/>
  <c r="H40" i="41"/>
  <c r="G40" i="41"/>
  <c r="F40" i="41"/>
  <c r="AE39" i="41"/>
  <c r="AD39" i="41"/>
  <c r="Q39" i="41"/>
  <c r="H39" i="41"/>
  <c r="G39" i="41"/>
  <c r="F39" i="41"/>
  <c r="AE38" i="41"/>
  <c r="AD38" i="41"/>
  <c r="Q38" i="41"/>
  <c r="H38" i="41"/>
  <c r="G38" i="41"/>
  <c r="F38" i="41"/>
  <c r="AE37" i="41"/>
  <c r="AD37" i="41"/>
  <c r="Q37" i="41"/>
  <c r="H37" i="41"/>
  <c r="G37" i="41"/>
  <c r="F37" i="41"/>
  <c r="AE36" i="41"/>
  <c r="AD36" i="41"/>
  <c r="H36" i="41"/>
  <c r="G36" i="41"/>
  <c r="F36" i="41"/>
  <c r="AE35" i="41"/>
  <c r="AD35" i="41"/>
  <c r="H35" i="41"/>
  <c r="G35" i="41"/>
  <c r="F35" i="41"/>
  <c r="AE34" i="41"/>
  <c r="AD34" i="41"/>
  <c r="H34" i="41"/>
  <c r="G34" i="41"/>
  <c r="F34" i="41"/>
  <c r="AE33" i="41"/>
  <c r="AD33" i="41"/>
  <c r="H33" i="41"/>
  <c r="G33" i="41"/>
  <c r="F33" i="41"/>
  <c r="AE32" i="41"/>
  <c r="AD32" i="41"/>
  <c r="H32" i="41"/>
  <c r="G32" i="41"/>
  <c r="F32" i="41"/>
  <c r="AE31" i="41"/>
  <c r="AD31" i="41"/>
  <c r="H31" i="41"/>
  <c r="G31" i="41"/>
  <c r="F31" i="41"/>
  <c r="AE30" i="41"/>
  <c r="AD30" i="41"/>
  <c r="H30" i="41"/>
  <c r="G30" i="41"/>
  <c r="F30" i="41"/>
  <c r="AE29" i="41"/>
  <c r="AD29" i="41"/>
  <c r="H29" i="41"/>
  <c r="G29" i="41"/>
  <c r="F29" i="41"/>
  <c r="AE28" i="41"/>
  <c r="AD28" i="41"/>
  <c r="H28" i="41"/>
  <c r="G28" i="41"/>
  <c r="F28" i="41"/>
  <c r="AE27" i="41"/>
  <c r="AD27" i="41"/>
  <c r="H27" i="41"/>
  <c r="G27" i="41"/>
  <c r="F27" i="41"/>
  <c r="AE26" i="41"/>
  <c r="AD26" i="41"/>
  <c r="H26" i="41"/>
  <c r="G26" i="41"/>
  <c r="F26" i="41"/>
  <c r="AE25" i="41"/>
  <c r="AD25" i="41"/>
  <c r="H25" i="41"/>
  <c r="G25" i="41"/>
  <c r="F25" i="41"/>
  <c r="AE24" i="41"/>
  <c r="AD24" i="41"/>
  <c r="H24" i="41"/>
  <c r="G24" i="41"/>
  <c r="F24" i="41"/>
  <c r="AE23" i="41"/>
  <c r="AD23" i="41"/>
  <c r="H23" i="41"/>
  <c r="G23" i="41"/>
  <c r="F23" i="41"/>
  <c r="AE22" i="41"/>
  <c r="AD22" i="41"/>
  <c r="AE21" i="41"/>
  <c r="AD21" i="41"/>
  <c r="AE20" i="41"/>
  <c r="AD20" i="41"/>
  <c r="AE19" i="41"/>
  <c r="AD19" i="41"/>
  <c r="AE18" i="41"/>
  <c r="AD18" i="41"/>
  <c r="M18" i="41"/>
  <c r="K18" i="41"/>
  <c r="H18" i="41"/>
  <c r="F18" i="41"/>
  <c r="C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Q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AE69" i="47"/>
  <c r="AD69" i="47"/>
  <c r="AE68" i="47"/>
  <c r="AD68" i="47"/>
  <c r="AE67" i="47"/>
  <c r="AD67" i="47"/>
  <c r="AE66" i="47"/>
  <c r="AD66" i="47"/>
  <c r="AE65" i="47"/>
  <c r="AD65" i="47"/>
  <c r="AE64" i="47"/>
  <c r="AD64" i="47"/>
  <c r="AE63" i="47"/>
  <c r="AD63" i="47"/>
  <c r="AE62" i="47"/>
  <c r="AD62" i="47"/>
  <c r="AE61" i="47"/>
  <c r="AD61" i="47"/>
  <c r="AE60" i="47"/>
  <c r="AD60" i="47"/>
  <c r="Q60" i="47"/>
  <c r="AE59" i="47"/>
  <c r="AD59" i="47"/>
  <c r="Q59" i="47"/>
  <c r="AE58" i="47"/>
  <c r="AD58" i="47"/>
  <c r="Q58" i="47"/>
  <c r="AE57" i="47"/>
  <c r="AD57" i="47"/>
  <c r="Q57" i="47"/>
  <c r="AE56" i="47"/>
  <c r="AD56" i="47"/>
  <c r="Q56" i="47"/>
  <c r="AE55" i="47"/>
  <c r="AD55" i="47"/>
  <c r="Q55" i="47"/>
  <c r="M55" i="47"/>
  <c r="H55" i="47"/>
  <c r="C55" i="47"/>
  <c r="AE54" i="47"/>
  <c r="AD54" i="47"/>
  <c r="Q54" i="47"/>
  <c r="AE53" i="47"/>
  <c r="AD53" i="47"/>
  <c r="Q53" i="47"/>
  <c r="AE52" i="47"/>
  <c r="AD52" i="47"/>
  <c r="Q52" i="47"/>
  <c r="AE51" i="47"/>
  <c r="AD51" i="47"/>
  <c r="Q51" i="47"/>
  <c r="AE50" i="47"/>
  <c r="AD50" i="47"/>
  <c r="Q50" i="47"/>
  <c r="AE49" i="47"/>
  <c r="AD49" i="47"/>
  <c r="Q49" i="47"/>
  <c r="AE48" i="47"/>
  <c r="AD48" i="47"/>
  <c r="Q48" i="47"/>
  <c r="AE47" i="47"/>
  <c r="AD47" i="47"/>
  <c r="Q47" i="47"/>
  <c r="AE46" i="47"/>
  <c r="AD46" i="47"/>
  <c r="Q46" i="47"/>
  <c r="AE45" i="47"/>
  <c r="AD45" i="47"/>
  <c r="Q45" i="47"/>
  <c r="AE44" i="47"/>
  <c r="AD44" i="47"/>
  <c r="Q44" i="47"/>
  <c r="AE43" i="47"/>
  <c r="AD43" i="47"/>
  <c r="Q43" i="47"/>
  <c r="AE42" i="47"/>
  <c r="AD42" i="47"/>
  <c r="Q42" i="47"/>
  <c r="K42" i="47"/>
  <c r="F42" i="47"/>
  <c r="AE41" i="47"/>
  <c r="AD41" i="47"/>
  <c r="Q41" i="47"/>
  <c r="K41" i="47"/>
  <c r="F41" i="47"/>
  <c r="AE40" i="47"/>
  <c r="AD40" i="47"/>
  <c r="Q40" i="47"/>
  <c r="K40" i="47"/>
  <c r="F40" i="47"/>
  <c r="AE39" i="47"/>
  <c r="AD39" i="47"/>
  <c r="K39" i="47"/>
  <c r="F39" i="47"/>
  <c r="AE38" i="47"/>
  <c r="AD38" i="47"/>
  <c r="AE37" i="47"/>
  <c r="AD37" i="47"/>
  <c r="AE36" i="47"/>
  <c r="AD36" i="47"/>
  <c r="AE35" i="47"/>
  <c r="AD35" i="47"/>
  <c r="AE34" i="47"/>
  <c r="AD34" i="47"/>
  <c r="AE33" i="47"/>
  <c r="AD33" i="47"/>
  <c r="AE32" i="47"/>
  <c r="AD32" i="47"/>
  <c r="AE31" i="47"/>
  <c r="AD31" i="47"/>
  <c r="AE30" i="47"/>
  <c r="AD30" i="47"/>
  <c r="AE29" i="47"/>
  <c r="AD29" i="47"/>
  <c r="AE28" i="47"/>
  <c r="AD28" i="47"/>
  <c r="H28" i="47"/>
  <c r="G28" i="47"/>
  <c r="F28" i="47"/>
  <c r="AE27" i="47"/>
  <c r="AD27" i="47"/>
  <c r="H27" i="47"/>
  <c r="G27" i="47"/>
  <c r="F27" i="47"/>
  <c r="AE26" i="47"/>
  <c r="AD26" i="47"/>
  <c r="H26" i="47"/>
  <c r="G26" i="47"/>
  <c r="F26" i="47"/>
  <c r="AE25" i="47"/>
  <c r="AD25" i="47"/>
  <c r="H25" i="47"/>
  <c r="G25" i="47"/>
  <c r="F25" i="47"/>
  <c r="AE24" i="47"/>
  <c r="AD24" i="47"/>
  <c r="H24" i="47"/>
  <c r="G24" i="47"/>
  <c r="F24" i="47"/>
  <c r="AE23" i="47"/>
  <c r="AD23" i="47"/>
  <c r="H23" i="47"/>
  <c r="G23" i="47"/>
  <c r="F23" i="47"/>
  <c r="AE22" i="47"/>
  <c r="AD22" i="47"/>
  <c r="H22" i="47"/>
  <c r="G22" i="47"/>
  <c r="F22" i="47"/>
  <c r="AE21" i="47"/>
  <c r="AD21" i="47"/>
  <c r="H21" i="47"/>
  <c r="G21" i="47"/>
  <c r="F21" i="47"/>
  <c r="AE20" i="47"/>
  <c r="AD20" i="47"/>
  <c r="AE19" i="47"/>
  <c r="AD19" i="47"/>
  <c r="AE18" i="47"/>
  <c r="AD18" i="47"/>
  <c r="M18" i="47"/>
  <c r="K18" i="47"/>
  <c r="H18" i="47"/>
  <c r="F18" i="47"/>
  <c r="C18" i="47"/>
  <c r="AE17" i="47"/>
  <c r="AD17" i="47"/>
  <c r="AE16" i="47"/>
  <c r="AD16" i="47"/>
  <c r="AE15" i="47"/>
  <c r="AD15" i="47"/>
  <c r="AE14" i="47"/>
  <c r="AD14" i="47"/>
  <c r="AE13" i="47"/>
  <c r="AD13" i="47"/>
  <c r="AE12" i="47"/>
  <c r="AD12" i="47"/>
  <c r="AE11" i="47"/>
  <c r="AD11" i="47"/>
  <c r="AE10" i="47"/>
  <c r="AD10" i="47"/>
  <c r="AE9" i="47"/>
  <c r="AD9" i="47"/>
  <c r="AE8" i="47"/>
  <c r="AD8" i="47"/>
  <c r="AE7" i="47"/>
  <c r="AD7" i="47"/>
  <c r="AE6" i="47"/>
  <c r="AD6" i="47"/>
  <c r="AE5" i="47"/>
  <c r="AD5" i="47"/>
  <c r="AE4" i="47"/>
  <c r="AD4" i="47"/>
  <c r="AE3" i="47"/>
  <c r="AD3" i="47"/>
  <c r="AE2" i="47"/>
  <c r="AD2" i="47"/>
  <c r="AE69" i="67"/>
  <c r="AD69" i="67"/>
  <c r="AE68" i="67"/>
  <c r="AD68" i="67"/>
  <c r="AE67" i="67"/>
  <c r="AD67" i="67"/>
  <c r="AE66" i="67"/>
  <c r="AD66" i="67"/>
  <c r="AE65" i="67"/>
  <c r="AD65" i="67"/>
  <c r="AE64" i="67"/>
  <c r="AD64" i="67"/>
  <c r="AE63" i="67"/>
  <c r="AD63" i="67"/>
  <c r="AE62" i="67"/>
  <c r="AD62" i="67"/>
  <c r="AE61" i="67"/>
  <c r="AD61" i="67"/>
  <c r="AE60" i="67"/>
  <c r="AD60" i="67"/>
  <c r="Q60" i="67"/>
  <c r="AE59" i="67"/>
  <c r="AD59" i="67"/>
  <c r="Q59" i="67"/>
  <c r="AE58" i="67"/>
  <c r="AD58" i="67"/>
  <c r="Q58" i="67"/>
  <c r="AE57" i="67"/>
  <c r="AD57" i="67"/>
  <c r="Q57" i="67"/>
  <c r="AE56" i="67"/>
  <c r="AD56" i="67"/>
  <c r="Q56" i="67"/>
  <c r="AE55" i="67"/>
  <c r="AD55" i="67"/>
  <c r="Q55" i="67"/>
  <c r="AE54" i="67"/>
  <c r="AD54" i="67"/>
  <c r="Q54" i="67"/>
  <c r="AE53" i="67"/>
  <c r="AD53" i="67"/>
  <c r="Q53" i="67"/>
  <c r="AE52" i="67"/>
  <c r="AD52" i="67"/>
  <c r="Q52" i="67"/>
  <c r="AE51" i="67"/>
  <c r="AD51" i="67"/>
  <c r="Q51" i="67"/>
  <c r="AE50" i="67"/>
  <c r="AD50" i="67"/>
  <c r="Q50" i="67"/>
  <c r="AE49" i="67"/>
  <c r="AD49" i="67"/>
  <c r="Q49" i="67"/>
  <c r="AE48" i="67"/>
  <c r="AD48" i="67"/>
  <c r="Q48" i="67"/>
  <c r="AE47" i="67"/>
  <c r="AD47" i="67"/>
  <c r="Q47" i="67"/>
  <c r="AE46" i="67"/>
  <c r="AD46" i="67"/>
  <c r="Q46" i="67"/>
  <c r="AE45" i="67"/>
  <c r="AD45" i="67"/>
  <c r="Q45" i="67"/>
  <c r="AE44" i="67"/>
  <c r="AD44" i="67"/>
  <c r="Q44" i="67"/>
  <c r="AE43" i="67"/>
  <c r="AD43" i="67"/>
  <c r="Q43" i="67"/>
  <c r="AE42" i="67"/>
  <c r="AD42" i="67"/>
  <c r="Q42" i="67"/>
  <c r="AE41" i="67"/>
  <c r="AD41" i="67"/>
  <c r="Q41" i="67"/>
  <c r="AE40" i="67"/>
  <c r="AD40" i="67"/>
  <c r="Q40" i="67"/>
  <c r="AE39" i="67"/>
  <c r="AD39" i="67"/>
  <c r="AE38" i="67"/>
  <c r="AD38" i="67"/>
  <c r="AE37" i="67"/>
  <c r="AD37" i="67"/>
  <c r="AE36" i="67"/>
  <c r="AD36" i="67"/>
  <c r="AE35" i="67"/>
  <c r="AD35" i="67"/>
  <c r="AE34" i="67"/>
  <c r="AD34" i="67"/>
  <c r="AE33" i="67"/>
  <c r="AD33" i="67"/>
  <c r="AE32" i="67"/>
  <c r="AD32" i="67"/>
  <c r="AE31" i="67"/>
  <c r="AD31" i="67"/>
  <c r="AE30" i="67"/>
  <c r="AD30" i="67"/>
  <c r="AE29" i="67"/>
  <c r="AD29" i="67"/>
  <c r="AE28" i="67"/>
  <c r="AD28" i="67"/>
  <c r="AE27" i="67"/>
  <c r="AD27" i="67"/>
  <c r="AE26" i="67"/>
  <c r="AD26" i="67"/>
  <c r="AE25" i="67"/>
  <c r="AD25" i="67"/>
  <c r="AE24" i="67"/>
  <c r="AD24" i="67"/>
  <c r="AE23" i="67"/>
  <c r="AD23" i="67"/>
  <c r="AE22" i="67"/>
  <c r="AD22" i="67"/>
  <c r="H22" i="67"/>
  <c r="G22" i="67"/>
  <c r="F22" i="67"/>
  <c r="AE21" i="67"/>
  <c r="AD21" i="67"/>
  <c r="H21" i="67"/>
  <c r="G21" i="67"/>
  <c r="F21" i="67"/>
  <c r="AE20" i="67"/>
  <c r="AD20" i="67"/>
  <c r="AE19" i="67"/>
  <c r="AD19" i="67"/>
  <c r="AE18" i="67"/>
  <c r="AD18" i="67"/>
  <c r="M18" i="67"/>
  <c r="K18" i="67"/>
  <c r="H18" i="67"/>
  <c r="C18" i="67"/>
  <c r="AE17" i="67"/>
  <c r="AD17" i="67"/>
  <c r="AE16" i="67"/>
  <c r="AD16" i="67"/>
  <c r="AE15" i="67"/>
  <c r="AD15" i="67"/>
  <c r="AE14" i="67"/>
  <c r="AD14" i="67"/>
  <c r="AE13" i="67"/>
  <c r="AD13" i="67"/>
  <c r="AE12" i="67"/>
  <c r="AD12" i="67"/>
  <c r="AE11" i="67"/>
  <c r="AD11" i="67"/>
  <c r="AE10" i="67"/>
  <c r="AD10" i="67"/>
  <c r="AE9" i="67"/>
  <c r="AD9" i="67"/>
  <c r="AE8" i="67"/>
  <c r="AD8" i="67"/>
  <c r="AE7" i="67"/>
  <c r="AD7" i="67"/>
  <c r="AE6" i="67"/>
  <c r="AD6" i="67"/>
  <c r="AE5" i="67"/>
  <c r="AD5" i="67"/>
  <c r="AE4" i="67"/>
  <c r="AD4" i="67"/>
  <c r="AE3" i="67"/>
  <c r="AD3" i="67"/>
  <c r="AE2" i="67"/>
  <c r="AD2" i="67"/>
  <c r="F18" i="67"/>
  <c r="AE69" i="20"/>
  <c r="AD69" i="20"/>
  <c r="AE68" i="20"/>
  <c r="AD68" i="20"/>
  <c r="AE67" i="20"/>
  <c r="AD67" i="20"/>
  <c r="P67" i="20"/>
  <c r="AE66" i="20"/>
  <c r="AD66" i="20"/>
  <c r="P66" i="20"/>
  <c r="AE65" i="20"/>
  <c r="AD65" i="20"/>
  <c r="P65" i="20"/>
  <c r="AE64" i="20"/>
  <c r="AD64" i="20"/>
  <c r="P64" i="20"/>
  <c r="AE63" i="20"/>
  <c r="AD63" i="20"/>
  <c r="P63" i="20"/>
  <c r="AE62" i="20"/>
  <c r="AD62" i="20"/>
  <c r="P62" i="20"/>
  <c r="AE61" i="20"/>
  <c r="AD61" i="20"/>
  <c r="P61" i="20"/>
  <c r="AE60" i="20"/>
  <c r="AD60" i="20"/>
  <c r="P60" i="20"/>
  <c r="AE59" i="20"/>
  <c r="AD59" i="20"/>
  <c r="P59" i="20"/>
  <c r="AE58" i="20"/>
  <c r="AD58" i="20"/>
  <c r="P58" i="20"/>
  <c r="AE57" i="20"/>
  <c r="AD57" i="20"/>
  <c r="P57" i="20"/>
  <c r="AE56" i="20"/>
  <c r="AD56" i="20"/>
  <c r="P56" i="20"/>
  <c r="AE55" i="20"/>
  <c r="AD55" i="20"/>
  <c r="P55" i="20"/>
  <c r="AE54" i="20"/>
  <c r="AD54" i="20"/>
  <c r="P54" i="20"/>
  <c r="AE53" i="20"/>
  <c r="AD53" i="20"/>
  <c r="P53" i="20"/>
  <c r="AE52" i="20"/>
  <c r="AD52" i="20"/>
  <c r="P52" i="20"/>
  <c r="AE51" i="20"/>
  <c r="AD51" i="20"/>
  <c r="P51" i="20"/>
  <c r="AE50" i="20"/>
  <c r="AD50" i="20"/>
  <c r="P50" i="20"/>
  <c r="AE49" i="20"/>
  <c r="AD49" i="20"/>
  <c r="P49" i="20"/>
  <c r="M49" i="20"/>
  <c r="H49" i="20"/>
  <c r="C49" i="20"/>
  <c r="AE48" i="20"/>
  <c r="AD48" i="20"/>
  <c r="P48" i="20"/>
  <c r="AE47" i="20"/>
  <c r="AD47" i="20"/>
  <c r="P47" i="20"/>
  <c r="AE46" i="20"/>
  <c r="AD46" i="20"/>
  <c r="AE45" i="20"/>
  <c r="AD45" i="20"/>
  <c r="F45" i="20"/>
  <c r="AE44" i="20"/>
  <c r="AD44" i="20"/>
  <c r="F44" i="20"/>
  <c r="AE43" i="20"/>
  <c r="AD43" i="20"/>
  <c r="F43" i="20"/>
  <c r="AE42" i="20"/>
  <c r="AD42" i="20"/>
  <c r="F42" i="20"/>
  <c r="AE41" i="20"/>
  <c r="AD41" i="20"/>
  <c r="F41" i="20"/>
  <c r="AE40" i="20"/>
  <c r="AD40" i="20"/>
  <c r="F40" i="20"/>
  <c r="AE39" i="20"/>
  <c r="AD39" i="20"/>
  <c r="K39" i="20"/>
  <c r="F39" i="20"/>
  <c r="AE38" i="20"/>
  <c r="AD38" i="20"/>
  <c r="K38" i="20"/>
  <c r="F38" i="20"/>
  <c r="AE37" i="20"/>
  <c r="AD37" i="20"/>
  <c r="K37" i="20"/>
  <c r="F37" i="20"/>
  <c r="AE36" i="20"/>
  <c r="AD36" i="20"/>
  <c r="K36" i="20"/>
  <c r="F36" i="20"/>
  <c r="AE35" i="20"/>
  <c r="AD35" i="20"/>
  <c r="AE34" i="20"/>
  <c r="AD34" i="20"/>
  <c r="AE33" i="20"/>
  <c r="AD33" i="20"/>
  <c r="AE32" i="20"/>
  <c r="AD32" i="20"/>
  <c r="AE31" i="20"/>
  <c r="AD31" i="20"/>
  <c r="AE30" i="20"/>
  <c r="AD30" i="20"/>
  <c r="AE29" i="20"/>
  <c r="AD29" i="20"/>
  <c r="AE28" i="20"/>
  <c r="AD28" i="20"/>
  <c r="AE27" i="20"/>
  <c r="AD27" i="20"/>
  <c r="AE26" i="20"/>
  <c r="AD26" i="20"/>
  <c r="H26" i="20"/>
  <c r="G26" i="20"/>
  <c r="AE25" i="20"/>
  <c r="AD25" i="20"/>
  <c r="H25" i="20"/>
  <c r="G25" i="20"/>
  <c r="AE24" i="20"/>
  <c r="AD24" i="20"/>
  <c r="G24" i="20"/>
  <c r="AE23" i="20"/>
  <c r="AD23" i="20"/>
  <c r="AE22" i="20"/>
  <c r="AD22" i="20"/>
  <c r="AE21" i="20"/>
  <c r="AD21" i="20"/>
  <c r="AE20" i="20"/>
  <c r="AD20" i="20"/>
  <c r="AE19" i="20"/>
  <c r="AD19" i="20"/>
  <c r="AE18" i="20"/>
  <c r="AD18" i="20"/>
  <c r="M18" i="20"/>
  <c r="K18" i="20"/>
  <c r="H18" i="20"/>
  <c r="F18" i="20"/>
  <c r="C18" i="20"/>
  <c r="AE17" i="20"/>
  <c r="AD17" i="20"/>
  <c r="AE16" i="20"/>
  <c r="AD16" i="20"/>
  <c r="AE15" i="20"/>
  <c r="AD15" i="20"/>
  <c r="AE14" i="20"/>
  <c r="AD14" i="20"/>
  <c r="AE13" i="20"/>
  <c r="AD13" i="20"/>
  <c r="AE12" i="20"/>
  <c r="AD12" i="20"/>
  <c r="AE11" i="20"/>
  <c r="AD11" i="20"/>
  <c r="Q11" i="20"/>
  <c r="AE10" i="20"/>
  <c r="AD10" i="20"/>
  <c r="AE9" i="20"/>
  <c r="AD9" i="20"/>
  <c r="AE8" i="20"/>
  <c r="AD8" i="20"/>
  <c r="AE7" i="20"/>
  <c r="AD7" i="20"/>
  <c r="AE6" i="20"/>
  <c r="AD6" i="20"/>
  <c r="AE5" i="20"/>
  <c r="AD5" i="20"/>
  <c r="AE4" i="20"/>
  <c r="AD4" i="20"/>
  <c r="AE3" i="20"/>
  <c r="AD3" i="20"/>
  <c r="AE2" i="20"/>
  <c r="AD2" i="2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G62" i="10"/>
  <c r="F62" i="10"/>
  <c r="AE61" i="10"/>
  <c r="AD61" i="10"/>
  <c r="P61" i="10"/>
  <c r="G61" i="10"/>
  <c r="F61" i="10"/>
  <c r="AE60" i="10"/>
  <c r="AD60" i="10"/>
  <c r="P60" i="10"/>
  <c r="G60" i="10"/>
  <c r="F60" i="10"/>
  <c r="AE59" i="10"/>
  <c r="AD59" i="10"/>
  <c r="P59" i="10"/>
  <c r="G59" i="10"/>
  <c r="F59" i="10"/>
  <c r="AE58" i="10"/>
  <c r="AD58" i="10"/>
  <c r="P58" i="10"/>
  <c r="H58" i="10"/>
  <c r="G58" i="10"/>
  <c r="F58" i="10"/>
  <c r="AE57" i="10"/>
  <c r="AD57" i="10"/>
  <c r="P57" i="10"/>
  <c r="G57" i="10"/>
  <c r="F57" i="10"/>
  <c r="AE56" i="10"/>
  <c r="AD56" i="10"/>
  <c r="P56" i="10"/>
  <c r="H56" i="10"/>
  <c r="G56" i="10"/>
  <c r="F56" i="10"/>
  <c r="AE55" i="10"/>
  <c r="AD55" i="10"/>
  <c r="P55" i="10"/>
  <c r="G55" i="10"/>
  <c r="F55" i="10"/>
  <c r="AE54" i="10"/>
  <c r="AD54" i="10"/>
  <c r="P54" i="10"/>
  <c r="H54" i="10"/>
  <c r="G54" i="10"/>
  <c r="F54" i="10"/>
  <c r="AE53" i="10"/>
  <c r="AD53" i="10"/>
  <c r="P53" i="10"/>
  <c r="H53" i="10"/>
  <c r="G53" i="10"/>
  <c r="F53" i="10"/>
  <c r="AE52" i="10"/>
  <c r="AD52" i="10"/>
  <c r="P52" i="10"/>
  <c r="H52" i="10"/>
  <c r="G52" i="10"/>
  <c r="F52" i="10"/>
  <c r="AE51" i="10"/>
  <c r="AD51" i="10"/>
  <c r="P51" i="10"/>
  <c r="H51" i="10"/>
  <c r="G51" i="10"/>
  <c r="F51" i="10"/>
  <c r="AE50" i="10"/>
  <c r="AD50" i="10"/>
  <c r="P50" i="10"/>
  <c r="H50" i="10"/>
  <c r="G50" i="10"/>
  <c r="F50" i="10"/>
  <c r="AE49" i="10"/>
  <c r="AD49" i="10"/>
  <c r="P49" i="10"/>
  <c r="H49" i="10"/>
  <c r="G49" i="10"/>
  <c r="F49" i="10"/>
  <c r="AE48" i="10"/>
  <c r="AD48" i="10"/>
  <c r="P48" i="10"/>
  <c r="H48" i="10"/>
  <c r="G48" i="10"/>
  <c r="F48" i="10"/>
  <c r="AE47" i="10"/>
  <c r="AD47" i="10"/>
  <c r="P47" i="10"/>
  <c r="H47" i="10"/>
  <c r="G47" i="10"/>
  <c r="F47" i="10"/>
  <c r="AE46" i="10"/>
  <c r="AD46" i="10"/>
  <c r="P46" i="10"/>
  <c r="H46" i="10"/>
  <c r="G46" i="10"/>
  <c r="F46" i="10"/>
  <c r="AE45" i="10"/>
  <c r="AD45" i="10"/>
  <c r="P45" i="10"/>
  <c r="H45" i="10"/>
  <c r="G45" i="10"/>
  <c r="F45" i="10"/>
  <c r="AE44" i="10"/>
  <c r="AD44" i="10"/>
  <c r="H44" i="10"/>
  <c r="G44" i="10"/>
  <c r="F44" i="10"/>
  <c r="AE43" i="10"/>
  <c r="AD43" i="10"/>
  <c r="H43" i="10"/>
  <c r="G43" i="10"/>
  <c r="F43" i="10"/>
  <c r="AE42" i="10"/>
  <c r="AD42" i="10"/>
  <c r="H42" i="10"/>
  <c r="G42" i="10"/>
  <c r="F42" i="10"/>
  <c r="AE41" i="10"/>
  <c r="AD41" i="10"/>
  <c r="H41" i="10"/>
  <c r="G41" i="10"/>
  <c r="F41" i="10"/>
  <c r="AE40" i="10"/>
  <c r="AD40" i="10"/>
  <c r="H40" i="10"/>
  <c r="G40" i="10"/>
  <c r="F40" i="10"/>
  <c r="AE39" i="10"/>
  <c r="AD39" i="10"/>
  <c r="H39" i="10"/>
  <c r="G39" i="10"/>
  <c r="F39" i="10"/>
  <c r="AE38" i="10"/>
  <c r="AD38" i="10"/>
  <c r="H38" i="10"/>
  <c r="G38" i="10"/>
  <c r="F38" i="10"/>
  <c r="AE37" i="10"/>
  <c r="AD37" i="10"/>
  <c r="H37" i="10"/>
  <c r="G37" i="10"/>
  <c r="F37" i="10"/>
  <c r="AE36" i="10"/>
  <c r="AD36" i="10"/>
  <c r="H36" i="10"/>
  <c r="G36" i="10"/>
  <c r="F36" i="10"/>
  <c r="AE35" i="10"/>
  <c r="AD35" i="10"/>
  <c r="H35" i="10"/>
  <c r="G35" i="10"/>
  <c r="F35" i="10"/>
  <c r="AE34" i="10"/>
  <c r="AD34" i="10"/>
  <c r="H34" i="10"/>
  <c r="G34" i="10"/>
  <c r="F34" i="10"/>
  <c r="AE33" i="10"/>
  <c r="AD33" i="10"/>
  <c r="H33" i="10"/>
  <c r="G33" i="10"/>
  <c r="F33" i="10"/>
  <c r="AE32" i="10"/>
  <c r="AD32" i="10"/>
  <c r="H32" i="10"/>
  <c r="G32" i="10"/>
  <c r="F32" i="10"/>
  <c r="AE31" i="10"/>
  <c r="AD31" i="10"/>
  <c r="H31" i="10"/>
  <c r="G31" i="10"/>
  <c r="F31" i="10"/>
  <c r="AE30" i="10"/>
  <c r="AD30" i="10"/>
  <c r="H30" i="10"/>
  <c r="G30" i="10"/>
  <c r="F30" i="10"/>
  <c r="AE29" i="10"/>
  <c r="AD29" i="10"/>
  <c r="H29" i="10"/>
  <c r="G29" i="10"/>
  <c r="F29" i="10"/>
  <c r="AE28" i="10"/>
  <c r="AD28" i="10"/>
  <c r="H28" i="10"/>
  <c r="G28" i="10"/>
  <c r="F28" i="10"/>
  <c r="AE27" i="10"/>
  <c r="AD27" i="10"/>
  <c r="H27" i="10"/>
  <c r="G27" i="10"/>
  <c r="F27" i="10"/>
  <c r="AE26" i="10"/>
  <c r="AD26" i="10"/>
  <c r="H26" i="10"/>
  <c r="G26" i="10"/>
  <c r="F26" i="10"/>
  <c r="AE25" i="10"/>
  <c r="AD25" i="10"/>
  <c r="H25" i="10"/>
  <c r="G25" i="10"/>
  <c r="F25" i="10"/>
  <c r="AE24" i="10"/>
  <c r="AD24" i="10"/>
  <c r="H24" i="10"/>
  <c r="G24" i="10"/>
  <c r="F24" i="10"/>
  <c r="AE23" i="10"/>
  <c r="AD23" i="10"/>
  <c r="H23" i="10"/>
  <c r="G23" i="10"/>
  <c r="F23" i="10"/>
  <c r="AE22" i="10"/>
  <c r="AD22" i="10"/>
  <c r="H22" i="10"/>
  <c r="G22" i="10"/>
  <c r="F22" i="10"/>
  <c r="AE21" i="10"/>
  <c r="AD21" i="10"/>
  <c r="G21" i="10"/>
  <c r="F21" i="10"/>
  <c r="AE20" i="10"/>
  <c r="AD20" i="10"/>
  <c r="AE19" i="10"/>
  <c r="AD19" i="10"/>
  <c r="AE18" i="10"/>
  <c r="AD18" i="10"/>
  <c r="M18" i="10"/>
  <c r="K18" i="10"/>
  <c r="H18" i="10"/>
  <c r="F18" i="10"/>
  <c r="C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Q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M56" i="13"/>
  <c r="H56" i="13"/>
  <c r="C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F51" i="13"/>
  <c r="AE50" i="13"/>
  <c r="AD50" i="13"/>
  <c r="P50" i="13"/>
  <c r="F50" i="13"/>
  <c r="AE49" i="13"/>
  <c r="AD49" i="13"/>
  <c r="P49" i="13"/>
  <c r="F49" i="13"/>
  <c r="AE48" i="13"/>
  <c r="AD48" i="13"/>
  <c r="P48" i="13"/>
  <c r="F48" i="13"/>
  <c r="AE47" i="13"/>
  <c r="AD47" i="13"/>
  <c r="P47" i="13"/>
  <c r="F47" i="13"/>
  <c r="AE46" i="13"/>
  <c r="AD46" i="13"/>
  <c r="P46" i="13"/>
  <c r="F46" i="13"/>
  <c r="AE45" i="13"/>
  <c r="AD45" i="13"/>
  <c r="P45" i="13"/>
  <c r="F45" i="13"/>
  <c r="AE44" i="13"/>
  <c r="AD44" i="13"/>
  <c r="P44" i="13"/>
  <c r="F44" i="13"/>
  <c r="AE43" i="13"/>
  <c r="AD43" i="13"/>
  <c r="P43" i="13"/>
  <c r="K43" i="13"/>
  <c r="F43" i="13"/>
  <c r="AE42" i="13"/>
  <c r="AD42" i="13"/>
  <c r="P42" i="13"/>
  <c r="K42" i="13"/>
  <c r="F42" i="13"/>
  <c r="AE41" i="13"/>
  <c r="AD41" i="13"/>
  <c r="P41" i="13"/>
  <c r="K41" i="13"/>
  <c r="F41" i="13"/>
  <c r="AE40" i="13"/>
  <c r="AD40" i="13"/>
  <c r="K40" i="13"/>
  <c r="F40" i="13"/>
  <c r="AE39" i="13"/>
  <c r="AD39" i="13"/>
  <c r="K39" i="13"/>
  <c r="F39" i="13"/>
  <c r="AE38" i="13"/>
  <c r="AD38" i="13"/>
  <c r="K38" i="13"/>
  <c r="F38" i="13"/>
  <c r="AE37" i="13"/>
  <c r="AD37" i="13"/>
  <c r="K37" i="13"/>
  <c r="F37" i="13"/>
  <c r="AE36" i="13"/>
  <c r="AD36" i="13"/>
  <c r="K36" i="13"/>
  <c r="F36" i="13"/>
  <c r="AE35" i="13"/>
  <c r="AD35" i="13"/>
  <c r="K35" i="13"/>
  <c r="F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M18" i="13"/>
  <c r="K18" i="13"/>
  <c r="H18" i="13"/>
  <c r="F18" i="13"/>
  <c r="C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Q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M37" i="44"/>
  <c r="H37" i="44"/>
  <c r="C37" i="44"/>
  <c r="AE36" i="44"/>
  <c r="AD36" i="44"/>
  <c r="AE35" i="44"/>
  <c r="AD35" i="44"/>
  <c r="AE34" i="44"/>
  <c r="AD34" i="44"/>
  <c r="AE33" i="44"/>
  <c r="AD33" i="44"/>
  <c r="AE32" i="44"/>
  <c r="AD32" i="44"/>
  <c r="K32" i="44"/>
  <c r="K37" i="44" s="1"/>
  <c r="F32" i="44"/>
  <c r="F37" i="44" s="1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H26" i="44"/>
  <c r="G26" i="44"/>
  <c r="F26" i="44"/>
  <c r="AE25" i="44"/>
  <c r="AD25" i="44"/>
  <c r="H25" i="44"/>
  <c r="G25" i="44"/>
  <c r="F25" i="44"/>
  <c r="AE24" i="44"/>
  <c r="AD24" i="44"/>
  <c r="H24" i="44"/>
  <c r="G24" i="44"/>
  <c r="F24" i="44"/>
  <c r="AE23" i="44"/>
  <c r="AD23" i="44"/>
  <c r="H23" i="44"/>
  <c r="G23" i="44"/>
  <c r="F23" i="44"/>
  <c r="AE22" i="44"/>
  <c r="AD22" i="44"/>
  <c r="AE21" i="44"/>
  <c r="AD21" i="44"/>
  <c r="AE20" i="44"/>
  <c r="AD20" i="44"/>
  <c r="AE19" i="44"/>
  <c r="AD19" i="44"/>
  <c r="AE18" i="44"/>
  <c r="AD18" i="44"/>
  <c r="M18" i="44"/>
  <c r="K18" i="44"/>
  <c r="H18" i="44"/>
  <c r="F18" i="44"/>
  <c r="C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Q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H275" i="17"/>
  <c r="G275" i="17"/>
  <c r="F275" i="17"/>
  <c r="H274" i="17"/>
  <c r="G274" i="17"/>
  <c r="F274" i="17"/>
  <c r="H273" i="17"/>
  <c r="G273" i="17"/>
  <c r="F273" i="17"/>
  <c r="H272" i="17"/>
  <c r="G272" i="17"/>
  <c r="F272" i="17"/>
  <c r="H271" i="17"/>
  <c r="G271" i="17"/>
  <c r="F271" i="17"/>
  <c r="H270" i="17"/>
  <c r="G270" i="17"/>
  <c r="F270" i="17"/>
  <c r="H269" i="17"/>
  <c r="G269" i="17"/>
  <c r="F269" i="17"/>
  <c r="H268" i="17"/>
  <c r="G268" i="17"/>
  <c r="F268" i="17"/>
  <c r="H267" i="17"/>
  <c r="G267" i="17"/>
  <c r="F267" i="17"/>
  <c r="H266" i="17"/>
  <c r="G266" i="17"/>
  <c r="F266" i="17"/>
  <c r="H265" i="17"/>
  <c r="G265" i="17"/>
  <c r="F265" i="17"/>
  <c r="H264" i="17"/>
  <c r="G264" i="17"/>
  <c r="F264" i="17"/>
  <c r="H263" i="17"/>
  <c r="G263" i="17"/>
  <c r="F263" i="17"/>
  <c r="H262" i="17"/>
  <c r="G262" i="17"/>
  <c r="F262" i="17"/>
  <c r="H261" i="17"/>
  <c r="G261" i="17"/>
  <c r="F261" i="17"/>
  <c r="H260" i="17"/>
  <c r="G260" i="17"/>
  <c r="F260" i="17"/>
  <c r="H259" i="17"/>
  <c r="G259" i="17"/>
  <c r="F259" i="17"/>
  <c r="H258" i="17"/>
  <c r="G258" i="17"/>
  <c r="F258" i="17"/>
  <c r="H257" i="17"/>
  <c r="G257" i="17"/>
  <c r="F257" i="17"/>
  <c r="H256" i="17"/>
  <c r="G256" i="17"/>
  <c r="F256" i="17"/>
  <c r="H255" i="17"/>
  <c r="G255" i="17"/>
  <c r="F255" i="17"/>
  <c r="H254" i="17"/>
  <c r="G254" i="17"/>
  <c r="F254" i="17"/>
  <c r="H253" i="17"/>
  <c r="G253" i="17"/>
  <c r="F253" i="17"/>
  <c r="H252" i="17"/>
  <c r="G252" i="17"/>
  <c r="F252" i="17"/>
  <c r="H251" i="17"/>
  <c r="G251" i="17"/>
  <c r="F251" i="17"/>
  <c r="H250" i="17"/>
  <c r="G250" i="17"/>
  <c r="F250" i="17"/>
  <c r="H249" i="17"/>
  <c r="G249" i="17"/>
  <c r="F249" i="17"/>
  <c r="H248" i="17"/>
  <c r="G248" i="17"/>
  <c r="F248" i="17"/>
  <c r="H247" i="17"/>
  <c r="G247" i="17"/>
  <c r="F247" i="17"/>
  <c r="H246" i="17"/>
  <c r="G246" i="17"/>
  <c r="F246" i="17"/>
  <c r="H245" i="17"/>
  <c r="G245" i="17"/>
  <c r="F245" i="17"/>
  <c r="H244" i="17"/>
  <c r="G244" i="17"/>
  <c r="F244" i="17"/>
  <c r="H243" i="17"/>
  <c r="G243" i="17"/>
  <c r="F243" i="17"/>
  <c r="H242" i="17"/>
  <c r="G242" i="17"/>
  <c r="F242" i="17"/>
  <c r="H241" i="17"/>
  <c r="G241" i="17"/>
  <c r="F241" i="17"/>
  <c r="H240" i="17"/>
  <c r="G240" i="17"/>
  <c r="F240" i="17"/>
  <c r="H239" i="17"/>
  <c r="G239" i="17"/>
  <c r="F239" i="17"/>
  <c r="H238" i="17"/>
  <c r="G238" i="17"/>
  <c r="F238" i="17"/>
  <c r="H237" i="17"/>
  <c r="G237" i="17"/>
  <c r="F237" i="17"/>
  <c r="H236" i="17"/>
  <c r="G236" i="17"/>
  <c r="F236" i="17"/>
  <c r="H235" i="17"/>
  <c r="G235" i="17"/>
  <c r="F235" i="17"/>
  <c r="H234" i="17"/>
  <c r="G234" i="17"/>
  <c r="F234" i="17"/>
  <c r="H233" i="17"/>
  <c r="G233" i="17"/>
  <c r="F233" i="17"/>
  <c r="H232" i="17"/>
  <c r="G232" i="17"/>
  <c r="F232" i="17"/>
  <c r="H231" i="17"/>
  <c r="G231" i="17"/>
  <c r="F231" i="17"/>
  <c r="H230" i="17"/>
  <c r="G230" i="17"/>
  <c r="F230" i="17"/>
  <c r="H229" i="17"/>
  <c r="G229" i="17"/>
  <c r="F229" i="17"/>
  <c r="H228" i="17"/>
  <c r="G228" i="17"/>
  <c r="F228" i="17"/>
  <c r="H227" i="17"/>
  <c r="G227" i="17"/>
  <c r="F227" i="17"/>
  <c r="H226" i="17"/>
  <c r="G226" i="17"/>
  <c r="F226" i="17"/>
  <c r="H225" i="17"/>
  <c r="G225" i="17"/>
  <c r="F225" i="17"/>
  <c r="H224" i="17"/>
  <c r="G224" i="17"/>
  <c r="F224" i="17"/>
  <c r="H223" i="17"/>
  <c r="G223" i="17"/>
  <c r="F223" i="17"/>
  <c r="H222" i="17"/>
  <c r="G222" i="17"/>
  <c r="F222" i="17"/>
  <c r="H221" i="17"/>
  <c r="G221" i="17"/>
  <c r="F221" i="17"/>
  <c r="H220" i="17"/>
  <c r="G220" i="17"/>
  <c r="F220" i="17"/>
  <c r="H219" i="17"/>
  <c r="G219" i="17"/>
  <c r="F219" i="17"/>
  <c r="H218" i="17"/>
  <c r="G218" i="17"/>
  <c r="F218" i="17"/>
  <c r="H217" i="17"/>
  <c r="G217" i="17"/>
  <c r="F217" i="17"/>
  <c r="H216" i="17"/>
  <c r="G216" i="17"/>
  <c r="F216" i="17"/>
  <c r="H215" i="17"/>
  <c r="G215" i="17"/>
  <c r="F215" i="17"/>
  <c r="H214" i="17"/>
  <c r="G214" i="17"/>
  <c r="F214" i="17"/>
  <c r="H213" i="17"/>
  <c r="G213" i="17"/>
  <c r="F213" i="17"/>
  <c r="H212" i="17"/>
  <c r="G212" i="17"/>
  <c r="F212" i="17"/>
  <c r="H211" i="17"/>
  <c r="G211" i="17"/>
  <c r="F211" i="17"/>
  <c r="H210" i="17"/>
  <c r="G210" i="17"/>
  <c r="F210" i="17"/>
  <c r="H209" i="17"/>
  <c r="G209" i="17"/>
  <c r="F209" i="17"/>
  <c r="H208" i="17"/>
  <c r="G208" i="17"/>
  <c r="F208" i="17"/>
  <c r="H207" i="17"/>
  <c r="G207" i="17"/>
  <c r="F207" i="17"/>
  <c r="H206" i="17"/>
  <c r="G206" i="17"/>
  <c r="F206" i="17"/>
  <c r="H205" i="17"/>
  <c r="G205" i="17"/>
  <c r="F205" i="17"/>
  <c r="H204" i="17"/>
  <c r="G204" i="17"/>
  <c r="F204" i="17"/>
  <c r="H203" i="17"/>
  <c r="G203" i="17"/>
  <c r="F203" i="17"/>
  <c r="H202" i="17"/>
  <c r="G202" i="17"/>
  <c r="F202" i="17"/>
  <c r="H201" i="17"/>
  <c r="G201" i="17"/>
  <c r="F201" i="17"/>
  <c r="H200" i="17"/>
  <c r="G200" i="17"/>
  <c r="F200" i="17"/>
  <c r="H199" i="17"/>
  <c r="G199" i="17"/>
  <c r="F199" i="17"/>
  <c r="H198" i="17"/>
  <c r="G198" i="17"/>
  <c r="F198" i="17"/>
  <c r="H197" i="17"/>
  <c r="G197" i="17"/>
  <c r="F197" i="17"/>
  <c r="H196" i="17"/>
  <c r="G196" i="17"/>
  <c r="F196" i="17"/>
  <c r="H195" i="17"/>
  <c r="G195" i="17"/>
  <c r="F195" i="17"/>
  <c r="H194" i="17"/>
  <c r="G194" i="17"/>
  <c r="F194" i="17"/>
  <c r="H193" i="17"/>
  <c r="G193" i="17"/>
  <c r="F193" i="17"/>
  <c r="H192" i="17"/>
  <c r="G192" i="17"/>
  <c r="F192" i="17"/>
  <c r="H191" i="17"/>
  <c r="G191" i="17"/>
  <c r="F191" i="17"/>
  <c r="H190" i="17"/>
  <c r="G190" i="17"/>
  <c r="F190" i="17"/>
  <c r="H189" i="17"/>
  <c r="G189" i="17"/>
  <c r="F189" i="17"/>
  <c r="H188" i="17"/>
  <c r="G188" i="17"/>
  <c r="F188" i="17"/>
  <c r="H187" i="17"/>
  <c r="G187" i="17"/>
  <c r="F187" i="17"/>
  <c r="H186" i="17"/>
  <c r="G186" i="17"/>
  <c r="F186" i="17"/>
  <c r="H185" i="17"/>
  <c r="G185" i="17"/>
  <c r="F185" i="17"/>
  <c r="H184" i="17"/>
  <c r="G184" i="17"/>
  <c r="F184" i="17"/>
  <c r="H183" i="17"/>
  <c r="G183" i="17"/>
  <c r="F183" i="17"/>
  <c r="H182" i="17"/>
  <c r="G182" i="17"/>
  <c r="F182" i="17"/>
  <c r="H181" i="17"/>
  <c r="G181" i="17"/>
  <c r="F181" i="17"/>
  <c r="H180" i="17"/>
  <c r="G180" i="17"/>
  <c r="F180" i="17"/>
  <c r="H179" i="17"/>
  <c r="G179" i="17"/>
  <c r="F179" i="17"/>
  <c r="H178" i="17"/>
  <c r="G178" i="17"/>
  <c r="F178" i="17"/>
  <c r="H177" i="17"/>
  <c r="G177" i="17"/>
  <c r="F177" i="17"/>
  <c r="H176" i="17"/>
  <c r="G176" i="17"/>
  <c r="F176" i="17"/>
  <c r="H175" i="17"/>
  <c r="G175" i="17"/>
  <c r="F175" i="17"/>
  <c r="H174" i="17"/>
  <c r="G174" i="17"/>
  <c r="F174" i="17"/>
  <c r="H173" i="17"/>
  <c r="G173" i="17"/>
  <c r="F173" i="17"/>
  <c r="H172" i="17"/>
  <c r="G172" i="17"/>
  <c r="F172" i="17"/>
  <c r="H171" i="17"/>
  <c r="G171" i="17"/>
  <c r="F171" i="17"/>
  <c r="H170" i="17"/>
  <c r="G170" i="17"/>
  <c r="F170" i="17"/>
  <c r="H169" i="17"/>
  <c r="G169" i="17"/>
  <c r="F169" i="17"/>
  <c r="H168" i="17"/>
  <c r="G168" i="17"/>
  <c r="F168" i="17"/>
  <c r="H167" i="17"/>
  <c r="G167" i="17"/>
  <c r="F167" i="17"/>
  <c r="H166" i="17"/>
  <c r="G166" i="17"/>
  <c r="F166" i="17"/>
  <c r="H165" i="17"/>
  <c r="G165" i="17"/>
  <c r="F165" i="17"/>
  <c r="H164" i="17"/>
  <c r="G164" i="17"/>
  <c r="F164" i="17"/>
  <c r="H163" i="17"/>
  <c r="G163" i="17"/>
  <c r="F163" i="17"/>
  <c r="H162" i="17"/>
  <c r="G162" i="17"/>
  <c r="F162" i="17"/>
  <c r="M22" i="17"/>
  <c r="H22" i="17"/>
  <c r="C22" i="17"/>
  <c r="AE68" i="17"/>
  <c r="AD68" i="17"/>
  <c r="AE67" i="17"/>
  <c r="AD67" i="17"/>
  <c r="AE66" i="17"/>
  <c r="AD66" i="17"/>
  <c r="AE65" i="17"/>
  <c r="AD65" i="17"/>
  <c r="P65" i="17"/>
  <c r="AE64" i="17"/>
  <c r="AD64" i="17"/>
  <c r="P64" i="17"/>
  <c r="AE63" i="17"/>
  <c r="AD63" i="17"/>
  <c r="P63" i="17"/>
  <c r="AE62" i="17"/>
  <c r="AD62" i="17"/>
  <c r="P62" i="17"/>
  <c r="AE61" i="17"/>
  <c r="AD61" i="17"/>
  <c r="P61" i="17"/>
  <c r="AE60" i="17"/>
  <c r="AD60" i="17"/>
  <c r="P60" i="17"/>
  <c r="AE59" i="17"/>
  <c r="AD59" i="17"/>
  <c r="P59" i="17"/>
  <c r="AE58" i="17"/>
  <c r="AD58" i="17"/>
  <c r="P58" i="17"/>
  <c r="AE57" i="17"/>
  <c r="AD57" i="17"/>
  <c r="P57" i="17"/>
  <c r="AE56" i="17"/>
  <c r="AD56" i="17"/>
  <c r="P56" i="17"/>
  <c r="AE55" i="17"/>
  <c r="AD55" i="17"/>
  <c r="P55" i="17"/>
  <c r="AE54" i="17"/>
  <c r="AD54" i="17"/>
  <c r="P54" i="17"/>
  <c r="AE53" i="17"/>
  <c r="AD53" i="17"/>
  <c r="P53" i="17"/>
  <c r="AE52" i="17"/>
  <c r="AD52" i="17"/>
  <c r="P52" i="17"/>
  <c r="AE51" i="17"/>
  <c r="AD51" i="17"/>
  <c r="P51" i="17"/>
  <c r="AE50" i="17"/>
  <c r="AD50" i="17"/>
  <c r="P50" i="17"/>
  <c r="AE49" i="17"/>
  <c r="AD49" i="17"/>
  <c r="P49" i="17"/>
  <c r="AE48" i="17"/>
  <c r="AD48" i="17"/>
  <c r="P48" i="17"/>
  <c r="AE47" i="17"/>
  <c r="AD47" i="17"/>
  <c r="P47" i="17"/>
  <c r="AE46" i="17"/>
  <c r="AD46" i="17"/>
  <c r="P46" i="17"/>
  <c r="AE45" i="17"/>
  <c r="AD45" i="17"/>
  <c r="P45" i="17"/>
  <c r="AE44" i="17"/>
  <c r="AD44" i="17"/>
  <c r="AE43" i="17"/>
  <c r="AD43" i="17"/>
  <c r="AE42" i="17"/>
  <c r="AD42" i="17"/>
  <c r="AE41" i="17"/>
  <c r="AD41" i="17"/>
  <c r="AE40" i="17"/>
  <c r="AD40" i="17"/>
  <c r="AE39" i="17"/>
  <c r="AD39" i="17"/>
  <c r="AE38" i="17"/>
  <c r="AD38" i="17"/>
  <c r="AE37" i="17"/>
  <c r="AD37" i="17"/>
  <c r="AE36" i="17"/>
  <c r="AD36" i="17"/>
  <c r="AE35" i="17"/>
  <c r="AD35" i="17"/>
  <c r="AE34" i="17"/>
  <c r="AD34" i="17"/>
  <c r="AE33" i="17"/>
  <c r="AD33" i="17"/>
  <c r="AE32" i="17"/>
  <c r="AD32" i="17"/>
  <c r="AE31" i="17"/>
  <c r="AD31" i="17"/>
  <c r="AE30" i="17"/>
  <c r="AD30" i="17"/>
  <c r="AE29" i="17"/>
  <c r="AD29" i="17"/>
  <c r="AE28" i="17"/>
  <c r="AD28" i="17"/>
  <c r="AE27" i="17"/>
  <c r="AD27" i="17"/>
  <c r="AE26" i="17"/>
  <c r="AD26" i="17"/>
  <c r="AE25" i="17"/>
  <c r="AD25" i="17"/>
  <c r="AE24" i="17"/>
  <c r="AD24" i="17"/>
  <c r="AE23" i="17"/>
  <c r="AD23" i="17"/>
  <c r="AE22" i="17"/>
  <c r="AD22" i="17"/>
  <c r="AE21" i="17"/>
  <c r="AD21" i="17"/>
  <c r="AE20" i="17"/>
  <c r="AD20" i="17"/>
  <c r="AE19" i="17"/>
  <c r="AD19" i="17"/>
  <c r="AE18" i="17"/>
  <c r="AD18" i="17"/>
  <c r="AE17" i="17"/>
  <c r="AD17" i="17"/>
  <c r="AE16" i="17"/>
  <c r="AD16" i="17"/>
  <c r="AE15" i="17"/>
  <c r="AD15" i="17"/>
  <c r="AE14" i="17"/>
  <c r="AD14" i="17"/>
  <c r="AE13" i="17"/>
  <c r="AD13" i="17"/>
  <c r="AE12" i="17"/>
  <c r="AD12" i="17"/>
  <c r="AE11" i="17"/>
  <c r="AD11" i="17"/>
  <c r="Q11" i="17"/>
  <c r="AE10" i="17"/>
  <c r="AD10" i="17"/>
  <c r="AE9" i="17"/>
  <c r="AD9" i="17"/>
  <c r="AE8" i="17"/>
  <c r="AD8" i="17"/>
  <c r="AE7" i="17"/>
  <c r="AD7" i="17"/>
  <c r="AE6" i="17"/>
  <c r="AD6" i="17"/>
  <c r="AE5" i="17"/>
  <c r="AD5" i="17"/>
  <c r="AE4" i="17"/>
  <c r="AD4" i="17"/>
  <c r="AE3" i="17"/>
  <c r="AD3" i="17"/>
  <c r="AE2" i="17"/>
  <c r="AD2" i="17"/>
  <c r="M71" i="59"/>
  <c r="H71" i="59"/>
  <c r="C71" i="59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K56" i="59"/>
  <c r="AE55" i="59"/>
  <c r="AD55" i="59"/>
  <c r="P55" i="59"/>
  <c r="K55" i="59"/>
  <c r="F55" i="59"/>
  <c r="F71" i="59" s="1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H37" i="59"/>
  <c r="G37" i="59"/>
  <c r="F37" i="59"/>
  <c r="AE36" i="59"/>
  <c r="AD36" i="59"/>
  <c r="H36" i="59"/>
  <c r="G36" i="59"/>
  <c r="F36" i="59"/>
  <c r="AE35" i="59"/>
  <c r="AD35" i="59"/>
  <c r="H35" i="59"/>
  <c r="G35" i="59"/>
  <c r="F35" i="59"/>
  <c r="AE34" i="59"/>
  <c r="AD34" i="59"/>
  <c r="H34" i="59"/>
  <c r="G34" i="59"/>
  <c r="F34" i="59"/>
  <c r="AE33" i="59"/>
  <c r="AD33" i="59"/>
  <c r="H33" i="59"/>
  <c r="G33" i="59"/>
  <c r="F33" i="59"/>
  <c r="AE32" i="59"/>
  <c r="AD32" i="59"/>
  <c r="H32" i="59"/>
  <c r="G32" i="59"/>
  <c r="F32" i="59"/>
  <c r="AE31" i="59"/>
  <c r="AD31" i="59"/>
  <c r="H31" i="59"/>
  <c r="G31" i="59"/>
  <c r="F31" i="59"/>
  <c r="AE30" i="59"/>
  <c r="AD30" i="59"/>
  <c r="H30" i="59"/>
  <c r="G30" i="59"/>
  <c r="F30" i="59"/>
  <c r="AE29" i="59"/>
  <c r="AD29" i="59"/>
  <c r="H29" i="59"/>
  <c r="G29" i="59"/>
  <c r="F29" i="59"/>
  <c r="AE28" i="59"/>
  <c r="AD28" i="59"/>
  <c r="H28" i="59"/>
  <c r="G28" i="59"/>
  <c r="F28" i="59"/>
  <c r="AE27" i="59"/>
  <c r="AD27" i="59"/>
  <c r="H27" i="59"/>
  <c r="G27" i="59"/>
  <c r="F27" i="59"/>
  <c r="AE26" i="59"/>
  <c r="AD26" i="59"/>
  <c r="H26" i="59"/>
  <c r="G26" i="59"/>
  <c r="F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F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M102" i="58"/>
  <c r="AE69" i="58"/>
  <c r="AD69" i="58"/>
  <c r="AE68" i="58"/>
  <c r="AD68" i="58"/>
  <c r="AE67" i="58"/>
  <c r="AD67" i="58"/>
  <c r="AE66" i="58"/>
  <c r="AD66" i="58"/>
  <c r="AE65" i="58"/>
  <c r="AD65" i="58"/>
  <c r="AE64" i="58"/>
  <c r="AD64" i="58"/>
  <c r="AE63" i="58"/>
  <c r="AD63" i="58"/>
  <c r="AE62" i="58"/>
  <c r="AD62" i="58"/>
  <c r="AE61" i="58"/>
  <c r="AD61" i="58"/>
  <c r="P61" i="58"/>
  <c r="AE60" i="58"/>
  <c r="AD60" i="58"/>
  <c r="P60" i="58"/>
  <c r="AE59" i="58"/>
  <c r="AD59" i="58"/>
  <c r="P59" i="58"/>
  <c r="AE58" i="58"/>
  <c r="AD58" i="58"/>
  <c r="P58" i="58"/>
  <c r="K86" i="58"/>
  <c r="K102" i="58" s="1"/>
  <c r="F86" i="58"/>
  <c r="F102" i="58" s="1"/>
  <c r="AE57" i="58"/>
  <c r="AD57" i="58"/>
  <c r="P57" i="58"/>
  <c r="AE56" i="58"/>
  <c r="AD56" i="58"/>
  <c r="P56" i="58"/>
  <c r="AE55" i="58"/>
  <c r="AD55" i="58"/>
  <c r="P55" i="58"/>
  <c r="AE54" i="58"/>
  <c r="AD54" i="58"/>
  <c r="P54" i="58"/>
  <c r="AE53" i="58"/>
  <c r="AD53" i="58"/>
  <c r="P53" i="58"/>
  <c r="AE52" i="58"/>
  <c r="AD52" i="58"/>
  <c r="P52" i="58"/>
  <c r="AE51" i="58"/>
  <c r="AD51" i="58"/>
  <c r="P51" i="58"/>
  <c r="AE50" i="58"/>
  <c r="AD50" i="58"/>
  <c r="P50" i="58"/>
  <c r="AE49" i="58"/>
  <c r="AD49" i="58"/>
  <c r="P49" i="58"/>
  <c r="AE48" i="58"/>
  <c r="AD48" i="58"/>
  <c r="P48" i="58"/>
  <c r="AE47" i="58"/>
  <c r="AD47" i="58"/>
  <c r="P47" i="58"/>
  <c r="AE46" i="58"/>
  <c r="AD46" i="58"/>
  <c r="P46" i="58"/>
  <c r="AE45" i="58"/>
  <c r="AD45" i="58"/>
  <c r="P45" i="58"/>
  <c r="AE44" i="58"/>
  <c r="AD44" i="58"/>
  <c r="P44" i="58"/>
  <c r="AE43" i="58"/>
  <c r="AD43" i="58"/>
  <c r="P43" i="58"/>
  <c r="AE42" i="58"/>
  <c r="AD42" i="58"/>
  <c r="P42" i="58"/>
  <c r="H59" i="58"/>
  <c r="G59" i="58"/>
  <c r="F59" i="58"/>
  <c r="AE41" i="58"/>
  <c r="AD41" i="58"/>
  <c r="P41" i="58"/>
  <c r="H58" i="58"/>
  <c r="G58" i="58"/>
  <c r="F58" i="58"/>
  <c r="AE40" i="58"/>
  <c r="AD40" i="58"/>
  <c r="AE39" i="58"/>
  <c r="AD39" i="58"/>
  <c r="AE38" i="58"/>
  <c r="AD38" i="58"/>
  <c r="AE37" i="58"/>
  <c r="AD37" i="58"/>
  <c r="H54" i="58"/>
  <c r="G54" i="58"/>
  <c r="F54" i="58"/>
  <c r="AE36" i="58"/>
  <c r="AD36" i="58"/>
  <c r="H53" i="58"/>
  <c r="G53" i="58"/>
  <c r="F53" i="58"/>
  <c r="AE35" i="58"/>
  <c r="AD35" i="58"/>
  <c r="H52" i="58"/>
  <c r="G52" i="58"/>
  <c r="F52" i="58"/>
  <c r="AE34" i="58"/>
  <c r="AD34" i="58"/>
  <c r="H51" i="58"/>
  <c r="G51" i="58"/>
  <c r="F51" i="58"/>
  <c r="AE33" i="58"/>
  <c r="AD33" i="58"/>
  <c r="H50" i="58"/>
  <c r="G50" i="58"/>
  <c r="F50" i="58"/>
  <c r="AE32" i="58"/>
  <c r="AD32" i="58"/>
  <c r="H49" i="58"/>
  <c r="G49" i="58"/>
  <c r="F49" i="58"/>
  <c r="AE31" i="58"/>
  <c r="AD31" i="58"/>
  <c r="H48" i="58"/>
  <c r="G48" i="58"/>
  <c r="F48" i="58"/>
  <c r="AE30" i="58"/>
  <c r="AD30" i="58"/>
  <c r="H47" i="58"/>
  <c r="G47" i="58"/>
  <c r="F47" i="58"/>
  <c r="AE29" i="58"/>
  <c r="AD29" i="58"/>
  <c r="H46" i="58"/>
  <c r="G46" i="58"/>
  <c r="F46" i="58"/>
  <c r="AE28" i="58"/>
  <c r="AD28" i="58"/>
  <c r="H45" i="58"/>
  <c r="G45" i="58"/>
  <c r="F45" i="58"/>
  <c r="AE27" i="58"/>
  <c r="AD27" i="58"/>
  <c r="H44" i="58"/>
  <c r="G44" i="58"/>
  <c r="F44" i="58"/>
  <c r="AE26" i="58"/>
  <c r="AD26" i="58"/>
  <c r="H43" i="58"/>
  <c r="G43" i="58"/>
  <c r="F43" i="58"/>
  <c r="AE25" i="58"/>
  <c r="AD25" i="58"/>
  <c r="H42" i="58"/>
  <c r="G42" i="58"/>
  <c r="F42" i="58"/>
  <c r="AE24" i="58"/>
  <c r="AD24" i="58"/>
  <c r="AE23" i="58"/>
  <c r="AD23" i="58"/>
  <c r="AE22" i="58"/>
  <c r="AD22" i="58"/>
  <c r="AE21" i="58"/>
  <c r="AD21" i="58"/>
  <c r="AE20" i="58"/>
  <c r="AD20" i="58"/>
  <c r="AE19" i="58"/>
  <c r="AD19" i="58"/>
  <c r="AE18" i="58"/>
  <c r="AD18" i="58"/>
  <c r="M18" i="58"/>
  <c r="K18" i="58"/>
  <c r="H18" i="58"/>
  <c r="C18" i="58"/>
  <c r="AE17" i="58"/>
  <c r="AD17" i="58"/>
  <c r="AE16" i="58"/>
  <c r="AD16" i="58"/>
  <c r="AE15" i="58"/>
  <c r="AD15" i="58"/>
  <c r="AE14" i="58"/>
  <c r="AD14" i="58"/>
  <c r="AE13" i="58"/>
  <c r="AD13" i="58"/>
  <c r="AE12" i="58"/>
  <c r="AD12" i="58"/>
  <c r="AE11" i="58"/>
  <c r="AD11" i="58"/>
  <c r="Q11" i="58"/>
  <c r="AE10" i="58"/>
  <c r="AD10" i="58"/>
  <c r="AE9" i="58"/>
  <c r="AD9" i="58"/>
  <c r="AE8" i="58"/>
  <c r="AD8" i="58"/>
  <c r="AE7" i="58"/>
  <c r="AD7" i="58"/>
  <c r="AE6" i="58"/>
  <c r="AD6" i="58"/>
  <c r="AE5" i="58"/>
  <c r="AD5" i="58"/>
  <c r="AE4" i="58"/>
  <c r="AD4" i="58"/>
  <c r="AE3" i="58"/>
  <c r="AD3" i="58"/>
  <c r="AE2" i="58"/>
  <c r="AD2" i="58"/>
  <c r="F18" i="58"/>
  <c r="M81" i="50"/>
  <c r="H81" i="50"/>
  <c r="C81" i="50"/>
  <c r="K69" i="50"/>
  <c r="F69" i="50"/>
  <c r="K68" i="50"/>
  <c r="F68" i="50"/>
  <c r="F67" i="50"/>
  <c r="F66" i="50"/>
  <c r="P65" i="50"/>
  <c r="K65" i="50"/>
  <c r="F65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H42" i="50"/>
  <c r="G42" i="50"/>
  <c r="F42" i="50"/>
  <c r="H41" i="50"/>
  <c r="G41" i="50"/>
  <c r="F41" i="50"/>
  <c r="H40" i="50"/>
  <c r="G40" i="50"/>
  <c r="F40" i="50"/>
  <c r="H39" i="50"/>
  <c r="G39" i="50"/>
  <c r="F39" i="50"/>
  <c r="H38" i="50"/>
  <c r="G38" i="50"/>
  <c r="F38" i="50"/>
  <c r="H37" i="50"/>
  <c r="G37" i="50"/>
  <c r="F37" i="50"/>
  <c r="H36" i="50"/>
  <c r="G36" i="50"/>
  <c r="F36" i="50"/>
  <c r="H35" i="50"/>
  <c r="G35" i="50"/>
  <c r="F35" i="50"/>
  <c r="H34" i="50"/>
  <c r="G34" i="50"/>
  <c r="F34" i="50"/>
  <c r="H33" i="50"/>
  <c r="G33" i="50"/>
  <c r="F33" i="50"/>
  <c r="H32" i="50"/>
  <c r="G32" i="50"/>
  <c r="F32" i="50"/>
  <c r="H31" i="50"/>
  <c r="G31" i="50"/>
  <c r="F31" i="50"/>
  <c r="H30" i="50"/>
  <c r="G30" i="50"/>
  <c r="F30" i="50"/>
  <c r="H29" i="50"/>
  <c r="G29" i="50"/>
  <c r="F29" i="50"/>
  <c r="H28" i="50"/>
  <c r="G28" i="50"/>
  <c r="F28" i="50"/>
  <c r="H27" i="50"/>
  <c r="G27" i="50"/>
  <c r="F27" i="50"/>
  <c r="H26" i="50"/>
  <c r="G26" i="50"/>
  <c r="F26" i="50"/>
  <c r="H25" i="50"/>
  <c r="G25" i="50"/>
  <c r="F25" i="50"/>
  <c r="H24" i="50"/>
  <c r="G24" i="50"/>
  <c r="F24" i="50"/>
  <c r="H23" i="50"/>
  <c r="G23" i="50"/>
  <c r="F23" i="50"/>
  <c r="M18" i="50"/>
  <c r="K18" i="50"/>
  <c r="H18" i="50"/>
  <c r="F18" i="50"/>
  <c r="C18" i="50"/>
  <c r="Q11" i="50"/>
  <c r="H189" i="7"/>
  <c r="G189" i="7"/>
  <c r="F189" i="7"/>
  <c r="H188" i="7"/>
  <c r="G188" i="7"/>
  <c r="F188" i="7"/>
  <c r="H187" i="7"/>
  <c r="G187" i="7"/>
  <c r="F187" i="7"/>
  <c r="H186" i="7"/>
  <c r="G186" i="7"/>
  <c r="F186" i="7"/>
  <c r="H185" i="7"/>
  <c r="G185" i="7"/>
  <c r="F185" i="7"/>
  <c r="H184" i="7"/>
  <c r="G184" i="7"/>
  <c r="F184" i="7"/>
  <c r="H183" i="7"/>
  <c r="G183" i="7"/>
  <c r="F183" i="7"/>
  <c r="H182" i="7"/>
  <c r="G182" i="7"/>
  <c r="F182" i="7"/>
  <c r="H181" i="7"/>
  <c r="G181" i="7"/>
  <c r="F181" i="7"/>
  <c r="H180" i="7"/>
  <c r="G180" i="7"/>
  <c r="F180" i="7"/>
  <c r="H179" i="7"/>
  <c r="G179" i="7"/>
  <c r="F179" i="7"/>
  <c r="H178" i="7"/>
  <c r="G178" i="7"/>
  <c r="F178" i="7"/>
  <c r="H177" i="7"/>
  <c r="G177" i="7"/>
  <c r="F177" i="7"/>
  <c r="H176" i="7"/>
  <c r="G176" i="7"/>
  <c r="F176" i="7"/>
  <c r="H175" i="7"/>
  <c r="G175" i="7"/>
  <c r="F175" i="7"/>
  <c r="H174" i="7"/>
  <c r="G174" i="7"/>
  <c r="F174" i="7"/>
  <c r="H173" i="7"/>
  <c r="G173" i="7"/>
  <c r="F173" i="7"/>
  <c r="H172" i="7"/>
  <c r="G172" i="7"/>
  <c r="F172" i="7"/>
  <c r="H171" i="7"/>
  <c r="G171" i="7"/>
  <c r="F171" i="7"/>
  <c r="H170" i="7"/>
  <c r="G170" i="7"/>
  <c r="F170" i="7"/>
  <c r="H169" i="7"/>
  <c r="G169" i="7"/>
  <c r="F169" i="7"/>
  <c r="H168" i="7"/>
  <c r="G168" i="7"/>
  <c r="F168" i="7"/>
  <c r="H167" i="7"/>
  <c r="G167" i="7"/>
  <c r="F167" i="7"/>
  <c r="H166" i="7"/>
  <c r="G166" i="7"/>
  <c r="F166" i="7"/>
  <c r="H165" i="7"/>
  <c r="G165" i="7"/>
  <c r="F165" i="7"/>
  <c r="H164" i="7"/>
  <c r="G164" i="7"/>
  <c r="F164" i="7"/>
  <c r="H163" i="7"/>
  <c r="G163" i="7"/>
  <c r="F163" i="7"/>
  <c r="H162" i="7"/>
  <c r="G162" i="7"/>
  <c r="F162" i="7"/>
  <c r="H161" i="7"/>
  <c r="G161" i="7"/>
  <c r="F161" i="7"/>
  <c r="H160" i="7"/>
  <c r="G160" i="7"/>
  <c r="F160" i="7"/>
  <c r="H159" i="7"/>
  <c r="G159" i="7"/>
  <c r="F159" i="7"/>
  <c r="H158" i="7"/>
  <c r="G158" i="7"/>
  <c r="F158" i="7"/>
  <c r="H157" i="7"/>
  <c r="G157" i="7"/>
  <c r="F157" i="7"/>
  <c r="H156" i="7"/>
  <c r="G156" i="7"/>
  <c r="F156" i="7"/>
  <c r="H155" i="7"/>
  <c r="G155" i="7"/>
  <c r="F155" i="7"/>
  <c r="H154" i="7"/>
  <c r="G154" i="7"/>
  <c r="F154" i="7"/>
  <c r="H153" i="7"/>
  <c r="G153" i="7"/>
  <c r="F153" i="7"/>
  <c r="H152" i="7"/>
  <c r="G152" i="7"/>
  <c r="F152" i="7"/>
  <c r="H151" i="7"/>
  <c r="G151" i="7"/>
  <c r="F151" i="7"/>
  <c r="H150" i="7"/>
  <c r="G150" i="7"/>
  <c r="F150" i="7"/>
  <c r="H149" i="7"/>
  <c r="G149" i="7"/>
  <c r="F149" i="7"/>
  <c r="H148" i="7"/>
  <c r="G148" i="7"/>
  <c r="F148" i="7"/>
  <c r="H147" i="7"/>
  <c r="G147" i="7"/>
  <c r="F147" i="7"/>
  <c r="H146" i="7"/>
  <c r="G146" i="7"/>
  <c r="F146" i="7"/>
  <c r="H145" i="7"/>
  <c r="G145" i="7"/>
  <c r="F145" i="7"/>
  <c r="H144" i="7"/>
  <c r="G144" i="7"/>
  <c r="F144" i="7"/>
  <c r="H143" i="7"/>
  <c r="G143" i="7"/>
  <c r="F143" i="7"/>
  <c r="H142" i="7"/>
  <c r="G142" i="7"/>
  <c r="F142" i="7"/>
  <c r="H141" i="7"/>
  <c r="G141" i="7"/>
  <c r="F141" i="7"/>
  <c r="H140" i="7"/>
  <c r="G140" i="7"/>
  <c r="F140" i="7"/>
  <c r="H139" i="7"/>
  <c r="G139" i="7"/>
  <c r="F139" i="7"/>
  <c r="H138" i="7"/>
  <c r="G138" i="7"/>
  <c r="F138" i="7"/>
  <c r="H137" i="7"/>
  <c r="G137" i="7"/>
  <c r="F137" i="7"/>
  <c r="H136" i="7"/>
  <c r="G136" i="7"/>
  <c r="F136" i="7"/>
  <c r="H135" i="7"/>
  <c r="G135" i="7"/>
  <c r="F135" i="7"/>
  <c r="H134" i="7"/>
  <c r="G134" i="7"/>
  <c r="F134" i="7"/>
  <c r="H133" i="7"/>
  <c r="G133" i="7"/>
  <c r="F133" i="7"/>
  <c r="H132" i="7"/>
  <c r="G132" i="7"/>
  <c r="F132" i="7"/>
  <c r="H131" i="7"/>
  <c r="G131" i="7"/>
  <c r="F131" i="7"/>
  <c r="H130" i="7"/>
  <c r="G130" i="7"/>
  <c r="F130" i="7"/>
  <c r="H129" i="7"/>
  <c r="G129" i="7"/>
  <c r="F129" i="7"/>
  <c r="H128" i="7"/>
  <c r="G128" i="7"/>
  <c r="F128" i="7"/>
  <c r="H127" i="7"/>
  <c r="G127" i="7"/>
  <c r="F127" i="7"/>
  <c r="H126" i="7"/>
  <c r="G126" i="7"/>
  <c r="F126" i="7"/>
  <c r="H125" i="7"/>
  <c r="G125" i="7"/>
  <c r="F125" i="7"/>
  <c r="H124" i="7"/>
  <c r="G124" i="7"/>
  <c r="F124" i="7"/>
  <c r="H123" i="7"/>
  <c r="G123" i="7"/>
  <c r="F123" i="7"/>
  <c r="H122" i="7"/>
  <c r="G122" i="7"/>
  <c r="F122" i="7"/>
  <c r="H121" i="7"/>
  <c r="G121" i="7"/>
  <c r="F121" i="7"/>
  <c r="H120" i="7"/>
  <c r="G120" i="7"/>
  <c r="F120" i="7"/>
  <c r="H119" i="7"/>
  <c r="G119" i="7"/>
  <c r="F119" i="7"/>
  <c r="H118" i="7"/>
  <c r="G118" i="7"/>
  <c r="F118" i="7"/>
  <c r="H117" i="7"/>
  <c r="G117" i="7"/>
  <c r="F117" i="7"/>
  <c r="H116" i="7"/>
  <c r="G116" i="7"/>
  <c r="F116" i="7"/>
  <c r="H115" i="7"/>
  <c r="G115" i="7"/>
  <c r="F115" i="7"/>
  <c r="H114" i="7"/>
  <c r="G114" i="7"/>
  <c r="F114" i="7"/>
  <c r="H113" i="7"/>
  <c r="G113" i="7"/>
  <c r="F113" i="7"/>
  <c r="H107" i="7"/>
  <c r="C107" i="7"/>
  <c r="F80" i="7"/>
  <c r="F79" i="7"/>
  <c r="F78" i="7"/>
  <c r="F77" i="7"/>
  <c r="F76" i="7"/>
  <c r="F75" i="7"/>
  <c r="F74" i="7"/>
  <c r="F73" i="7"/>
  <c r="K71" i="7"/>
  <c r="F71" i="7"/>
  <c r="K70" i="7"/>
  <c r="F70" i="7"/>
  <c r="K69" i="7"/>
  <c r="F69" i="7"/>
  <c r="AE68" i="7"/>
  <c r="AD68" i="7"/>
  <c r="K68" i="7"/>
  <c r="F68" i="7"/>
  <c r="AE67" i="7"/>
  <c r="AD67" i="7"/>
  <c r="K67" i="7"/>
  <c r="F67" i="7"/>
  <c r="AE66" i="7"/>
  <c r="AD66" i="7"/>
  <c r="K66" i="7"/>
  <c r="F66" i="7"/>
  <c r="AE65" i="7"/>
  <c r="AD65" i="7"/>
  <c r="K65" i="7"/>
  <c r="F65" i="7"/>
  <c r="AE64" i="7"/>
  <c r="AD64" i="7"/>
  <c r="K64" i="7"/>
  <c r="F64" i="7"/>
  <c r="AE63" i="7"/>
  <c r="AD63" i="7"/>
  <c r="P63" i="7"/>
  <c r="K63" i="7"/>
  <c r="F63" i="7"/>
  <c r="AE62" i="7"/>
  <c r="AD62" i="7"/>
  <c r="P62" i="7"/>
  <c r="K62" i="7"/>
  <c r="F62" i="7"/>
  <c r="AE61" i="7"/>
  <c r="AD61" i="7"/>
  <c r="P61" i="7"/>
  <c r="K61" i="7"/>
  <c r="F61" i="7"/>
  <c r="AE60" i="7"/>
  <c r="AD60" i="7"/>
  <c r="P60" i="7"/>
  <c r="K60" i="7"/>
  <c r="F60" i="7"/>
  <c r="AE59" i="7"/>
  <c r="AD59" i="7"/>
  <c r="P59" i="7"/>
  <c r="F59" i="7"/>
  <c r="AE58" i="7"/>
  <c r="AD58" i="7"/>
  <c r="P58" i="7"/>
  <c r="K58" i="7"/>
  <c r="F58" i="7"/>
  <c r="AE57" i="7"/>
  <c r="AD57" i="7"/>
  <c r="P57" i="7"/>
  <c r="K57" i="7"/>
  <c r="F57" i="7"/>
  <c r="AE56" i="7"/>
  <c r="AD56" i="7"/>
  <c r="P56" i="7"/>
  <c r="K56" i="7"/>
  <c r="F56" i="7"/>
  <c r="AE55" i="7"/>
  <c r="AD55" i="7"/>
  <c r="P55" i="7"/>
  <c r="K55" i="7"/>
  <c r="F55" i="7"/>
  <c r="AE54" i="7"/>
  <c r="AD54" i="7"/>
  <c r="P54" i="7"/>
  <c r="K54" i="7"/>
  <c r="F54" i="7"/>
  <c r="AE53" i="7"/>
  <c r="AD53" i="7"/>
  <c r="P53" i="7"/>
  <c r="K53" i="7"/>
  <c r="F53" i="7"/>
  <c r="AE52" i="7"/>
  <c r="AD52" i="7"/>
  <c r="P52" i="7"/>
  <c r="K52" i="7"/>
  <c r="F52" i="7"/>
  <c r="AE51" i="7"/>
  <c r="AD51" i="7"/>
  <c r="P51" i="7"/>
  <c r="K51" i="7"/>
  <c r="F51" i="7"/>
  <c r="AE50" i="7"/>
  <c r="AD50" i="7"/>
  <c r="P50" i="7"/>
  <c r="K50" i="7"/>
  <c r="F50" i="7"/>
  <c r="AE49" i="7"/>
  <c r="AD49" i="7"/>
  <c r="P49" i="7"/>
  <c r="K49" i="7"/>
  <c r="F49" i="7"/>
  <c r="AE48" i="7"/>
  <c r="AD48" i="7"/>
  <c r="P48" i="7"/>
  <c r="K48" i="7"/>
  <c r="F48" i="7"/>
  <c r="AE47" i="7"/>
  <c r="AD47" i="7"/>
  <c r="P47" i="7"/>
  <c r="K47" i="7"/>
  <c r="F47" i="7"/>
  <c r="AE46" i="7"/>
  <c r="AD46" i="7"/>
  <c r="P46" i="7"/>
  <c r="F46" i="7"/>
  <c r="AE45" i="7"/>
  <c r="AD45" i="7"/>
  <c r="P45" i="7"/>
  <c r="K45" i="7"/>
  <c r="F45" i="7"/>
  <c r="AE44" i="7"/>
  <c r="AD44" i="7"/>
  <c r="P44" i="7"/>
  <c r="K44" i="7"/>
  <c r="F44" i="7"/>
  <c r="AE43" i="7"/>
  <c r="AD43" i="7"/>
  <c r="P43" i="7"/>
  <c r="K43" i="7"/>
  <c r="F43" i="7"/>
  <c r="AE42" i="7"/>
  <c r="AD42" i="7"/>
  <c r="K42" i="7"/>
  <c r="F42" i="7"/>
  <c r="AE41" i="7"/>
  <c r="AD41" i="7"/>
  <c r="K41" i="7"/>
  <c r="F41" i="7"/>
  <c r="AE40" i="7"/>
  <c r="AD40" i="7"/>
  <c r="K40" i="7"/>
  <c r="F40" i="7"/>
  <c r="AE39" i="7"/>
  <c r="AD39" i="7"/>
  <c r="K39" i="7"/>
  <c r="F39" i="7"/>
  <c r="AE38" i="7"/>
  <c r="AD38" i="7"/>
  <c r="K38" i="7"/>
  <c r="F38" i="7"/>
  <c r="AE37" i="7"/>
  <c r="AD37" i="7"/>
  <c r="K37" i="7"/>
  <c r="F37" i="7"/>
  <c r="AE36" i="7"/>
  <c r="AD36" i="7"/>
  <c r="K36" i="7"/>
  <c r="F36" i="7"/>
  <c r="AE35" i="7"/>
  <c r="AD35" i="7"/>
  <c r="K35" i="7"/>
  <c r="F35" i="7"/>
  <c r="AE34" i="7"/>
  <c r="AD34" i="7"/>
  <c r="K34" i="7"/>
  <c r="F34" i="7"/>
  <c r="AE33" i="7"/>
  <c r="AD33" i="7"/>
  <c r="K33" i="7"/>
  <c r="F33" i="7"/>
  <c r="AE32" i="7"/>
  <c r="AD32" i="7"/>
  <c r="K32" i="7"/>
  <c r="F32" i="7"/>
  <c r="AE31" i="7"/>
  <c r="AD31" i="7"/>
  <c r="K31" i="7"/>
  <c r="F31" i="7"/>
  <c r="AE30" i="7"/>
  <c r="AD30" i="7"/>
  <c r="K30" i="7"/>
  <c r="F30" i="7"/>
  <c r="AE29" i="7"/>
  <c r="AD29" i="7"/>
  <c r="F29" i="7"/>
  <c r="AE28" i="7"/>
  <c r="AD28" i="7"/>
  <c r="F28" i="7"/>
  <c r="AE27" i="7"/>
  <c r="AD27" i="7"/>
  <c r="F27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K12" i="7"/>
  <c r="F12" i="7"/>
  <c r="AE11" i="7"/>
  <c r="AD11" i="7"/>
  <c r="Q11" i="7"/>
  <c r="K11" i="7"/>
  <c r="F11" i="7"/>
  <c r="AE10" i="7"/>
  <c r="AD10" i="7"/>
  <c r="K10" i="7"/>
  <c r="F10" i="7"/>
  <c r="AE9" i="7"/>
  <c r="AD9" i="7"/>
  <c r="K9" i="7"/>
  <c r="F9" i="7"/>
  <c r="AE8" i="7"/>
  <c r="AD8" i="7"/>
  <c r="K8" i="7"/>
  <c r="F8" i="7"/>
  <c r="AE7" i="7"/>
  <c r="AD7" i="7"/>
  <c r="K7" i="7"/>
  <c r="F7" i="7"/>
  <c r="AE6" i="7"/>
  <c r="AD6" i="7"/>
  <c r="K6" i="7"/>
  <c r="F6" i="7"/>
  <c r="AE5" i="7"/>
  <c r="AD5" i="7"/>
  <c r="K5" i="7"/>
  <c r="F5" i="7"/>
  <c r="AE4" i="7"/>
  <c r="AD4" i="7"/>
  <c r="K4" i="7"/>
  <c r="F4" i="7"/>
  <c r="AE3" i="7"/>
  <c r="AD3" i="7"/>
  <c r="K3" i="7"/>
  <c r="F3" i="7"/>
  <c r="AE2" i="7"/>
  <c r="AD2" i="7"/>
  <c r="K2" i="7"/>
  <c r="F2" i="7"/>
  <c r="AE69" i="68"/>
  <c r="AD69" i="68"/>
  <c r="AE68" i="68"/>
  <c r="AD68" i="68"/>
  <c r="AE67" i="68"/>
  <c r="AD67" i="68"/>
  <c r="AE66" i="68"/>
  <c r="AD66" i="68"/>
  <c r="AE65" i="68"/>
  <c r="AD65" i="68"/>
  <c r="AE64" i="68"/>
  <c r="AD64" i="68"/>
  <c r="AE63" i="68"/>
  <c r="AD63" i="68"/>
  <c r="AE62" i="68"/>
  <c r="AD62" i="68"/>
  <c r="AE61" i="68"/>
  <c r="AD61" i="68"/>
  <c r="P61" i="68"/>
  <c r="AE60" i="68"/>
  <c r="AD60" i="68"/>
  <c r="P60" i="68"/>
  <c r="AE59" i="68"/>
  <c r="AD59" i="68"/>
  <c r="P59" i="68"/>
  <c r="AE58" i="68"/>
  <c r="AD58" i="68"/>
  <c r="P58" i="68"/>
  <c r="AE57" i="68"/>
  <c r="AD57" i="68"/>
  <c r="P57" i="68"/>
  <c r="AE56" i="68"/>
  <c r="AD56" i="68"/>
  <c r="P56" i="68"/>
  <c r="AE55" i="68"/>
  <c r="AD55" i="68"/>
  <c r="P55" i="68"/>
  <c r="AE54" i="68"/>
  <c r="AD54" i="68"/>
  <c r="P54" i="68"/>
  <c r="AE53" i="68"/>
  <c r="AD53" i="68"/>
  <c r="P53" i="68"/>
  <c r="AE52" i="68"/>
  <c r="AD52" i="68"/>
  <c r="P52" i="68"/>
  <c r="AE51" i="68"/>
  <c r="AD51" i="68"/>
  <c r="P51" i="68"/>
  <c r="AE50" i="68"/>
  <c r="AD50" i="68"/>
  <c r="P50" i="68"/>
  <c r="AE49" i="68"/>
  <c r="AD49" i="68"/>
  <c r="P49" i="68"/>
  <c r="AE48" i="68"/>
  <c r="AD48" i="68"/>
  <c r="P48" i="68"/>
  <c r="AE47" i="68"/>
  <c r="AD47" i="68"/>
  <c r="P47" i="68"/>
  <c r="AE46" i="68"/>
  <c r="AD46" i="68"/>
  <c r="P46" i="68"/>
  <c r="AE45" i="68"/>
  <c r="AD45" i="68"/>
  <c r="P45" i="68"/>
  <c r="AE44" i="68"/>
  <c r="AD44" i="68"/>
  <c r="P44" i="68"/>
  <c r="AE43" i="68"/>
  <c r="AD43" i="68"/>
  <c r="P43" i="68"/>
  <c r="AE42" i="68"/>
  <c r="AD42" i="68"/>
  <c r="P42" i="68"/>
  <c r="AE41" i="68"/>
  <c r="AD41" i="68"/>
  <c r="P41" i="68"/>
  <c r="AE40" i="68"/>
  <c r="AD40" i="68"/>
  <c r="AE39" i="68"/>
  <c r="AD39" i="68"/>
  <c r="AE38" i="68"/>
  <c r="AD38" i="68"/>
  <c r="AE37" i="68"/>
  <c r="AD37" i="68"/>
  <c r="AE36" i="68"/>
  <c r="AD36" i="68"/>
  <c r="AE35" i="68"/>
  <c r="AD35" i="68"/>
  <c r="AE34" i="68"/>
  <c r="AD34" i="68"/>
  <c r="AE33" i="68"/>
  <c r="AD33" i="68"/>
  <c r="AE32" i="68"/>
  <c r="AD32" i="68"/>
  <c r="AE31" i="68"/>
  <c r="AD31" i="68"/>
  <c r="AE30" i="68"/>
  <c r="AD30" i="68"/>
  <c r="AE29" i="68"/>
  <c r="AD29" i="68"/>
  <c r="AE28" i="68"/>
  <c r="AD28" i="68"/>
  <c r="AE27" i="68"/>
  <c r="AD27" i="68"/>
  <c r="AE26" i="68"/>
  <c r="AD26" i="68"/>
  <c r="H26" i="68"/>
  <c r="G26" i="68"/>
  <c r="F26" i="68"/>
  <c r="AE25" i="68"/>
  <c r="AD25" i="68"/>
  <c r="H25" i="68"/>
  <c r="G25" i="68"/>
  <c r="F25" i="68"/>
  <c r="AE24" i="68"/>
  <c r="AD24" i="68"/>
  <c r="AE23" i="68"/>
  <c r="AD23" i="68"/>
  <c r="AE22" i="68"/>
  <c r="AD22" i="68"/>
  <c r="AE21" i="68"/>
  <c r="AD21" i="68"/>
  <c r="AE20" i="68"/>
  <c r="AD20" i="68"/>
  <c r="AE19" i="68"/>
  <c r="AD19" i="68"/>
  <c r="AE18" i="68"/>
  <c r="AD18" i="68"/>
  <c r="M18" i="68"/>
  <c r="K18" i="68"/>
  <c r="H18" i="68"/>
  <c r="C18" i="68"/>
  <c r="AE17" i="68"/>
  <c r="AD17" i="68"/>
  <c r="AE16" i="68"/>
  <c r="AD16" i="68"/>
  <c r="AE15" i="68"/>
  <c r="AD15" i="68"/>
  <c r="AE14" i="68"/>
  <c r="AD14" i="68"/>
  <c r="AE13" i="68"/>
  <c r="AD13" i="68"/>
  <c r="AE12" i="68"/>
  <c r="AD12" i="68"/>
  <c r="AE11" i="68"/>
  <c r="AD11" i="68"/>
  <c r="Q11" i="68"/>
  <c r="AE10" i="68"/>
  <c r="AD10" i="68"/>
  <c r="AE9" i="68"/>
  <c r="AD9" i="68"/>
  <c r="AE8" i="68"/>
  <c r="AD8" i="68"/>
  <c r="AE7" i="68"/>
  <c r="AD7" i="68"/>
  <c r="AE6" i="68"/>
  <c r="AD6" i="68"/>
  <c r="AE5" i="68"/>
  <c r="AD5" i="68"/>
  <c r="AE4" i="68"/>
  <c r="AD4" i="68"/>
  <c r="AE3" i="68"/>
  <c r="AD3" i="68"/>
  <c r="AE2" i="68"/>
  <c r="AD2" i="68"/>
  <c r="F2" i="68"/>
  <c r="F18" i="68" s="1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AE62" i="54"/>
  <c r="AD62" i="54"/>
  <c r="AE61" i="54"/>
  <c r="AD61" i="54"/>
  <c r="P61" i="54"/>
  <c r="AE60" i="54"/>
  <c r="AD60" i="54"/>
  <c r="P60" i="54"/>
  <c r="AE59" i="54"/>
  <c r="AD59" i="54"/>
  <c r="P59" i="54"/>
  <c r="AE58" i="54"/>
  <c r="AD58" i="54"/>
  <c r="P58" i="54"/>
  <c r="AE57" i="54"/>
  <c r="AD57" i="54"/>
  <c r="P57" i="54"/>
  <c r="AE56" i="54"/>
  <c r="AD56" i="54"/>
  <c r="P56" i="54"/>
  <c r="H56" i="54"/>
  <c r="G56" i="54"/>
  <c r="F56" i="54"/>
  <c r="AE55" i="54"/>
  <c r="AD55" i="54"/>
  <c r="P55" i="54"/>
  <c r="H55" i="54"/>
  <c r="G55" i="54"/>
  <c r="F55" i="54"/>
  <c r="AE54" i="54"/>
  <c r="AD54" i="54"/>
  <c r="P54" i="54"/>
  <c r="H54" i="54"/>
  <c r="G54" i="54"/>
  <c r="F54" i="54"/>
  <c r="AE53" i="54"/>
  <c r="AD53" i="54"/>
  <c r="P53" i="54"/>
  <c r="H53" i="54"/>
  <c r="G53" i="54"/>
  <c r="F53" i="54"/>
  <c r="AE52" i="54"/>
  <c r="AD52" i="54"/>
  <c r="P52" i="54"/>
  <c r="H52" i="54"/>
  <c r="G52" i="54"/>
  <c r="F52" i="54"/>
  <c r="AE51" i="54"/>
  <c r="AD51" i="54"/>
  <c r="P51" i="54"/>
  <c r="H51" i="54"/>
  <c r="G51" i="54"/>
  <c r="F51" i="54"/>
  <c r="AE50" i="54"/>
  <c r="AD50" i="54"/>
  <c r="P50" i="54"/>
  <c r="H50" i="54"/>
  <c r="G50" i="54"/>
  <c r="F50" i="54"/>
  <c r="AE49" i="54"/>
  <c r="AD49" i="54"/>
  <c r="P49" i="54"/>
  <c r="H49" i="54"/>
  <c r="G49" i="54"/>
  <c r="F49" i="54"/>
  <c r="AE48" i="54"/>
  <c r="AD48" i="54"/>
  <c r="P48" i="54"/>
  <c r="H48" i="54"/>
  <c r="G48" i="54"/>
  <c r="F48" i="54"/>
  <c r="AE47" i="54"/>
  <c r="AD47" i="54"/>
  <c r="P47" i="54"/>
  <c r="H47" i="54"/>
  <c r="G47" i="54"/>
  <c r="F47" i="54"/>
  <c r="AE46" i="54"/>
  <c r="AD46" i="54"/>
  <c r="P46" i="54"/>
  <c r="H46" i="54"/>
  <c r="G46" i="54"/>
  <c r="F46" i="54"/>
  <c r="AE45" i="54"/>
  <c r="AD45" i="54"/>
  <c r="P45" i="54"/>
  <c r="H45" i="54"/>
  <c r="G45" i="54"/>
  <c r="F45" i="54"/>
  <c r="AE44" i="54"/>
  <c r="AD44" i="54"/>
  <c r="P44" i="54"/>
  <c r="H44" i="54"/>
  <c r="G44" i="54"/>
  <c r="F44" i="54"/>
  <c r="AE43" i="54"/>
  <c r="AD43" i="54"/>
  <c r="P43" i="54"/>
  <c r="H43" i="54"/>
  <c r="G43" i="54"/>
  <c r="F43" i="54"/>
  <c r="AE42" i="54"/>
  <c r="AD42" i="54"/>
  <c r="P42" i="54"/>
  <c r="H42" i="54"/>
  <c r="G42" i="54"/>
  <c r="F42" i="54"/>
  <c r="AE41" i="54"/>
  <c r="AD41" i="54"/>
  <c r="P41" i="54"/>
  <c r="H41" i="54"/>
  <c r="G41" i="54"/>
  <c r="F41" i="54"/>
  <c r="AE40" i="54"/>
  <c r="AD40" i="54"/>
  <c r="H40" i="54"/>
  <c r="G40" i="54"/>
  <c r="F40" i="54"/>
  <c r="AE39" i="54"/>
  <c r="AD39" i="54"/>
  <c r="H39" i="54"/>
  <c r="G39" i="54"/>
  <c r="F39" i="54"/>
  <c r="AE38" i="54"/>
  <c r="AD38" i="54"/>
  <c r="H38" i="54"/>
  <c r="G38" i="54"/>
  <c r="F38" i="54"/>
  <c r="AE37" i="54"/>
  <c r="AD37" i="54"/>
  <c r="H37" i="54"/>
  <c r="G37" i="54"/>
  <c r="F37" i="54"/>
  <c r="AE36" i="54"/>
  <c r="AD36" i="54"/>
  <c r="H36" i="54"/>
  <c r="G36" i="54"/>
  <c r="F36" i="54"/>
  <c r="AE35" i="54"/>
  <c r="AD35" i="54"/>
  <c r="H35" i="54"/>
  <c r="G35" i="54"/>
  <c r="F35" i="54"/>
  <c r="AE34" i="54"/>
  <c r="AD34" i="54"/>
  <c r="H34" i="54"/>
  <c r="G34" i="54"/>
  <c r="F34" i="54"/>
  <c r="AE33" i="54"/>
  <c r="AD33" i="54"/>
  <c r="H33" i="54"/>
  <c r="G33" i="54"/>
  <c r="F33" i="54"/>
  <c r="AE32" i="54"/>
  <c r="AD32" i="54"/>
  <c r="H32" i="54"/>
  <c r="G32" i="54"/>
  <c r="F32" i="54"/>
  <c r="AE31" i="54"/>
  <c r="AD31" i="54"/>
  <c r="H31" i="54"/>
  <c r="G31" i="54"/>
  <c r="F31" i="54"/>
  <c r="AE30" i="54"/>
  <c r="AD30" i="54"/>
  <c r="H30" i="54"/>
  <c r="G30" i="54"/>
  <c r="F30" i="54"/>
  <c r="AE29" i="54"/>
  <c r="AD29" i="54"/>
  <c r="H29" i="54"/>
  <c r="G29" i="54"/>
  <c r="F29" i="54"/>
  <c r="AE28" i="54"/>
  <c r="AD28" i="54"/>
  <c r="H28" i="54"/>
  <c r="G28" i="54"/>
  <c r="F28" i="54"/>
  <c r="AE27" i="54"/>
  <c r="AD27" i="54"/>
  <c r="H27" i="54"/>
  <c r="G27" i="54"/>
  <c r="F27" i="54"/>
  <c r="AE26" i="54"/>
  <c r="AD26" i="54"/>
  <c r="H26" i="54"/>
  <c r="G26" i="54"/>
  <c r="F26" i="54"/>
  <c r="AE25" i="54"/>
  <c r="AD25" i="54"/>
  <c r="H25" i="54"/>
  <c r="G25" i="54"/>
  <c r="F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M18" i="54"/>
  <c r="H18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Q11" i="54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H92" i="51"/>
  <c r="G92" i="51"/>
  <c r="F92" i="51"/>
  <c r="H91" i="51"/>
  <c r="G91" i="51"/>
  <c r="F91" i="51"/>
  <c r="H90" i="51"/>
  <c r="G90" i="51"/>
  <c r="F90" i="51"/>
  <c r="H89" i="51"/>
  <c r="G89" i="51"/>
  <c r="F89" i="51"/>
  <c r="H88" i="51"/>
  <c r="G88" i="51"/>
  <c r="F88" i="51"/>
  <c r="H87" i="51"/>
  <c r="G87" i="51"/>
  <c r="F87" i="51"/>
  <c r="H86" i="51"/>
  <c r="G86" i="51"/>
  <c r="F86" i="51"/>
  <c r="H85" i="51"/>
  <c r="G85" i="51"/>
  <c r="F85" i="51"/>
  <c r="H84" i="51"/>
  <c r="G84" i="51"/>
  <c r="F84" i="51"/>
  <c r="H83" i="51"/>
  <c r="G83" i="51"/>
  <c r="F83" i="51"/>
  <c r="H82" i="51"/>
  <c r="G82" i="51"/>
  <c r="F82" i="51"/>
  <c r="AE69" i="51"/>
  <c r="AD69" i="51"/>
  <c r="H81" i="51"/>
  <c r="G81" i="51"/>
  <c r="F81" i="51"/>
  <c r="AE68" i="51"/>
  <c r="AD68" i="51"/>
  <c r="H80" i="51"/>
  <c r="G80" i="51"/>
  <c r="F80" i="51"/>
  <c r="AE67" i="51"/>
  <c r="AD67" i="51"/>
  <c r="H79" i="51"/>
  <c r="G79" i="51"/>
  <c r="F79" i="51"/>
  <c r="AE66" i="51"/>
  <c r="AD66" i="51"/>
  <c r="H78" i="51"/>
  <c r="G78" i="51"/>
  <c r="F78" i="51"/>
  <c r="AE65" i="51"/>
  <c r="AD65" i="51"/>
  <c r="H77" i="51"/>
  <c r="G77" i="51"/>
  <c r="F77" i="51"/>
  <c r="AE64" i="51"/>
  <c r="AD64" i="51"/>
  <c r="H76" i="51"/>
  <c r="G76" i="51"/>
  <c r="F76" i="51"/>
  <c r="AE63" i="51"/>
  <c r="AD63" i="51"/>
  <c r="H75" i="51"/>
  <c r="G75" i="51"/>
  <c r="F75" i="51"/>
  <c r="AE62" i="51"/>
  <c r="AD62" i="51"/>
  <c r="H74" i="51"/>
  <c r="G74" i="51"/>
  <c r="F74" i="51"/>
  <c r="AE61" i="51"/>
  <c r="AD61" i="51"/>
  <c r="P61" i="51"/>
  <c r="H73" i="51"/>
  <c r="G73" i="51"/>
  <c r="F73" i="51"/>
  <c r="AE60" i="51"/>
  <c r="AD60" i="51"/>
  <c r="P60" i="51"/>
  <c r="H72" i="51"/>
  <c r="G72" i="51"/>
  <c r="F72" i="51"/>
  <c r="AE59" i="51"/>
  <c r="AD59" i="51"/>
  <c r="P59" i="51"/>
  <c r="H71" i="51"/>
  <c r="G71" i="51"/>
  <c r="F71" i="51"/>
  <c r="AE58" i="51"/>
  <c r="AD58" i="51"/>
  <c r="P58" i="51"/>
  <c r="H70" i="51"/>
  <c r="G70" i="51"/>
  <c r="F70" i="51"/>
  <c r="AE57" i="51"/>
  <c r="AD57" i="51"/>
  <c r="P57" i="51"/>
  <c r="H69" i="51"/>
  <c r="G69" i="51"/>
  <c r="F69" i="51"/>
  <c r="AE56" i="51"/>
  <c r="AD56" i="51"/>
  <c r="P56" i="51"/>
  <c r="H68" i="51"/>
  <c r="G68" i="51"/>
  <c r="F68" i="51"/>
  <c r="AE55" i="51"/>
  <c r="AD55" i="51"/>
  <c r="P55" i="51"/>
  <c r="H67" i="51"/>
  <c r="G67" i="51"/>
  <c r="F67" i="51"/>
  <c r="AE54" i="51"/>
  <c r="AD54" i="51"/>
  <c r="P54" i="51"/>
  <c r="H66" i="51"/>
  <c r="G66" i="51"/>
  <c r="F66" i="51"/>
  <c r="AE53" i="51"/>
  <c r="AD53" i="51"/>
  <c r="P53" i="51"/>
  <c r="H65" i="51"/>
  <c r="G65" i="51"/>
  <c r="F65" i="51"/>
  <c r="AE52" i="51"/>
  <c r="AD52" i="51"/>
  <c r="P52" i="51"/>
  <c r="H64" i="51"/>
  <c r="G64" i="51"/>
  <c r="F64" i="51"/>
  <c r="AE51" i="51"/>
  <c r="AD51" i="51"/>
  <c r="P51" i="51"/>
  <c r="H63" i="51"/>
  <c r="G63" i="51"/>
  <c r="F63" i="51"/>
  <c r="AE50" i="51"/>
  <c r="AD50" i="51"/>
  <c r="P50" i="51"/>
  <c r="H62" i="51"/>
  <c r="G62" i="51"/>
  <c r="F62" i="51"/>
  <c r="AE49" i="51"/>
  <c r="AD49" i="51"/>
  <c r="P49" i="51"/>
  <c r="H61" i="51"/>
  <c r="G61" i="51"/>
  <c r="F61" i="51"/>
  <c r="AE48" i="51"/>
  <c r="AD48" i="51"/>
  <c r="P48" i="51"/>
  <c r="H60" i="51"/>
  <c r="G60" i="51"/>
  <c r="F60" i="51"/>
  <c r="AE47" i="51"/>
  <c r="AD47" i="51"/>
  <c r="P47" i="51"/>
  <c r="H59" i="51"/>
  <c r="G59" i="51"/>
  <c r="F59" i="51"/>
  <c r="AE46" i="51"/>
  <c r="AD46" i="51"/>
  <c r="P46" i="51"/>
  <c r="H58" i="51"/>
  <c r="G58" i="51"/>
  <c r="F58" i="51"/>
  <c r="AE45" i="51"/>
  <c r="AD45" i="51"/>
  <c r="P45" i="51"/>
  <c r="H57" i="51"/>
  <c r="G57" i="51"/>
  <c r="F57" i="51"/>
  <c r="AE44" i="51"/>
  <c r="AD44" i="51"/>
  <c r="P44" i="51"/>
  <c r="H56" i="51"/>
  <c r="G56" i="51"/>
  <c r="F56" i="51"/>
  <c r="AE43" i="51"/>
  <c r="AD43" i="51"/>
  <c r="P43" i="51"/>
  <c r="H55" i="51"/>
  <c r="G55" i="51"/>
  <c r="F55" i="51"/>
  <c r="AE42" i="51"/>
  <c r="AD42" i="51"/>
  <c r="P42" i="51"/>
  <c r="H54" i="51"/>
  <c r="G54" i="51"/>
  <c r="F54" i="51"/>
  <c r="AE41" i="51"/>
  <c r="AD41" i="51"/>
  <c r="P41" i="51"/>
  <c r="H53" i="51"/>
  <c r="G53" i="51"/>
  <c r="F53" i="51"/>
  <c r="AE40" i="51"/>
  <c r="AD40" i="51"/>
  <c r="H52" i="51"/>
  <c r="G52" i="51"/>
  <c r="F52" i="51"/>
  <c r="AE39" i="51"/>
  <c r="AD39" i="51"/>
  <c r="H51" i="51"/>
  <c r="G51" i="51"/>
  <c r="F51" i="51"/>
  <c r="AE38" i="51"/>
  <c r="AD38" i="51"/>
  <c r="H50" i="51"/>
  <c r="G50" i="51"/>
  <c r="F50" i="51"/>
  <c r="AE37" i="51"/>
  <c r="AD37" i="51"/>
  <c r="H49" i="51"/>
  <c r="G49" i="51"/>
  <c r="F49" i="51"/>
  <c r="AE36" i="51"/>
  <c r="AD36" i="51"/>
  <c r="H48" i="51"/>
  <c r="G48" i="51"/>
  <c r="F48" i="51"/>
  <c r="AE35" i="51"/>
  <c r="AD35" i="51"/>
  <c r="H47" i="51"/>
  <c r="G47" i="51"/>
  <c r="F47" i="51"/>
  <c r="AE34" i="51"/>
  <c r="AD34" i="51"/>
  <c r="AE33" i="51"/>
  <c r="AD33" i="51"/>
  <c r="AE32" i="51"/>
  <c r="AD32" i="51"/>
  <c r="AE31" i="51"/>
  <c r="AD31" i="51"/>
  <c r="AE30" i="51"/>
  <c r="AD30" i="51"/>
  <c r="AE29" i="51"/>
  <c r="AD29" i="51"/>
  <c r="AE28" i="51"/>
  <c r="AD28" i="51"/>
  <c r="M28" i="51"/>
  <c r="H28" i="51"/>
  <c r="AE27" i="51"/>
  <c r="AD27" i="51"/>
  <c r="AE26" i="51"/>
  <c r="AD26" i="51"/>
  <c r="AE25" i="51"/>
  <c r="AD25" i="51"/>
  <c r="AE24" i="51"/>
  <c r="AD24" i="51"/>
  <c r="AE23" i="51"/>
  <c r="AD23" i="51"/>
  <c r="AE22" i="51"/>
  <c r="AD22" i="51"/>
  <c r="AE21" i="51"/>
  <c r="AD21" i="51"/>
  <c r="AE20" i="51"/>
  <c r="AD20" i="51"/>
  <c r="AE19" i="51"/>
  <c r="AD19" i="51"/>
  <c r="AE18" i="51"/>
  <c r="AD18" i="51"/>
  <c r="AE17" i="51"/>
  <c r="AD17" i="51"/>
  <c r="AE16" i="51"/>
  <c r="AD16" i="51"/>
  <c r="AE15" i="51"/>
  <c r="AD15" i="51"/>
  <c r="AE14" i="51"/>
  <c r="AD14" i="51"/>
  <c r="AE13" i="51"/>
  <c r="AD13" i="51"/>
  <c r="AE12" i="51"/>
  <c r="AD12" i="51"/>
  <c r="AE11" i="51"/>
  <c r="AD11" i="51"/>
  <c r="Q11" i="51"/>
  <c r="AE10" i="51"/>
  <c r="AD10" i="51"/>
  <c r="AE9" i="51"/>
  <c r="AD9" i="51"/>
  <c r="AE8" i="51"/>
  <c r="AD8" i="51"/>
  <c r="AE7" i="51"/>
  <c r="AD7" i="51"/>
  <c r="AE6" i="51"/>
  <c r="AD6" i="51"/>
  <c r="AE5" i="51"/>
  <c r="AD5" i="51"/>
  <c r="AE4" i="51"/>
  <c r="AD4" i="51"/>
  <c r="AE3" i="51"/>
  <c r="AD3" i="51"/>
  <c r="AE2" i="51"/>
  <c r="AD2" i="51"/>
  <c r="H438" i="25"/>
  <c r="G438" i="25"/>
  <c r="F438" i="25"/>
  <c r="H437" i="25"/>
  <c r="G437" i="25"/>
  <c r="F437" i="25"/>
  <c r="H436" i="25"/>
  <c r="G436" i="25"/>
  <c r="F436" i="25"/>
  <c r="H435" i="25"/>
  <c r="G435" i="25"/>
  <c r="F435" i="25"/>
  <c r="H434" i="25"/>
  <c r="G434" i="25"/>
  <c r="F434" i="25"/>
  <c r="H433" i="25"/>
  <c r="G433" i="25"/>
  <c r="F433" i="25"/>
  <c r="H432" i="25"/>
  <c r="G432" i="25"/>
  <c r="F432" i="25"/>
  <c r="H431" i="25"/>
  <c r="G431" i="25"/>
  <c r="F431" i="25"/>
  <c r="H430" i="25"/>
  <c r="G430" i="25"/>
  <c r="F430" i="25"/>
  <c r="H429" i="25"/>
  <c r="G429" i="25"/>
  <c r="F429" i="25"/>
  <c r="H428" i="25"/>
  <c r="G428" i="25"/>
  <c r="F428" i="25"/>
  <c r="H427" i="25"/>
  <c r="G427" i="25"/>
  <c r="F427" i="25"/>
  <c r="H426" i="25"/>
  <c r="G426" i="25"/>
  <c r="F426" i="25"/>
  <c r="H425" i="25"/>
  <c r="G425" i="25"/>
  <c r="F425" i="25"/>
  <c r="H424" i="25"/>
  <c r="G424" i="25"/>
  <c r="F424" i="25"/>
  <c r="H423" i="25"/>
  <c r="G423" i="25"/>
  <c r="F423" i="25"/>
  <c r="H422" i="25"/>
  <c r="G422" i="25"/>
  <c r="F422" i="25"/>
  <c r="H421" i="25"/>
  <c r="G421" i="25"/>
  <c r="F421" i="25"/>
  <c r="H420" i="25"/>
  <c r="G420" i="25"/>
  <c r="F420" i="25"/>
  <c r="H419" i="25"/>
  <c r="G419" i="25"/>
  <c r="F419" i="25"/>
  <c r="H418" i="25"/>
  <c r="G418" i="25"/>
  <c r="F418" i="25"/>
  <c r="H417" i="25"/>
  <c r="G417" i="25"/>
  <c r="F417" i="25"/>
  <c r="H416" i="25"/>
  <c r="G416" i="25"/>
  <c r="F416" i="25"/>
  <c r="H415" i="25"/>
  <c r="G415" i="25"/>
  <c r="F415" i="25"/>
  <c r="H414" i="25"/>
  <c r="G414" i="25"/>
  <c r="F414" i="25"/>
  <c r="H413" i="25"/>
  <c r="G413" i="25"/>
  <c r="F413" i="25"/>
  <c r="H412" i="25"/>
  <c r="G412" i="25"/>
  <c r="F412" i="25"/>
  <c r="H411" i="25"/>
  <c r="G411" i="25"/>
  <c r="F411" i="25"/>
  <c r="H410" i="25"/>
  <c r="G410" i="25"/>
  <c r="F410" i="25"/>
  <c r="H409" i="25"/>
  <c r="G409" i="25"/>
  <c r="F409" i="25"/>
  <c r="H408" i="25"/>
  <c r="G408" i="25"/>
  <c r="F408" i="25"/>
  <c r="H407" i="25"/>
  <c r="G407" i="25"/>
  <c r="F407" i="25"/>
  <c r="H406" i="25"/>
  <c r="G406" i="25"/>
  <c r="F406" i="25"/>
  <c r="H405" i="25"/>
  <c r="G405" i="25"/>
  <c r="F405" i="25"/>
  <c r="H404" i="25"/>
  <c r="G404" i="25"/>
  <c r="F404" i="25"/>
  <c r="H403" i="25"/>
  <c r="G403" i="25"/>
  <c r="F403" i="25"/>
  <c r="H402" i="25"/>
  <c r="G402" i="25"/>
  <c r="F402" i="25"/>
  <c r="H401" i="25"/>
  <c r="G401" i="25"/>
  <c r="F401" i="25"/>
  <c r="H400" i="25"/>
  <c r="G400" i="25"/>
  <c r="F400" i="25"/>
  <c r="H399" i="25"/>
  <c r="G399" i="25"/>
  <c r="F399" i="25"/>
  <c r="H398" i="25"/>
  <c r="G398" i="25"/>
  <c r="F398" i="25"/>
  <c r="H397" i="25"/>
  <c r="G397" i="25"/>
  <c r="F397" i="25"/>
  <c r="H396" i="25"/>
  <c r="G396" i="25"/>
  <c r="F396" i="25"/>
  <c r="H395" i="25"/>
  <c r="G395" i="25"/>
  <c r="F395" i="25"/>
  <c r="H394" i="25"/>
  <c r="G394" i="25"/>
  <c r="F394" i="25"/>
  <c r="H393" i="25"/>
  <c r="G393" i="25"/>
  <c r="F393" i="25"/>
  <c r="H392" i="25"/>
  <c r="G392" i="25"/>
  <c r="F392" i="25"/>
  <c r="H391" i="25"/>
  <c r="G391" i="25"/>
  <c r="F391" i="25"/>
  <c r="H390" i="25"/>
  <c r="G390" i="25"/>
  <c r="F390" i="25"/>
  <c r="H389" i="25"/>
  <c r="G389" i="25"/>
  <c r="F389" i="25"/>
  <c r="H388" i="25"/>
  <c r="G388" i="25"/>
  <c r="F388" i="25"/>
  <c r="H387" i="25"/>
  <c r="G387" i="25"/>
  <c r="F387" i="25"/>
  <c r="H386" i="25"/>
  <c r="G386" i="25"/>
  <c r="F386" i="25"/>
  <c r="H385" i="25"/>
  <c r="G385" i="25"/>
  <c r="F385" i="25"/>
  <c r="H384" i="25"/>
  <c r="G384" i="25"/>
  <c r="F384" i="25"/>
  <c r="H383" i="25"/>
  <c r="G383" i="25"/>
  <c r="F383" i="25"/>
  <c r="H382" i="25"/>
  <c r="G382" i="25"/>
  <c r="F382" i="25"/>
  <c r="H381" i="25"/>
  <c r="G381" i="25"/>
  <c r="F381" i="25"/>
  <c r="H380" i="25"/>
  <c r="G380" i="25"/>
  <c r="F380" i="25"/>
  <c r="H379" i="25"/>
  <c r="G379" i="25"/>
  <c r="F379" i="25"/>
  <c r="H378" i="25"/>
  <c r="G378" i="25"/>
  <c r="F378" i="25"/>
  <c r="H377" i="25"/>
  <c r="G377" i="25"/>
  <c r="F377" i="25"/>
  <c r="H376" i="25"/>
  <c r="G376" i="25"/>
  <c r="F376" i="25"/>
  <c r="H375" i="25"/>
  <c r="G375" i="25"/>
  <c r="F375" i="25"/>
  <c r="H374" i="25"/>
  <c r="G374" i="25"/>
  <c r="F374" i="25"/>
  <c r="H373" i="25"/>
  <c r="G373" i="25"/>
  <c r="F373" i="25"/>
  <c r="H372" i="25"/>
  <c r="G372" i="25"/>
  <c r="F372" i="25"/>
  <c r="H371" i="25"/>
  <c r="G371" i="25"/>
  <c r="F371" i="25"/>
  <c r="H370" i="25"/>
  <c r="G370" i="25"/>
  <c r="F370" i="25"/>
  <c r="H369" i="25"/>
  <c r="G369" i="25"/>
  <c r="F369" i="25"/>
  <c r="H368" i="25"/>
  <c r="G368" i="25"/>
  <c r="F368" i="25"/>
  <c r="H367" i="25"/>
  <c r="G367" i="25"/>
  <c r="F367" i="25"/>
  <c r="H366" i="25"/>
  <c r="G366" i="25"/>
  <c r="F366" i="25"/>
  <c r="H365" i="25"/>
  <c r="G365" i="25"/>
  <c r="F365" i="25"/>
  <c r="H364" i="25"/>
  <c r="G364" i="25"/>
  <c r="F364" i="25"/>
  <c r="H363" i="25"/>
  <c r="G363" i="25"/>
  <c r="F363" i="25"/>
  <c r="H362" i="25"/>
  <c r="G362" i="25"/>
  <c r="F362" i="25"/>
  <c r="H361" i="25"/>
  <c r="G361" i="25"/>
  <c r="F361" i="25"/>
  <c r="H360" i="25"/>
  <c r="G360" i="25"/>
  <c r="F360" i="25"/>
  <c r="H359" i="25"/>
  <c r="G359" i="25"/>
  <c r="F359" i="25"/>
  <c r="H358" i="25"/>
  <c r="G358" i="25"/>
  <c r="F358" i="25"/>
  <c r="H357" i="25"/>
  <c r="G357" i="25"/>
  <c r="F357" i="25"/>
  <c r="H356" i="25"/>
  <c r="G356" i="25"/>
  <c r="F356" i="25"/>
  <c r="H355" i="25"/>
  <c r="G355" i="25"/>
  <c r="F355" i="25"/>
  <c r="H354" i="25"/>
  <c r="G354" i="25"/>
  <c r="F354" i="25"/>
  <c r="H353" i="25"/>
  <c r="G353" i="25"/>
  <c r="F353" i="25"/>
  <c r="H352" i="25"/>
  <c r="G352" i="25"/>
  <c r="F352" i="25"/>
  <c r="H351" i="25"/>
  <c r="G351" i="25"/>
  <c r="F351" i="25"/>
  <c r="H350" i="25"/>
  <c r="G350" i="25"/>
  <c r="F350" i="25"/>
  <c r="H349" i="25"/>
  <c r="G349" i="25"/>
  <c r="F349" i="25"/>
  <c r="H348" i="25"/>
  <c r="G348" i="25"/>
  <c r="F348" i="25"/>
  <c r="H347" i="25"/>
  <c r="G347" i="25"/>
  <c r="F347" i="25"/>
  <c r="H346" i="25"/>
  <c r="G346" i="25"/>
  <c r="F346" i="25"/>
  <c r="H345" i="25"/>
  <c r="G345" i="25"/>
  <c r="F345" i="25"/>
  <c r="H344" i="25"/>
  <c r="G344" i="25"/>
  <c r="F344" i="25"/>
  <c r="H343" i="25"/>
  <c r="G343" i="25"/>
  <c r="F343" i="25"/>
  <c r="H342" i="25"/>
  <c r="G342" i="25"/>
  <c r="F342" i="25"/>
  <c r="H341" i="25"/>
  <c r="G341" i="25"/>
  <c r="F341" i="25"/>
  <c r="H340" i="25"/>
  <c r="G340" i="25"/>
  <c r="F340" i="25"/>
  <c r="H339" i="25"/>
  <c r="G339" i="25"/>
  <c r="F339" i="25"/>
  <c r="H338" i="25"/>
  <c r="G338" i="25"/>
  <c r="F338" i="25"/>
  <c r="H337" i="25"/>
  <c r="G337" i="25"/>
  <c r="F337" i="25"/>
  <c r="H336" i="25"/>
  <c r="G336" i="25"/>
  <c r="F336" i="25"/>
  <c r="H335" i="25"/>
  <c r="G335" i="25"/>
  <c r="F335" i="25"/>
  <c r="H334" i="25"/>
  <c r="G334" i="25"/>
  <c r="F334" i="25"/>
  <c r="H333" i="25"/>
  <c r="G333" i="25"/>
  <c r="F333" i="25"/>
  <c r="H332" i="25"/>
  <c r="G332" i="25"/>
  <c r="F332" i="25"/>
  <c r="H331" i="25"/>
  <c r="G331" i="25"/>
  <c r="F331" i="25"/>
  <c r="H330" i="25"/>
  <c r="G330" i="25"/>
  <c r="F330" i="25"/>
  <c r="H329" i="25"/>
  <c r="G329" i="25"/>
  <c r="F329" i="25"/>
  <c r="H328" i="25"/>
  <c r="G328" i="25"/>
  <c r="F328" i="25"/>
  <c r="H327" i="25"/>
  <c r="G327" i="25"/>
  <c r="F327" i="25"/>
  <c r="H326" i="25"/>
  <c r="G326" i="25"/>
  <c r="F326" i="25"/>
  <c r="H325" i="25"/>
  <c r="G325" i="25"/>
  <c r="F325" i="25"/>
  <c r="H324" i="25"/>
  <c r="G324" i="25"/>
  <c r="F324" i="25"/>
  <c r="H323" i="25"/>
  <c r="G323" i="25"/>
  <c r="F323" i="25"/>
  <c r="H322" i="25"/>
  <c r="G322" i="25"/>
  <c r="F322" i="25"/>
  <c r="H321" i="25"/>
  <c r="G321" i="25"/>
  <c r="F321" i="25"/>
  <c r="H320" i="25"/>
  <c r="G320" i="25"/>
  <c r="F320" i="25"/>
  <c r="H319" i="25"/>
  <c r="G319" i="25"/>
  <c r="F319" i="25"/>
  <c r="H318" i="25"/>
  <c r="G318" i="25"/>
  <c r="F318" i="25"/>
  <c r="H317" i="25"/>
  <c r="G317" i="25"/>
  <c r="F317" i="25"/>
  <c r="H316" i="25"/>
  <c r="G316" i="25"/>
  <c r="F316" i="25"/>
  <c r="H315" i="25"/>
  <c r="G315" i="25"/>
  <c r="F315" i="25"/>
  <c r="H314" i="25"/>
  <c r="G314" i="25"/>
  <c r="F314" i="25"/>
  <c r="H313" i="25"/>
  <c r="G313" i="25"/>
  <c r="F313" i="25"/>
  <c r="H312" i="25"/>
  <c r="G312" i="25"/>
  <c r="F312" i="25"/>
  <c r="H311" i="25"/>
  <c r="G311" i="25"/>
  <c r="F311" i="25"/>
  <c r="H310" i="25"/>
  <c r="G310" i="25"/>
  <c r="F310" i="25"/>
  <c r="H309" i="25"/>
  <c r="G309" i="25"/>
  <c r="F309" i="25"/>
  <c r="H308" i="25"/>
  <c r="G308" i="25"/>
  <c r="F308" i="25"/>
  <c r="H307" i="25"/>
  <c r="G307" i="25"/>
  <c r="F307" i="25"/>
  <c r="H306" i="25"/>
  <c r="G306" i="25"/>
  <c r="F306" i="25"/>
  <c r="H305" i="25"/>
  <c r="G305" i="25"/>
  <c r="F305" i="25"/>
  <c r="H304" i="25"/>
  <c r="G304" i="25"/>
  <c r="F304" i="25"/>
  <c r="H303" i="25"/>
  <c r="G303" i="25"/>
  <c r="F303" i="25"/>
  <c r="H302" i="25"/>
  <c r="G302" i="25"/>
  <c r="F302" i="25"/>
  <c r="H301" i="25"/>
  <c r="G301" i="25"/>
  <c r="F301" i="25"/>
  <c r="H300" i="25"/>
  <c r="G300" i="25"/>
  <c r="F300" i="25"/>
  <c r="H299" i="25"/>
  <c r="G299" i="25"/>
  <c r="F299" i="25"/>
  <c r="H298" i="25"/>
  <c r="G298" i="25"/>
  <c r="F298" i="25"/>
  <c r="H297" i="25"/>
  <c r="G297" i="25"/>
  <c r="F297" i="25"/>
  <c r="H296" i="25"/>
  <c r="G296" i="25"/>
  <c r="F296" i="25"/>
  <c r="H295" i="25"/>
  <c r="G295" i="25"/>
  <c r="F295" i="25"/>
  <c r="H294" i="25"/>
  <c r="G294" i="25"/>
  <c r="F294" i="25"/>
  <c r="H293" i="25"/>
  <c r="G293" i="25"/>
  <c r="F293" i="25"/>
  <c r="H292" i="25"/>
  <c r="G292" i="25"/>
  <c r="F292" i="25"/>
  <c r="H291" i="25"/>
  <c r="G291" i="25"/>
  <c r="F291" i="25"/>
  <c r="H290" i="25"/>
  <c r="G290" i="25"/>
  <c r="F290" i="25"/>
  <c r="H289" i="25"/>
  <c r="G289" i="25"/>
  <c r="F289" i="25"/>
  <c r="H288" i="25"/>
  <c r="G288" i="25"/>
  <c r="F288" i="25"/>
  <c r="H287" i="25"/>
  <c r="G287" i="25"/>
  <c r="F287" i="25"/>
  <c r="H286" i="25"/>
  <c r="G286" i="25"/>
  <c r="F286" i="25"/>
  <c r="H285" i="25"/>
  <c r="G285" i="25"/>
  <c r="F285" i="25"/>
  <c r="H284" i="25"/>
  <c r="G284" i="25"/>
  <c r="F284" i="25"/>
  <c r="H283" i="25"/>
  <c r="G283" i="25"/>
  <c r="F283" i="25"/>
  <c r="H282" i="25"/>
  <c r="G282" i="25"/>
  <c r="F282" i="25"/>
  <c r="H281" i="25"/>
  <c r="G281" i="25"/>
  <c r="F281" i="25"/>
  <c r="H280" i="25"/>
  <c r="G280" i="25"/>
  <c r="F280" i="25"/>
  <c r="H279" i="25"/>
  <c r="G279" i="25"/>
  <c r="F279" i="25"/>
  <c r="H278" i="25"/>
  <c r="G278" i="25"/>
  <c r="F278" i="25"/>
  <c r="H277" i="25"/>
  <c r="G277" i="25"/>
  <c r="F277" i="25"/>
  <c r="H276" i="25"/>
  <c r="G276" i="25"/>
  <c r="F276" i="25"/>
  <c r="H275" i="25"/>
  <c r="G275" i="25"/>
  <c r="F275" i="25"/>
  <c r="H274" i="25"/>
  <c r="G274" i="25"/>
  <c r="F274" i="25"/>
  <c r="H273" i="25"/>
  <c r="G273" i="25"/>
  <c r="F273" i="25"/>
  <c r="H272" i="25"/>
  <c r="G272" i="25"/>
  <c r="F272" i="25"/>
  <c r="H271" i="25"/>
  <c r="G271" i="25"/>
  <c r="F271" i="25"/>
  <c r="H270" i="25"/>
  <c r="G270" i="25"/>
  <c r="F270" i="25"/>
  <c r="H269" i="25"/>
  <c r="G269" i="25"/>
  <c r="F269" i="25"/>
  <c r="H268" i="25"/>
  <c r="G268" i="25"/>
  <c r="F268" i="25"/>
  <c r="H267" i="25"/>
  <c r="G267" i="25"/>
  <c r="F267" i="25"/>
  <c r="H266" i="25"/>
  <c r="G266" i="25"/>
  <c r="H265" i="25"/>
  <c r="G265" i="25"/>
  <c r="H264" i="25"/>
  <c r="G264" i="25"/>
  <c r="H263" i="25"/>
  <c r="G263" i="25"/>
  <c r="H262" i="25"/>
  <c r="G262" i="25"/>
  <c r="H261" i="25"/>
  <c r="G261" i="25"/>
  <c r="H260" i="25"/>
  <c r="G260" i="25"/>
  <c r="M256" i="25"/>
  <c r="C256" i="25"/>
  <c r="F190" i="25"/>
  <c r="F189" i="25"/>
  <c r="F188" i="25"/>
  <c r="F187" i="25"/>
  <c r="F186" i="25"/>
  <c r="F185" i="25"/>
  <c r="K180" i="25"/>
  <c r="F184" i="25"/>
  <c r="K179" i="25"/>
  <c r="F183" i="25"/>
  <c r="K178" i="25"/>
  <c r="F182" i="25"/>
  <c r="K177" i="25"/>
  <c r="F181" i="25"/>
  <c r="K176" i="25"/>
  <c r="F180" i="25"/>
  <c r="K175" i="25"/>
  <c r="F179" i="25"/>
  <c r="K174" i="25"/>
  <c r="F178" i="25"/>
  <c r="K173" i="25"/>
  <c r="F177" i="25"/>
  <c r="K172" i="25"/>
  <c r="F176" i="25"/>
  <c r="K171" i="25"/>
  <c r="F175" i="25"/>
  <c r="K170" i="25"/>
  <c r="F174" i="25"/>
  <c r="K169" i="25"/>
  <c r="F173" i="25"/>
  <c r="K168" i="25"/>
  <c r="F172" i="25"/>
  <c r="K167" i="25"/>
  <c r="F169" i="25"/>
  <c r="K166" i="25"/>
  <c r="F167" i="25"/>
  <c r="K165" i="25"/>
  <c r="F166" i="25"/>
  <c r="K164" i="25"/>
  <c r="F164" i="25"/>
  <c r="K163" i="25"/>
  <c r="F163" i="25"/>
  <c r="K162" i="25"/>
  <c r="F162" i="25"/>
  <c r="K161" i="25"/>
  <c r="F161" i="25"/>
  <c r="K160" i="25"/>
  <c r="F160" i="25"/>
  <c r="K159" i="25"/>
  <c r="F159" i="25"/>
  <c r="K158" i="25"/>
  <c r="F158" i="25"/>
  <c r="K157" i="25"/>
  <c r="F157" i="25"/>
  <c r="K156" i="25"/>
  <c r="F156" i="25"/>
  <c r="K155" i="25"/>
  <c r="F155" i="25"/>
  <c r="K154" i="25"/>
  <c r="F154" i="25"/>
  <c r="K153" i="25"/>
  <c r="F153" i="25"/>
  <c r="K152" i="25"/>
  <c r="F152" i="25"/>
  <c r="K151" i="25"/>
  <c r="F151" i="25"/>
  <c r="K150" i="25"/>
  <c r="F150" i="25"/>
  <c r="K149" i="25"/>
  <c r="F149" i="25"/>
  <c r="K148" i="25"/>
  <c r="F148" i="25"/>
  <c r="K147" i="25"/>
  <c r="F147" i="25"/>
  <c r="K146" i="25"/>
  <c r="F146" i="25"/>
  <c r="F145" i="25"/>
  <c r="F144" i="25"/>
  <c r="F143" i="25"/>
  <c r="K142" i="25"/>
  <c r="F142" i="25"/>
  <c r="F141" i="25"/>
  <c r="F140" i="25"/>
  <c r="F139" i="25"/>
  <c r="F138" i="25"/>
  <c r="F137" i="25"/>
  <c r="F136" i="25"/>
  <c r="F135" i="25"/>
  <c r="F134" i="25"/>
  <c r="F133" i="25"/>
  <c r="F132" i="25"/>
  <c r="F131" i="25"/>
  <c r="F130" i="25"/>
  <c r="F129" i="25"/>
  <c r="F128" i="25"/>
  <c r="F127" i="25"/>
  <c r="F126" i="25"/>
  <c r="F125" i="25"/>
  <c r="F124" i="25"/>
  <c r="F123" i="25"/>
  <c r="F122" i="25"/>
  <c r="F121" i="25"/>
  <c r="F120" i="25"/>
  <c r="F119" i="25"/>
  <c r="F118" i="25"/>
  <c r="F117" i="25"/>
  <c r="F116" i="25"/>
  <c r="F115" i="25"/>
  <c r="F114" i="25"/>
  <c r="F113" i="25"/>
  <c r="F112" i="25"/>
  <c r="F111" i="25"/>
  <c r="F110" i="25"/>
  <c r="F109" i="25"/>
  <c r="F108" i="25"/>
  <c r="K107" i="25"/>
  <c r="F107" i="25"/>
  <c r="K106" i="25"/>
  <c r="F106" i="25"/>
  <c r="K105" i="25"/>
  <c r="F105" i="25"/>
  <c r="K104" i="25"/>
  <c r="F104" i="25"/>
  <c r="K103" i="25"/>
  <c r="F103" i="25"/>
  <c r="K102" i="25"/>
  <c r="F102" i="25"/>
  <c r="K101" i="25"/>
  <c r="F101" i="25"/>
  <c r="K100" i="25"/>
  <c r="F100" i="25"/>
  <c r="K99" i="25"/>
  <c r="F99" i="25"/>
  <c r="K98" i="25"/>
  <c r="F98" i="25"/>
  <c r="K97" i="25"/>
  <c r="F97" i="25"/>
  <c r="K96" i="25"/>
  <c r="F96" i="25"/>
  <c r="K95" i="25"/>
  <c r="F95" i="25"/>
  <c r="K94" i="25"/>
  <c r="F94" i="25"/>
  <c r="K93" i="25"/>
  <c r="F93" i="25"/>
  <c r="K92" i="25"/>
  <c r="F92" i="25"/>
  <c r="K91" i="25"/>
  <c r="F91" i="25"/>
  <c r="K90" i="25"/>
  <c r="F90" i="25"/>
  <c r="K89" i="25"/>
  <c r="F89" i="25"/>
  <c r="K88" i="25"/>
  <c r="F88" i="25"/>
  <c r="K87" i="25"/>
  <c r="F87" i="25"/>
  <c r="K86" i="25"/>
  <c r="F86" i="25"/>
  <c r="K85" i="25"/>
  <c r="F85" i="25"/>
  <c r="K84" i="25"/>
  <c r="F84" i="25"/>
  <c r="K83" i="25"/>
  <c r="F83" i="25"/>
  <c r="K82" i="25"/>
  <c r="F82" i="25"/>
  <c r="K81" i="25"/>
  <c r="F81" i="25"/>
  <c r="K80" i="25"/>
  <c r="F80" i="25"/>
  <c r="P79" i="25"/>
  <c r="K79" i="25"/>
  <c r="F79" i="25"/>
  <c r="P78" i="25"/>
  <c r="K78" i="25"/>
  <c r="F78" i="25"/>
  <c r="P77" i="25"/>
  <c r="K77" i="25"/>
  <c r="F77" i="25"/>
  <c r="P76" i="25"/>
  <c r="K76" i="25"/>
  <c r="F76" i="25"/>
  <c r="P75" i="25"/>
  <c r="K75" i="25"/>
  <c r="F75" i="25"/>
  <c r="P74" i="25"/>
  <c r="K74" i="25"/>
  <c r="F74" i="25"/>
  <c r="P73" i="25"/>
  <c r="K73" i="25"/>
  <c r="F73" i="25"/>
  <c r="P72" i="25"/>
  <c r="K72" i="25"/>
  <c r="F72" i="25"/>
  <c r="P71" i="25"/>
  <c r="K71" i="25"/>
  <c r="F71" i="25"/>
  <c r="P70" i="25"/>
  <c r="K70" i="25"/>
  <c r="F70" i="25"/>
  <c r="AE69" i="25"/>
  <c r="P69" i="25"/>
  <c r="K69" i="25"/>
  <c r="F69" i="25"/>
  <c r="AE68" i="25"/>
  <c r="P68" i="25"/>
  <c r="K68" i="25"/>
  <c r="F68" i="25"/>
  <c r="AE67" i="25"/>
  <c r="P67" i="25"/>
  <c r="K67" i="25"/>
  <c r="F67" i="25"/>
  <c r="AE66" i="25"/>
  <c r="P66" i="25"/>
  <c r="K66" i="25"/>
  <c r="F66" i="25"/>
  <c r="AE65" i="25"/>
  <c r="P65" i="25"/>
  <c r="K65" i="25"/>
  <c r="F65" i="25"/>
  <c r="AE64" i="25"/>
  <c r="P64" i="25"/>
  <c r="K64" i="25"/>
  <c r="F64" i="25"/>
  <c r="AE63" i="25"/>
  <c r="P63" i="25"/>
  <c r="K63" i="25"/>
  <c r="F63" i="25"/>
  <c r="AE62" i="25"/>
  <c r="P62" i="25"/>
  <c r="K62" i="25"/>
  <c r="F62" i="25"/>
  <c r="AE61" i="25"/>
  <c r="P61" i="25"/>
  <c r="K61" i="25"/>
  <c r="F61" i="25"/>
  <c r="AE60" i="25"/>
  <c r="P60" i="25"/>
  <c r="K60" i="25"/>
  <c r="F60" i="25"/>
  <c r="AE59" i="25"/>
  <c r="P59" i="25"/>
  <c r="K59" i="25"/>
  <c r="F59" i="25"/>
  <c r="AE58" i="25"/>
  <c r="P58" i="25"/>
  <c r="K58" i="25"/>
  <c r="F58" i="25"/>
  <c r="AE57" i="25"/>
  <c r="P57" i="25"/>
  <c r="K57" i="25"/>
  <c r="F57" i="25"/>
  <c r="AE56" i="25"/>
  <c r="P56" i="25"/>
  <c r="K56" i="25"/>
  <c r="F56" i="25"/>
  <c r="AE55" i="25"/>
  <c r="P55" i="25"/>
  <c r="K55" i="25"/>
  <c r="F55" i="25"/>
  <c r="AE54" i="25"/>
  <c r="P54" i="25"/>
  <c r="K54" i="25"/>
  <c r="F54" i="25"/>
  <c r="AE53" i="25"/>
  <c r="P53" i="25"/>
  <c r="K53" i="25"/>
  <c r="F53" i="25"/>
  <c r="AE52" i="25"/>
  <c r="P52" i="25"/>
  <c r="K52" i="25"/>
  <c r="F52" i="25"/>
  <c r="AE51" i="25"/>
  <c r="P51" i="25"/>
  <c r="K51" i="25"/>
  <c r="F51" i="25"/>
  <c r="AE50" i="25"/>
  <c r="P50" i="25"/>
  <c r="K50" i="25"/>
  <c r="F50" i="25"/>
  <c r="AE49" i="25"/>
  <c r="P49" i="25"/>
  <c r="K49" i="25"/>
  <c r="F49" i="25"/>
  <c r="AE48" i="25"/>
  <c r="P48" i="25"/>
  <c r="K48" i="25"/>
  <c r="F48" i="25"/>
  <c r="AE47" i="25"/>
  <c r="P47" i="25"/>
  <c r="K47" i="25"/>
  <c r="F47" i="25"/>
  <c r="AE46" i="25"/>
  <c r="P46" i="25"/>
  <c r="K46" i="25"/>
  <c r="F46" i="25"/>
  <c r="AE45" i="25"/>
  <c r="P45" i="25"/>
  <c r="K45" i="25"/>
  <c r="F45" i="25"/>
  <c r="AE44" i="25"/>
  <c r="P44" i="25"/>
  <c r="K44" i="25"/>
  <c r="F44" i="25"/>
  <c r="AE43" i="25"/>
  <c r="P43" i="25"/>
  <c r="K43" i="25"/>
  <c r="F43" i="25"/>
  <c r="AE42" i="25"/>
  <c r="P42" i="25"/>
  <c r="K42" i="25"/>
  <c r="F42" i="25"/>
  <c r="AE41" i="25"/>
  <c r="K41" i="25"/>
  <c r="F41" i="25"/>
  <c r="AE40" i="25"/>
  <c r="K40" i="25"/>
  <c r="F40" i="25"/>
  <c r="AE39" i="25"/>
  <c r="K39" i="25"/>
  <c r="F39" i="25"/>
  <c r="AE38" i="25"/>
  <c r="K38" i="25"/>
  <c r="F38" i="25"/>
  <c r="AE37" i="25"/>
  <c r="K37" i="25"/>
  <c r="F37" i="25"/>
  <c r="AE36" i="25"/>
  <c r="K36" i="25"/>
  <c r="F36" i="25"/>
  <c r="AE35" i="25"/>
  <c r="K35" i="25"/>
  <c r="F35" i="25"/>
  <c r="AE34" i="25"/>
  <c r="K34" i="25"/>
  <c r="F34" i="25"/>
  <c r="AE33" i="25"/>
  <c r="K33" i="25"/>
  <c r="F33" i="25"/>
  <c r="AE32" i="25"/>
  <c r="K32" i="25"/>
  <c r="F32" i="25"/>
  <c r="AE31" i="25"/>
  <c r="K31" i="25"/>
  <c r="F31" i="25"/>
  <c r="AE30" i="25"/>
  <c r="K30" i="25"/>
  <c r="F30" i="25"/>
  <c r="AE29" i="25"/>
  <c r="K29" i="25"/>
  <c r="F29" i="25"/>
  <c r="AE28" i="25"/>
  <c r="K28" i="25"/>
  <c r="F28" i="25"/>
  <c r="AE27" i="25"/>
  <c r="K27" i="25"/>
  <c r="F27" i="25"/>
  <c r="AE26" i="25"/>
  <c r="K26" i="25"/>
  <c r="F26" i="25"/>
  <c r="AE25" i="25"/>
  <c r="K25" i="25"/>
  <c r="F25" i="25"/>
  <c r="AE24" i="25"/>
  <c r="K24" i="25"/>
  <c r="F24" i="25"/>
  <c r="AE23" i="25"/>
  <c r="K23" i="25"/>
  <c r="F23" i="25"/>
  <c r="AE22" i="25"/>
  <c r="K22" i="25"/>
  <c r="F22" i="25"/>
  <c r="AE21" i="25"/>
  <c r="K21" i="25"/>
  <c r="F21" i="25"/>
  <c r="AE20" i="25"/>
  <c r="K20" i="25"/>
  <c r="F20" i="25"/>
  <c r="AE19" i="25"/>
  <c r="K19" i="25"/>
  <c r="F19" i="25"/>
  <c r="AE18" i="25"/>
  <c r="K18" i="25"/>
  <c r="F18" i="25"/>
  <c r="AE17" i="25"/>
  <c r="K17" i="25"/>
  <c r="F17" i="25"/>
  <c r="AE16" i="25"/>
  <c r="K16" i="25"/>
  <c r="F16" i="25"/>
  <c r="AE15" i="25"/>
  <c r="K15" i="25"/>
  <c r="F15" i="25"/>
  <c r="AE14" i="25"/>
  <c r="K14" i="25"/>
  <c r="F14" i="25"/>
  <c r="AE13" i="25"/>
  <c r="K13" i="25"/>
  <c r="F13" i="25"/>
  <c r="AE12" i="25"/>
  <c r="K12" i="25"/>
  <c r="F12" i="25"/>
  <c r="AE11" i="25"/>
  <c r="Q11" i="25"/>
  <c r="K11" i="25"/>
  <c r="F11" i="25"/>
  <c r="AE10" i="25"/>
  <c r="Q10" i="25"/>
  <c r="K10" i="25"/>
  <c r="F10" i="25"/>
  <c r="AE9" i="25"/>
  <c r="K9" i="25"/>
  <c r="F9" i="25"/>
  <c r="AE8" i="25"/>
  <c r="K8" i="25"/>
  <c r="F8" i="25"/>
  <c r="AE7" i="25"/>
  <c r="K7" i="25"/>
  <c r="F7" i="25"/>
  <c r="AE6" i="25"/>
  <c r="K6" i="25"/>
  <c r="F6" i="25"/>
  <c r="AE5" i="25"/>
  <c r="K5" i="25"/>
  <c r="F5" i="25"/>
  <c r="AE4" i="25"/>
  <c r="K4" i="25"/>
  <c r="F4" i="25"/>
  <c r="AE3" i="25"/>
  <c r="K3" i="25"/>
  <c r="F3" i="25"/>
  <c r="AE2" i="25"/>
  <c r="K2" i="25"/>
  <c r="F2" i="25"/>
  <c r="AE69" i="69"/>
  <c r="AE68" i="69"/>
  <c r="AE67" i="69"/>
  <c r="AE66" i="69"/>
  <c r="AE65" i="69"/>
  <c r="AE64" i="69"/>
  <c r="AE63" i="69"/>
  <c r="AE62" i="69"/>
  <c r="AE61" i="69"/>
  <c r="P61" i="69"/>
  <c r="AE60" i="69"/>
  <c r="P60" i="69"/>
  <c r="AE59" i="69"/>
  <c r="P59" i="69"/>
  <c r="AE58" i="69"/>
  <c r="P58" i="69"/>
  <c r="AE57" i="69"/>
  <c r="P57" i="69"/>
  <c r="AE56" i="69"/>
  <c r="P56" i="69"/>
  <c r="AE55" i="69"/>
  <c r="P55" i="69"/>
  <c r="AE54" i="69"/>
  <c r="P54" i="69"/>
  <c r="AE53" i="69"/>
  <c r="P53" i="69"/>
  <c r="AE52" i="69"/>
  <c r="P52" i="69"/>
  <c r="AE51" i="69"/>
  <c r="P51" i="69"/>
  <c r="AE50" i="69"/>
  <c r="P50" i="69"/>
  <c r="AE49" i="69"/>
  <c r="P49" i="69"/>
  <c r="AE48" i="69"/>
  <c r="P48" i="69"/>
  <c r="AE47" i="69"/>
  <c r="P47" i="69"/>
  <c r="AE46" i="69"/>
  <c r="P46" i="69"/>
  <c r="AE45" i="69"/>
  <c r="P45" i="69"/>
  <c r="AE44" i="69"/>
  <c r="P44" i="69"/>
  <c r="AE43" i="69"/>
  <c r="P43" i="69"/>
  <c r="AE42" i="69"/>
  <c r="P42" i="69"/>
  <c r="AE41" i="69"/>
  <c r="P41" i="69"/>
  <c r="AE40" i="69"/>
  <c r="AE39" i="69"/>
  <c r="AE38" i="69"/>
  <c r="AE37" i="69"/>
  <c r="AE36" i="69"/>
  <c r="AE35" i="69"/>
  <c r="AE34" i="69"/>
  <c r="AE33" i="69"/>
  <c r="AE32" i="69"/>
  <c r="AE31" i="69"/>
  <c r="AE30" i="69"/>
  <c r="AE29" i="69"/>
  <c r="AE28" i="69"/>
  <c r="AE27" i="69"/>
  <c r="AE26" i="69"/>
  <c r="H26" i="69"/>
  <c r="G26" i="69"/>
  <c r="F26" i="69"/>
  <c r="AE25" i="69"/>
  <c r="H25" i="69"/>
  <c r="G25" i="69"/>
  <c r="F25" i="69"/>
  <c r="AE24" i="69"/>
  <c r="AE23" i="69"/>
  <c r="AE22" i="69"/>
  <c r="AE21" i="69"/>
  <c r="AE20" i="69"/>
  <c r="AE19" i="69"/>
  <c r="AE18" i="69"/>
  <c r="M18" i="69"/>
  <c r="K18" i="69"/>
  <c r="H18" i="69"/>
  <c r="AE17" i="69"/>
  <c r="AE16" i="69"/>
  <c r="AE15" i="69"/>
  <c r="AE14" i="69"/>
  <c r="AE13" i="69"/>
  <c r="AE12" i="69"/>
  <c r="AE11" i="69"/>
  <c r="Q11" i="69"/>
  <c r="AE10" i="69"/>
  <c r="AE9" i="69"/>
  <c r="AE8" i="69"/>
  <c r="AE7" i="69"/>
  <c r="AE6" i="69"/>
  <c r="AE5" i="69"/>
  <c r="AE4" i="69"/>
  <c r="AE3" i="69"/>
  <c r="AE2" i="69"/>
  <c r="F2" i="69"/>
  <c r="F18" i="69" s="1"/>
  <c r="AE69" i="63"/>
  <c r="AD69" i="63"/>
  <c r="AE68" i="63"/>
  <c r="AD68" i="63"/>
  <c r="AE67" i="63"/>
  <c r="AD67" i="63"/>
  <c r="AE66" i="63"/>
  <c r="AD66" i="63"/>
  <c r="AE65" i="63"/>
  <c r="AD65" i="63"/>
  <c r="AE64" i="63"/>
  <c r="AD64" i="63"/>
  <c r="M64" i="63"/>
  <c r="H64" i="63"/>
  <c r="C64" i="63"/>
  <c r="AE63" i="63"/>
  <c r="AD63" i="63"/>
  <c r="AE62" i="63"/>
  <c r="AD62" i="63"/>
  <c r="AE61" i="63"/>
  <c r="AD61" i="63"/>
  <c r="P61" i="63"/>
  <c r="AE60" i="63"/>
  <c r="AD60" i="63"/>
  <c r="P60" i="63"/>
  <c r="AE59" i="63"/>
  <c r="AD59" i="63"/>
  <c r="P59" i="63"/>
  <c r="AE58" i="63"/>
  <c r="AD58" i="63"/>
  <c r="P58" i="63"/>
  <c r="AE57" i="63"/>
  <c r="AD57" i="63"/>
  <c r="P57" i="63"/>
  <c r="AE56" i="63"/>
  <c r="AD56" i="63"/>
  <c r="P56" i="63"/>
  <c r="AE55" i="63"/>
  <c r="AD55" i="63"/>
  <c r="P55" i="63"/>
  <c r="AE54" i="63"/>
  <c r="AD54" i="63"/>
  <c r="P54" i="63"/>
  <c r="AE53" i="63"/>
  <c r="AD53" i="63"/>
  <c r="P53" i="63"/>
  <c r="AE52" i="63"/>
  <c r="AD52" i="63"/>
  <c r="P52" i="63"/>
  <c r="AE51" i="63"/>
  <c r="AD51" i="63"/>
  <c r="P51" i="63"/>
  <c r="AE50" i="63"/>
  <c r="AD50" i="63"/>
  <c r="P50" i="63"/>
  <c r="AE49" i="63"/>
  <c r="AD49" i="63"/>
  <c r="P49" i="63"/>
  <c r="K49" i="63"/>
  <c r="F49" i="63"/>
  <c r="AE48" i="63"/>
  <c r="AD48" i="63"/>
  <c r="P48" i="63"/>
  <c r="K48" i="63"/>
  <c r="F48" i="63"/>
  <c r="AE47" i="63"/>
  <c r="AD47" i="63"/>
  <c r="P47" i="63"/>
  <c r="AE46" i="63"/>
  <c r="AD46" i="63"/>
  <c r="P46" i="63"/>
  <c r="AE45" i="63"/>
  <c r="AD45" i="63"/>
  <c r="P45" i="63"/>
  <c r="AE44" i="63"/>
  <c r="AD44" i="63"/>
  <c r="P44" i="63"/>
  <c r="AE43" i="63"/>
  <c r="AD43" i="63"/>
  <c r="P43" i="63"/>
  <c r="AE42" i="63"/>
  <c r="AD42" i="63"/>
  <c r="P42" i="63"/>
  <c r="AE41" i="63"/>
  <c r="AD41" i="63"/>
  <c r="P41" i="63"/>
  <c r="AE40" i="63"/>
  <c r="AD40" i="63"/>
  <c r="AE39" i="63"/>
  <c r="AD39" i="63"/>
  <c r="AE38" i="63"/>
  <c r="AD38" i="63"/>
  <c r="AE37" i="63"/>
  <c r="AD37" i="63"/>
  <c r="AE36" i="63"/>
  <c r="AD36" i="63"/>
  <c r="AE35" i="63"/>
  <c r="AD35" i="63"/>
  <c r="AE34" i="63"/>
  <c r="AD34" i="63"/>
  <c r="AE33" i="63"/>
  <c r="AD33" i="63"/>
  <c r="H33" i="63"/>
  <c r="G33" i="63"/>
  <c r="F33" i="63"/>
  <c r="AE32" i="63"/>
  <c r="AD32" i="63"/>
  <c r="H32" i="63"/>
  <c r="G32" i="63"/>
  <c r="F32" i="63"/>
  <c r="AE31" i="63"/>
  <c r="AD31" i="63"/>
  <c r="H31" i="63"/>
  <c r="G31" i="63"/>
  <c r="F31" i="63"/>
  <c r="AE30" i="63"/>
  <c r="AD30" i="63"/>
  <c r="H30" i="63"/>
  <c r="G30" i="63"/>
  <c r="F30" i="63"/>
  <c r="AE29" i="63"/>
  <c r="AD29" i="63"/>
  <c r="H29" i="63"/>
  <c r="G29" i="63"/>
  <c r="F29" i="63"/>
  <c r="AE28" i="63"/>
  <c r="AD28" i="63"/>
  <c r="H28" i="63"/>
  <c r="G28" i="63"/>
  <c r="F28" i="63"/>
  <c r="AE27" i="63"/>
  <c r="AD27" i="63"/>
  <c r="H27" i="63"/>
  <c r="G27" i="63"/>
  <c r="F27" i="63"/>
  <c r="AE26" i="63"/>
  <c r="AD26" i="63"/>
  <c r="H26" i="63"/>
  <c r="G26" i="63"/>
  <c r="F26" i="63"/>
  <c r="AE25" i="63"/>
  <c r="AD25" i="63"/>
  <c r="H25" i="63"/>
  <c r="G25" i="63"/>
  <c r="F25" i="63"/>
  <c r="AE24" i="63"/>
  <c r="AD24" i="63"/>
  <c r="AE23" i="63"/>
  <c r="AD23" i="63"/>
  <c r="AE22" i="63"/>
  <c r="AD22" i="63"/>
  <c r="AE21" i="63"/>
  <c r="AD21" i="63"/>
  <c r="AE20" i="63"/>
  <c r="AD20" i="63"/>
  <c r="AE19" i="63"/>
  <c r="AD19" i="63"/>
  <c r="AE18" i="63"/>
  <c r="AD18" i="63"/>
  <c r="M18" i="63"/>
  <c r="K18" i="63"/>
  <c r="H18" i="63"/>
  <c r="F18" i="63"/>
  <c r="C18" i="63"/>
  <c r="AE17" i="63"/>
  <c r="AD17" i="63"/>
  <c r="AE16" i="63"/>
  <c r="AD16" i="63"/>
  <c r="AE15" i="63"/>
  <c r="AD15" i="63"/>
  <c r="AE14" i="63"/>
  <c r="AD14" i="63"/>
  <c r="AE13" i="63"/>
  <c r="AD13" i="63"/>
  <c r="AE12" i="63"/>
  <c r="AD12" i="63"/>
  <c r="AE11" i="63"/>
  <c r="AD11" i="63"/>
  <c r="Q11" i="63"/>
  <c r="AE10" i="63"/>
  <c r="AD10" i="63"/>
  <c r="AE9" i="63"/>
  <c r="AD9" i="63"/>
  <c r="AE8" i="63"/>
  <c r="AD8" i="63"/>
  <c r="AE7" i="63"/>
  <c r="AD7" i="63"/>
  <c r="AE6" i="63"/>
  <c r="AD6" i="63"/>
  <c r="AE5" i="63"/>
  <c r="AD5" i="63"/>
  <c r="AE4" i="63"/>
  <c r="AD4" i="63"/>
  <c r="AE3" i="63"/>
  <c r="AD3" i="63"/>
  <c r="AE2" i="63"/>
  <c r="AD2" i="63"/>
  <c r="AE69" i="62"/>
  <c r="AD69" i="62"/>
  <c r="AE68" i="62"/>
  <c r="AD68" i="62"/>
  <c r="AE67" i="62"/>
  <c r="AD67" i="62"/>
  <c r="AE66" i="62"/>
  <c r="AD66" i="62"/>
  <c r="AE65" i="62"/>
  <c r="AD65" i="62"/>
  <c r="AE64" i="62"/>
  <c r="AD64" i="62"/>
  <c r="AE63" i="62"/>
  <c r="AD63" i="62"/>
  <c r="AE62" i="62"/>
  <c r="AD62" i="62"/>
  <c r="AE61" i="62"/>
  <c r="AD61" i="62"/>
  <c r="P61" i="62"/>
  <c r="AE60" i="62"/>
  <c r="AD60" i="62"/>
  <c r="P60" i="62"/>
  <c r="AE59" i="62"/>
  <c r="AD59" i="62"/>
  <c r="P59" i="62"/>
  <c r="AE58" i="62"/>
  <c r="AD58" i="62"/>
  <c r="P58" i="62"/>
  <c r="AE57" i="62"/>
  <c r="AD57" i="62"/>
  <c r="P57" i="62"/>
  <c r="AE56" i="62"/>
  <c r="AD56" i="62"/>
  <c r="P56" i="62"/>
  <c r="AE55" i="62"/>
  <c r="AD55" i="62"/>
  <c r="P55" i="62"/>
  <c r="AE54" i="62"/>
  <c r="AD54" i="62"/>
  <c r="P54" i="62"/>
  <c r="AE53" i="62"/>
  <c r="AD53" i="62"/>
  <c r="P53" i="62"/>
  <c r="AE52" i="62"/>
  <c r="AD52" i="62"/>
  <c r="P52" i="62"/>
  <c r="AE51" i="62"/>
  <c r="AD51" i="62"/>
  <c r="P51" i="62"/>
  <c r="AE50" i="62"/>
  <c r="AD50" i="62"/>
  <c r="P50" i="62"/>
  <c r="AE49" i="62"/>
  <c r="AD49" i="62"/>
  <c r="P49" i="62"/>
  <c r="AE48" i="62"/>
  <c r="AD48" i="62"/>
  <c r="P48" i="62"/>
  <c r="AE47" i="62"/>
  <c r="AD47" i="62"/>
  <c r="P47" i="62"/>
  <c r="AE46" i="62"/>
  <c r="AD46" i="62"/>
  <c r="P46" i="62"/>
  <c r="AE45" i="62"/>
  <c r="AD45" i="62"/>
  <c r="P45" i="62"/>
  <c r="AE44" i="62"/>
  <c r="AD44" i="62"/>
  <c r="P44" i="62"/>
  <c r="AE43" i="62"/>
  <c r="AD43" i="62"/>
  <c r="P43" i="62"/>
  <c r="AE42" i="62"/>
  <c r="AD42" i="62"/>
  <c r="P42" i="62"/>
  <c r="H42" i="62"/>
  <c r="G42" i="62"/>
  <c r="F42" i="62"/>
  <c r="AE41" i="62"/>
  <c r="AD41" i="62"/>
  <c r="P41" i="62"/>
  <c r="H41" i="62"/>
  <c r="G41" i="62"/>
  <c r="F41" i="62"/>
  <c r="AE40" i="62"/>
  <c r="AD40" i="62"/>
  <c r="H40" i="62"/>
  <c r="G40" i="62"/>
  <c r="F40" i="62"/>
  <c r="AE39" i="62"/>
  <c r="AD39" i="62"/>
  <c r="H39" i="62"/>
  <c r="G39" i="62"/>
  <c r="F39" i="62"/>
  <c r="AE38" i="62"/>
  <c r="AD38" i="62"/>
  <c r="H38" i="62"/>
  <c r="G38" i="62"/>
  <c r="F38" i="62"/>
  <c r="AE37" i="62"/>
  <c r="AD37" i="62"/>
  <c r="H37" i="62"/>
  <c r="G37" i="62"/>
  <c r="F37" i="62"/>
  <c r="AE36" i="62"/>
  <c r="AD36" i="62"/>
  <c r="H36" i="62"/>
  <c r="G36" i="62"/>
  <c r="F36" i="62"/>
  <c r="AE35" i="62"/>
  <c r="AD35" i="62"/>
  <c r="H35" i="62"/>
  <c r="G35" i="62"/>
  <c r="F35" i="62"/>
  <c r="AE34" i="62"/>
  <c r="AD34" i="62"/>
  <c r="H34" i="62"/>
  <c r="G34" i="62"/>
  <c r="F34" i="62"/>
  <c r="AE33" i="62"/>
  <c r="AD33" i="62"/>
  <c r="H33" i="62"/>
  <c r="G33" i="62"/>
  <c r="F33" i="62"/>
  <c r="AE32" i="62"/>
  <c r="AD32" i="62"/>
  <c r="H32" i="62"/>
  <c r="G32" i="62"/>
  <c r="F32" i="62"/>
  <c r="AE31" i="62"/>
  <c r="AD31" i="62"/>
  <c r="H31" i="62"/>
  <c r="G31" i="62"/>
  <c r="F31" i="62"/>
  <c r="AE30" i="62"/>
  <c r="AD30" i="62"/>
  <c r="H30" i="62"/>
  <c r="G30" i="62"/>
  <c r="F30" i="62"/>
  <c r="AE29" i="62"/>
  <c r="AD29" i="62"/>
  <c r="H29" i="62"/>
  <c r="G29" i="62"/>
  <c r="F29" i="62"/>
  <c r="AE28" i="62"/>
  <c r="AD28" i="62"/>
  <c r="H28" i="62"/>
  <c r="G28" i="62"/>
  <c r="F28" i="62"/>
  <c r="AE27" i="62"/>
  <c r="AD27" i="62"/>
  <c r="H27" i="62"/>
  <c r="G27" i="62"/>
  <c r="F27" i="62"/>
  <c r="AE26" i="62"/>
  <c r="AD26" i="62"/>
  <c r="H26" i="62"/>
  <c r="G26" i="62"/>
  <c r="F26" i="62"/>
  <c r="AE25" i="62"/>
  <c r="AD25" i="62"/>
  <c r="H25" i="62"/>
  <c r="G25" i="62"/>
  <c r="F25" i="62"/>
  <c r="AE24" i="62"/>
  <c r="AD24" i="62"/>
  <c r="AE23" i="62"/>
  <c r="AD23" i="62"/>
  <c r="AE22" i="62"/>
  <c r="AD22" i="62"/>
  <c r="AE21" i="62"/>
  <c r="AD21" i="62"/>
  <c r="AE20" i="62"/>
  <c r="AD20" i="62"/>
  <c r="AE19" i="62"/>
  <c r="AD19" i="62"/>
  <c r="AE18" i="62"/>
  <c r="AD18" i="62"/>
  <c r="M18" i="62"/>
  <c r="H18" i="62"/>
  <c r="C18" i="62"/>
  <c r="AE17" i="62"/>
  <c r="AD17" i="62"/>
  <c r="AE16" i="62"/>
  <c r="AD16" i="62"/>
  <c r="AE15" i="62"/>
  <c r="AD15" i="62"/>
  <c r="AE14" i="62"/>
  <c r="AD14" i="62"/>
  <c r="AE13" i="62"/>
  <c r="AD13" i="62"/>
  <c r="AE12" i="62"/>
  <c r="AD12" i="62"/>
  <c r="AE11" i="62"/>
  <c r="AD11" i="62"/>
  <c r="Q11" i="62"/>
  <c r="AE10" i="62"/>
  <c r="AD10" i="62"/>
  <c r="AE9" i="62"/>
  <c r="AD9" i="62"/>
  <c r="AE8" i="62"/>
  <c r="AD8" i="62"/>
  <c r="AE7" i="62"/>
  <c r="AD7" i="62"/>
  <c r="AE6" i="62"/>
  <c r="AD6" i="62"/>
  <c r="AE5" i="62"/>
  <c r="AD5" i="62"/>
  <c r="AE4" i="62"/>
  <c r="AD4" i="62"/>
  <c r="AE3" i="62"/>
  <c r="AD3" i="62"/>
  <c r="AE2" i="62"/>
  <c r="AD2" i="62"/>
  <c r="K18" i="62"/>
  <c r="AE69" i="61"/>
  <c r="AD69" i="61"/>
  <c r="AE68" i="61"/>
  <c r="AD68" i="61"/>
  <c r="AE67" i="61"/>
  <c r="AD67" i="61"/>
  <c r="AE66" i="61"/>
  <c r="AD66" i="61"/>
  <c r="AE65" i="61"/>
  <c r="AD65" i="61"/>
  <c r="AE64" i="61"/>
  <c r="AD64" i="61"/>
  <c r="H83" i="61"/>
  <c r="G83" i="61"/>
  <c r="F83" i="61"/>
  <c r="AE63" i="61"/>
  <c r="AD63" i="61"/>
  <c r="H82" i="61"/>
  <c r="G82" i="61"/>
  <c r="F82" i="61"/>
  <c r="AE62" i="61"/>
  <c r="AD62" i="61"/>
  <c r="H81" i="61"/>
  <c r="G81" i="61"/>
  <c r="F81" i="61"/>
  <c r="AE61" i="61"/>
  <c r="AD61" i="61"/>
  <c r="P61" i="61"/>
  <c r="H80" i="61"/>
  <c r="G80" i="61"/>
  <c r="F80" i="61"/>
  <c r="AE60" i="61"/>
  <c r="AD60" i="61"/>
  <c r="P60" i="61"/>
  <c r="H79" i="61"/>
  <c r="G79" i="61"/>
  <c r="F79" i="61"/>
  <c r="AE59" i="61"/>
  <c r="AD59" i="61"/>
  <c r="P59" i="61"/>
  <c r="H78" i="61"/>
  <c r="G78" i="61"/>
  <c r="F78" i="61"/>
  <c r="AE58" i="61"/>
  <c r="AD58" i="61"/>
  <c r="P58" i="61"/>
  <c r="H77" i="61"/>
  <c r="G77" i="61"/>
  <c r="F77" i="61"/>
  <c r="AE57" i="61"/>
  <c r="AD57" i="61"/>
  <c r="P57" i="61"/>
  <c r="H76" i="61"/>
  <c r="G76" i="61"/>
  <c r="F76" i="61"/>
  <c r="AE56" i="61"/>
  <c r="AD56" i="61"/>
  <c r="P56" i="61"/>
  <c r="H75" i="61"/>
  <c r="G75" i="61"/>
  <c r="F75" i="61"/>
  <c r="AE55" i="61"/>
  <c r="AD55" i="61"/>
  <c r="P55" i="61"/>
  <c r="H74" i="61"/>
  <c r="G74" i="61"/>
  <c r="F74" i="61"/>
  <c r="AE54" i="61"/>
  <c r="AD54" i="61"/>
  <c r="P54" i="61"/>
  <c r="H73" i="61"/>
  <c r="G73" i="61"/>
  <c r="F73" i="61"/>
  <c r="AE53" i="61"/>
  <c r="AD53" i="61"/>
  <c r="P53" i="61"/>
  <c r="H72" i="61"/>
  <c r="G72" i="61"/>
  <c r="F72" i="61"/>
  <c r="AE52" i="61"/>
  <c r="AD52" i="61"/>
  <c r="P52" i="61"/>
  <c r="H71" i="61"/>
  <c r="G71" i="61"/>
  <c r="F71" i="61"/>
  <c r="AE51" i="61"/>
  <c r="AD51" i="61"/>
  <c r="P51" i="61"/>
  <c r="H70" i="61"/>
  <c r="G70" i="61"/>
  <c r="F70" i="61"/>
  <c r="AE50" i="61"/>
  <c r="AD50" i="61"/>
  <c r="P50" i="61"/>
  <c r="H69" i="61"/>
  <c r="G69" i="61"/>
  <c r="F69" i="61"/>
  <c r="AE49" i="61"/>
  <c r="AD49" i="61"/>
  <c r="P49" i="61"/>
  <c r="H68" i="61"/>
  <c r="G68" i="61"/>
  <c r="F68" i="61"/>
  <c r="AE48" i="61"/>
  <c r="AD48" i="61"/>
  <c r="P48" i="61"/>
  <c r="H67" i="61"/>
  <c r="G67" i="61"/>
  <c r="F67" i="61"/>
  <c r="AE47" i="61"/>
  <c r="AD47" i="61"/>
  <c r="P47" i="61"/>
  <c r="H66" i="61"/>
  <c r="G66" i="61"/>
  <c r="F66" i="61"/>
  <c r="AE46" i="61"/>
  <c r="AD46" i="61"/>
  <c r="P46" i="61"/>
  <c r="H65" i="61"/>
  <c r="G65" i="61"/>
  <c r="F65" i="61"/>
  <c r="AE45" i="61"/>
  <c r="AD45" i="61"/>
  <c r="P45" i="61"/>
  <c r="H64" i="61"/>
  <c r="G64" i="61"/>
  <c r="F64" i="61"/>
  <c r="AE44" i="61"/>
  <c r="AD44" i="61"/>
  <c r="P44" i="61"/>
  <c r="H63" i="61"/>
  <c r="G63" i="61"/>
  <c r="F63" i="61"/>
  <c r="AE43" i="61"/>
  <c r="AD43" i="61"/>
  <c r="P43" i="61"/>
  <c r="H62" i="61"/>
  <c r="G62" i="61"/>
  <c r="F62" i="61"/>
  <c r="AE42" i="61"/>
  <c r="AD42" i="61"/>
  <c r="P42" i="61"/>
  <c r="H61" i="61"/>
  <c r="G61" i="61"/>
  <c r="F61" i="61"/>
  <c r="AE41" i="61"/>
  <c r="AD41" i="61"/>
  <c r="P41" i="61"/>
  <c r="H60" i="61"/>
  <c r="G60" i="61"/>
  <c r="F60" i="61"/>
  <c r="AE40" i="61"/>
  <c r="AD40" i="61"/>
  <c r="H59" i="61"/>
  <c r="G59" i="61"/>
  <c r="F59" i="61"/>
  <c r="AE39" i="61"/>
  <c r="AD39" i="61"/>
  <c r="H58" i="61"/>
  <c r="G58" i="61"/>
  <c r="F58" i="61"/>
  <c r="AE38" i="61"/>
  <c r="AD38" i="61"/>
  <c r="H57" i="61"/>
  <c r="G57" i="61"/>
  <c r="F57" i="61"/>
  <c r="AE37" i="61"/>
  <c r="AD37" i="61"/>
  <c r="H56" i="61"/>
  <c r="G56" i="61"/>
  <c r="F56" i="61"/>
  <c r="AE36" i="61"/>
  <c r="AD36" i="61"/>
  <c r="H55" i="61"/>
  <c r="G55" i="61"/>
  <c r="F55" i="61"/>
  <c r="AE35" i="61"/>
  <c r="AD35" i="61"/>
  <c r="H54" i="61"/>
  <c r="G54" i="61"/>
  <c r="F54" i="61"/>
  <c r="AE34" i="61"/>
  <c r="AD34" i="61"/>
  <c r="H53" i="61"/>
  <c r="G53" i="61"/>
  <c r="F53" i="61"/>
  <c r="AE33" i="61"/>
  <c r="AD33" i="61"/>
  <c r="H52" i="61"/>
  <c r="G52" i="61"/>
  <c r="F52" i="61"/>
  <c r="AE32" i="61"/>
  <c r="AD32" i="61"/>
  <c r="H51" i="61"/>
  <c r="G51" i="61"/>
  <c r="F51" i="61"/>
  <c r="AE31" i="61"/>
  <c r="AD31" i="61"/>
  <c r="H50" i="61"/>
  <c r="G50" i="61"/>
  <c r="F50" i="61"/>
  <c r="AE30" i="61"/>
  <c r="AD30" i="61"/>
  <c r="H49" i="61"/>
  <c r="G49" i="61"/>
  <c r="F49" i="61"/>
  <c r="AE29" i="61"/>
  <c r="AD29" i="61"/>
  <c r="H48" i="61"/>
  <c r="G48" i="61"/>
  <c r="F48" i="61"/>
  <c r="AE28" i="61"/>
  <c r="AD28" i="61"/>
  <c r="H47" i="61"/>
  <c r="G47" i="61"/>
  <c r="F47" i="61"/>
  <c r="AE27" i="61"/>
  <c r="AD27" i="61"/>
  <c r="H46" i="61"/>
  <c r="G46" i="61"/>
  <c r="F46" i="61"/>
  <c r="AE26" i="61"/>
  <c r="AD26" i="61"/>
  <c r="H45" i="61"/>
  <c r="G45" i="61"/>
  <c r="F45" i="61"/>
  <c r="AE25" i="61"/>
  <c r="AD25" i="61"/>
  <c r="H44" i="61"/>
  <c r="G44" i="61"/>
  <c r="F44" i="61"/>
  <c r="AE24" i="61"/>
  <c r="AD24" i="61"/>
  <c r="AE23" i="61"/>
  <c r="AD23" i="61"/>
  <c r="AE22" i="61"/>
  <c r="AD22" i="61"/>
  <c r="AE21" i="61"/>
  <c r="AD21" i="61"/>
  <c r="AE20" i="61"/>
  <c r="AD20" i="61"/>
  <c r="AE19" i="61"/>
  <c r="AD19" i="61"/>
  <c r="AE18" i="61"/>
  <c r="AD18" i="61"/>
  <c r="M18" i="61"/>
  <c r="AE17" i="61"/>
  <c r="AD17" i="61"/>
  <c r="AE16" i="61"/>
  <c r="AD16" i="61"/>
  <c r="AE15" i="61"/>
  <c r="AD15" i="61"/>
  <c r="AE14" i="61"/>
  <c r="AD14" i="61"/>
  <c r="AE13" i="61"/>
  <c r="AD13" i="61"/>
  <c r="AE12" i="61"/>
  <c r="AD12" i="61"/>
  <c r="AE11" i="61"/>
  <c r="AD11" i="61"/>
  <c r="Q11" i="61"/>
  <c r="AE10" i="61"/>
  <c r="AD10" i="61"/>
  <c r="AE9" i="61"/>
  <c r="AD9" i="61"/>
  <c r="AE8" i="61"/>
  <c r="AD8" i="61"/>
  <c r="AE7" i="61"/>
  <c r="AD7" i="61"/>
  <c r="AE6" i="61"/>
  <c r="AD6" i="61"/>
  <c r="AE5" i="61"/>
  <c r="AD5" i="61"/>
  <c r="AE4" i="61"/>
  <c r="AD4" i="61"/>
  <c r="AE3" i="61"/>
  <c r="AD3" i="61"/>
  <c r="AE2" i="61"/>
  <c r="AD2" i="61"/>
  <c r="AE69" i="66"/>
  <c r="AD69" i="66"/>
  <c r="AE68" i="66"/>
  <c r="AD68" i="66"/>
  <c r="AE67" i="66"/>
  <c r="AD67" i="66"/>
  <c r="AE66" i="66"/>
  <c r="AD66" i="66"/>
  <c r="AE65" i="66"/>
  <c r="AD65" i="66"/>
  <c r="AE64" i="66"/>
  <c r="AD64" i="66"/>
  <c r="AE63" i="66"/>
  <c r="AD63" i="66"/>
  <c r="AE62" i="66"/>
  <c r="AD62" i="66"/>
  <c r="AE61" i="66"/>
  <c r="AD61" i="66"/>
  <c r="P61" i="66"/>
  <c r="AE60" i="66"/>
  <c r="AD60" i="66"/>
  <c r="P60" i="66"/>
  <c r="AE59" i="66"/>
  <c r="AD59" i="66"/>
  <c r="P59" i="66"/>
  <c r="AE58" i="66"/>
  <c r="AD58" i="66"/>
  <c r="P58" i="66"/>
  <c r="AE57" i="66"/>
  <c r="AD57" i="66"/>
  <c r="P57" i="66"/>
  <c r="AE56" i="66"/>
  <c r="AD56" i="66"/>
  <c r="P56" i="66"/>
  <c r="AE55" i="66"/>
  <c r="AD55" i="66"/>
  <c r="P55" i="66"/>
  <c r="AE54" i="66"/>
  <c r="AD54" i="66"/>
  <c r="P54" i="66"/>
  <c r="AE53" i="66"/>
  <c r="AD53" i="66"/>
  <c r="P53" i="66"/>
  <c r="AE52" i="66"/>
  <c r="AD52" i="66"/>
  <c r="P52" i="66"/>
  <c r="AE51" i="66"/>
  <c r="AD51" i="66"/>
  <c r="P51" i="66"/>
  <c r="AE50" i="66"/>
  <c r="AD50" i="66"/>
  <c r="P50" i="66"/>
  <c r="AE49" i="66"/>
  <c r="AD49" i="66"/>
  <c r="P49" i="66"/>
  <c r="AE48" i="66"/>
  <c r="AD48" i="66"/>
  <c r="P48" i="66"/>
  <c r="AE47" i="66"/>
  <c r="AD47" i="66"/>
  <c r="P47" i="66"/>
  <c r="AE46" i="66"/>
  <c r="AD46" i="66"/>
  <c r="P46" i="66"/>
  <c r="AE45" i="66"/>
  <c r="AD45" i="66"/>
  <c r="P45" i="66"/>
  <c r="AE44" i="66"/>
  <c r="AD44" i="66"/>
  <c r="P44" i="66"/>
  <c r="AE43" i="66"/>
  <c r="AD43" i="66"/>
  <c r="P43" i="66"/>
  <c r="AE42" i="66"/>
  <c r="AD42" i="66"/>
  <c r="P42" i="66"/>
  <c r="AE41" i="66"/>
  <c r="AD41" i="66"/>
  <c r="P41" i="66"/>
  <c r="AE40" i="66"/>
  <c r="AD40" i="66"/>
  <c r="AE39" i="66"/>
  <c r="AD39" i="66"/>
  <c r="AE38" i="66"/>
  <c r="AD38" i="66"/>
  <c r="AE37" i="66"/>
  <c r="AD37" i="66"/>
  <c r="AE36" i="66"/>
  <c r="AD36" i="66"/>
  <c r="AE35" i="66"/>
  <c r="AD35" i="66"/>
  <c r="AE34" i="66"/>
  <c r="AD34" i="66"/>
  <c r="AE33" i="66"/>
  <c r="AD33" i="66"/>
  <c r="AE32" i="66"/>
  <c r="AD32" i="66"/>
  <c r="AE31" i="66"/>
  <c r="AD31" i="66"/>
  <c r="AE30" i="66"/>
  <c r="AD30" i="66"/>
  <c r="AE29" i="66"/>
  <c r="AD29" i="66"/>
  <c r="AE28" i="66"/>
  <c r="AD28" i="66"/>
  <c r="H28" i="66"/>
  <c r="G28" i="66"/>
  <c r="F28" i="66"/>
  <c r="AE27" i="66"/>
  <c r="AD27" i="66"/>
  <c r="H27" i="66"/>
  <c r="G27" i="66"/>
  <c r="F27" i="66"/>
  <c r="AE26" i="66"/>
  <c r="AD26" i="66"/>
  <c r="H26" i="66"/>
  <c r="G26" i="66"/>
  <c r="F26" i="66"/>
  <c r="AE25" i="66"/>
  <c r="AD25" i="66"/>
  <c r="H25" i="66"/>
  <c r="G25" i="66"/>
  <c r="F25" i="66"/>
  <c r="AE24" i="66"/>
  <c r="AD24" i="66"/>
  <c r="AE23" i="66"/>
  <c r="AD23" i="66"/>
  <c r="AE22" i="66"/>
  <c r="AD22" i="66"/>
  <c r="AE21" i="66"/>
  <c r="AD21" i="66"/>
  <c r="AE20" i="66"/>
  <c r="AD20" i="66"/>
  <c r="AE19" i="66"/>
  <c r="AD19" i="66"/>
  <c r="AE18" i="66"/>
  <c r="AD18" i="66"/>
  <c r="M18" i="66"/>
  <c r="K18" i="66"/>
  <c r="H18" i="66"/>
  <c r="C18" i="66"/>
  <c r="AE17" i="66"/>
  <c r="AD17" i="66"/>
  <c r="AE16" i="66"/>
  <c r="AD16" i="66"/>
  <c r="AE15" i="66"/>
  <c r="AD15" i="66"/>
  <c r="AE14" i="66"/>
  <c r="AD14" i="66"/>
  <c r="AE13" i="66"/>
  <c r="AD13" i="66"/>
  <c r="AE12" i="66"/>
  <c r="AD12" i="66"/>
  <c r="AE11" i="66"/>
  <c r="AD11" i="66"/>
  <c r="Q11" i="66"/>
  <c r="AE10" i="66"/>
  <c r="AD10" i="66"/>
  <c r="AE9" i="66"/>
  <c r="AD9" i="66"/>
  <c r="AE8" i="66"/>
  <c r="AD8" i="66"/>
  <c r="AE7" i="66"/>
  <c r="AD7" i="66"/>
  <c r="AE6" i="66"/>
  <c r="AD6" i="66"/>
  <c r="AE5" i="66"/>
  <c r="AD5" i="66"/>
  <c r="AE4" i="66"/>
  <c r="AD4" i="66"/>
  <c r="AE3" i="66"/>
  <c r="AD3" i="66"/>
  <c r="AE2" i="66"/>
  <c r="AD2" i="66"/>
  <c r="F18" i="66"/>
  <c r="AE69" i="65"/>
  <c r="AD69" i="65"/>
  <c r="AE68" i="65"/>
  <c r="AD68" i="65"/>
  <c r="AE67" i="65"/>
  <c r="AD67" i="65"/>
  <c r="AE66" i="65"/>
  <c r="AD66" i="65"/>
  <c r="AE65" i="65"/>
  <c r="AD65" i="65"/>
  <c r="AE64" i="65"/>
  <c r="AD64" i="65"/>
  <c r="AE63" i="65"/>
  <c r="AD63" i="65"/>
  <c r="AE62" i="65"/>
  <c r="AD62" i="65"/>
  <c r="AE61" i="65"/>
  <c r="AD61" i="65"/>
  <c r="AE60" i="65"/>
  <c r="AD60" i="65"/>
  <c r="Q60" i="65"/>
  <c r="AE59" i="65"/>
  <c r="AD59" i="65"/>
  <c r="Q59" i="65"/>
  <c r="AE58" i="65"/>
  <c r="AD58" i="65"/>
  <c r="Q58" i="65"/>
  <c r="AE57" i="65"/>
  <c r="AD57" i="65"/>
  <c r="Q57" i="65"/>
  <c r="AE56" i="65"/>
  <c r="AD56" i="65"/>
  <c r="Q56" i="65"/>
  <c r="AE55" i="65"/>
  <c r="AD55" i="65"/>
  <c r="Q55" i="65"/>
  <c r="AE54" i="65"/>
  <c r="AD54" i="65"/>
  <c r="Q54" i="65"/>
  <c r="AE53" i="65"/>
  <c r="AD53" i="65"/>
  <c r="Q53" i="65"/>
  <c r="AE52" i="65"/>
  <c r="AD52" i="65"/>
  <c r="Q52" i="65"/>
  <c r="AE51" i="65"/>
  <c r="AD51" i="65"/>
  <c r="Q51" i="65"/>
  <c r="AE50" i="65"/>
  <c r="AD50" i="65"/>
  <c r="Q50" i="65"/>
  <c r="AE49" i="65"/>
  <c r="AD49" i="65"/>
  <c r="Q49" i="65"/>
  <c r="AE48" i="65"/>
  <c r="AD48" i="65"/>
  <c r="Q48" i="65"/>
  <c r="AE47" i="65"/>
  <c r="AD47" i="65"/>
  <c r="Q47" i="65"/>
  <c r="AE46" i="65"/>
  <c r="AD46" i="65"/>
  <c r="Q46" i="65"/>
  <c r="AE45" i="65"/>
  <c r="AD45" i="65"/>
  <c r="Q45" i="65"/>
  <c r="AE44" i="65"/>
  <c r="AD44" i="65"/>
  <c r="Q44" i="65"/>
  <c r="AE43" i="65"/>
  <c r="AD43" i="65"/>
  <c r="Q43" i="65"/>
  <c r="AE42" i="65"/>
  <c r="AD42" i="65"/>
  <c r="Q42" i="65"/>
  <c r="AE41" i="65"/>
  <c r="AD41" i="65"/>
  <c r="Q41" i="65"/>
  <c r="AE40" i="65"/>
  <c r="AD40" i="65"/>
  <c r="Q40" i="65"/>
  <c r="AE39" i="65"/>
  <c r="AD39" i="65"/>
  <c r="AE38" i="65"/>
  <c r="AD38" i="65"/>
  <c r="AE37" i="65"/>
  <c r="AD37" i="65"/>
  <c r="AE36" i="65"/>
  <c r="AD36" i="65"/>
  <c r="AE35" i="65"/>
  <c r="AD35" i="65"/>
  <c r="AE34" i="65"/>
  <c r="AD34" i="65"/>
  <c r="AE33" i="65"/>
  <c r="AD33" i="65"/>
  <c r="AE32" i="65"/>
  <c r="AD32" i="65"/>
  <c r="AE31" i="65"/>
  <c r="AD31" i="65"/>
  <c r="AE30" i="65"/>
  <c r="AD30" i="65"/>
  <c r="AE29" i="65"/>
  <c r="AD29" i="65"/>
  <c r="AE28" i="65"/>
  <c r="AD28" i="65"/>
  <c r="AE27" i="65"/>
  <c r="AD27" i="65"/>
  <c r="AE26" i="65"/>
  <c r="AD26" i="65"/>
  <c r="AE25" i="65"/>
  <c r="AD25" i="65"/>
  <c r="AE24" i="65"/>
  <c r="AD24" i="65"/>
  <c r="H24" i="65"/>
  <c r="G24" i="65"/>
  <c r="F24" i="65"/>
  <c r="AE23" i="65"/>
  <c r="AD23" i="65"/>
  <c r="H23" i="65"/>
  <c r="G23" i="65"/>
  <c r="F23" i="65"/>
  <c r="AE22" i="65"/>
  <c r="AD22" i="65"/>
  <c r="H22" i="65"/>
  <c r="G22" i="65"/>
  <c r="F22" i="65"/>
  <c r="AE21" i="65"/>
  <c r="AD21" i="65"/>
  <c r="H21" i="65"/>
  <c r="G21" i="65"/>
  <c r="F21" i="65"/>
  <c r="AE20" i="65"/>
  <c r="AD20" i="65"/>
  <c r="AE19" i="65"/>
  <c r="AD19" i="65"/>
  <c r="AE18" i="65"/>
  <c r="AD18" i="65"/>
  <c r="M18" i="65"/>
  <c r="K18" i="65"/>
  <c r="H18" i="65"/>
  <c r="C18" i="65"/>
  <c r="AE17" i="65"/>
  <c r="AD17" i="65"/>
  <c r="AE16" i="65"/>
  <c r="AD16" i="65"/>
  <c r="AE15" i="65"/>
  <c r="AD15" i="65"/>
  <c r="AE14" i="65"/>
  <c r="AD14" i="65"/>
  <c r="AE13" i="65"/>
  <c r="AD13" i="65"/>
  <c r="AE12" i="65"/>
  <c r="AD12" i="65"/>
  <c r="AE11" i="65"/>
  <c r="AD11" i="65"/>
  <c r="AE10" i="65"/>
  <c r="AD10" i="65"/>
  <c r="AE9" i="65"/>
  <c r="AD9" i="65"/>
  <c r="AE8" i="65"/>
  <c r="AD8" i="65"/>
  <c r="AE7" i="65"/>
  <c r="AD7" i="65"/>
  <c r="AE6" i="65"/>
  <c r="AD6" i="65"/>
  <c r="AE5" i="65"/>
  <c r="AD5" i="65"/>
  <c r="AE4" i="65"/>
  <c r="AD4" i="65"/>
  <c r="AE3" i="65"/>
  <c r="AD3" i="65"/>
  <c r="AE2" i="65"/>
  <c r="AD2" i="65"/>
  <c r="F39" i="65"/>
  <c r="AE69" i="64"/>
  <c r="AD69" i="64"/>
  <c r="AE68" i="64"/>
  <c r="AD68" i="64"/>
  <c r="AE67" i="64"/>
  <c r="AD67" i="64"/>
  <c r="AE66" i="64"/>
  <c r="AD66" i="64"/>
  <c r="AE65" i="64"/>
  <c r="AD65" i="64"/>
  <c r="AE64" i="64"/>
  <c r="AD64" i="64"/>
  <c r="AE63" i="64"/>
  <c r="AD63" i="64"/>
  <c r="AE62" i="64"/>
  <c r="AD62" i="64"/>
  <c r="AE61" i="64"/>
  <c r="AD61" i="64"/>
  <c r="P61" i="64"/>
  <c r="AE60" i="64"/>
  <c r="AD60" i="64"/>
  <c r="P60" i="64"/>
  <c r="AE59" i="64"/>
  <c r="AD59" i="64"/>
  <c r="P59" i="64"/>
  <c r="AE58" i="64"/>
  <c r="AD58" i="64"/>
  <c r="P58" i="64"/>
  <c r="AE57" i="64"/>
  <c r="AD57" i="64"/>
  <c r="P57" i="64"/>
  <c r="AE56" i="64"/>
  <c r="AD56" i="64"/>
  <c r="P56" i="64"/>
  <c r="AE55" i="64"/>
  <c r="AD55" i="64"/>
  <c r="P55" i="64"/>
  <c r="AE54" i="64"/>
  <c r="AD54" i="64"/>
  <c r="P54" i="64"/>
  <c r="AE53" i="64"/>
  <c r="AD53" i="64"/>
  <c r="P53" i="64"/>
  <c r="AE52" i="64"/>
  <c r="AD52" i="64"/>
  <c r="P52" i="64"/>
  <c r="AE51" i="64"/>
  <c r="AD51" i="64"/>
  <c r="P51" i="64"/>
  <c r="AE50" i="64"/>
  <c r="AD50" i="64"/>
  <c r="P50" i="64"/>
  <c r="AE49" i="64"/>
  <c r="AD49" i="64"/>
  <c r="P49" i="64"/>
  <c r="AE48" i="64"/>
  <c r="AD48" i="64"/>
  <c r="P48" i="64"/>
  <c r="AE47" i="64"/>
  <c r="AD47" i="64"/>
  <c r="P47" i="64"/>
  <c r="AE46" i="64"/>
  <c r="AD46" i="64"/>
  <c r="P46" i="64"/>
  <c r="AE45" i="64"/>
  <c r="AD45" i="64"/>
  <c r="P45" i="64"/>
  <c r="AE44" i="64"/>
  <c r="AD44" i="64"/>
  <c r="P44" i="64"/>
  <c r="AE43" i="64"/>
  <c r="AD43" i="64"/>
  <c r="P43" i="64"/>
  <c r="AE42" i="64"/>
  <c r="AD42" i="64"/>
  <c r="P42" i="64"/>
  <c r="AE41" i="64"/>
  <c r="AD41" i="64"/>
  <c r="P41" i="64"/>
  <c r="AE40" i="64"/>
  <c r="AD40" i="64"/>
  <c r="AE39" i="64"/>
  <c r="AD39" i="64"/>
  <c r="AE38" i="64"/>
  <c r="AD38" i="64"/>
  <c r="AE37" i="64"/>
  <c r="AD37" i="64"/>
  <c r="AE36" i="64"/>
  <c r="AD36" i="64"/>
  <c r="AE35" i="64"/>
  <c r="AD35" i="64"/>
  <c r="AE34" i="64"/>
  <c r="AD34" i="64"/>
  <c r="AE33" i="64"/>
  <c r="AD33" i="64"/>
  <c r="AE32" i="64"/>
  <c r="AD32" i="64"/>
  <c r="AE31" i="64"/>
  <c r="AD31" i="64"/>
  <c r="AE30" i="64"/>
  <c r="AD30" i="64"/>
  <c r="AE29" i="64"/>
  <c r="AD29" i="64"/>
  <c r="H29" i="64"/>
  <c r="G29" i="64"/>
  <c r="F29" i="64"/>
  <c r="AE28" i="64"/>
  <c r="AD28" i="64"/>
  <c r="H28" i="64"/>
  <c r="G28" i="64"/>
  <c r="F28" i="64"/>
  <c r="AE27" i="64"/>
  <c r="AD27" i="64"/>
  <c r="H27" i="64"/>
  <c r="G27" i="64"/>
  <c r="F27" i="64"/>
  <c r="AE26" i="64"/>
  <c r="AD26" i="64"/>
  <c r="H26" i="64"/>
  <c r="G26" i="64"/>
  <c r="F26" i="64"/>
  <c r="AE25" i="64"/>
  <c r="AD25" i="64"/>
  <c r="H25" i="64"/>
  <c r="G25" i="64"/>
  <c r="F25" i="64"/>
  <c r="AE24" i="64"/>
  <c r="AD24" i="64"/>
  <c r="AE23" i="64"/>
  <c r="AD23" i="64"/>
  <c r="AE22" i="64"/>
  <c r="AD22" i="64"/>
  <c r="AE21" i="64"/>
  <c r="AD21" i="64"/>
  <c r="AE20" i="64"/>
  <c r="AD20" i="64"/>
  <c r="AE19" i="64"/>
  <c r="AD19" i="64"/>
  <c r="AE18" i="64"/>
  <c r="AD18" i="64"/>
  <c r="M18" i="64"/>
  <c r="C18" i="64"/>
  <c r="AE17" i="64"/>
  <c r="AD17" i="64"/>
  <c r="AE16" i="64"/>
  <c r="AD16" i="64"/>
  <c r="AE15" i="64"/>
  <c r="AD15" i="64"/>
  <c r="AE14" i="64"/>
  <c r="AD14" i="64"/>
  <c r="AE13" i="64"/>
  <c r="AD13" i="64"/>
  <c r="AE12" i="64"/>
  <c r="AD12" i="64"/>
  <c r="AE11" i="64"/>
  <c r="AD11" i="64"/>
  <c r="Q11" i="64"/>
  <c r="AE10" i="64"/>
  <c r="AD10" i="64"/>
  <c r="AE9" i="64"/>
  <c r="AD9" i="64"/>
  <c r="AE8" i="64"/>
  <c r="AD8" i="64"/>
  <c r="AE7" i="64"/>
  <c r="AD7" i="64"/>
  <c r="AE6" i="64"/>
  <c r="AD6" i="64"/>
  <c r="AE5" i="64"/>
  <c r="AD5" i="64"/>
  <c r="AE4" i="64"/>
  <c r="AD4" i="64"/>
  <c r="AE3" i="64"/>
  <c r="AD3" i="64"/>
  <c r="AE2" i="64"/>
  <c r="AD2" i="64"/>
  <c r="AE69" i="60"/>
  <c r="AD69" i="60"/>
  <c r="AE68" i="60"/>
  <c r="AD68" i="60"/>
  <c r="AE67" i="60"/>
  <c r="AD67" i="60"/>
  <c r="AE66" i="60"/>
  <c r="AD66" i="60"/>
  <c r="M66" i="60"/>
  <c r="H66" i="60"/>
  <c r="C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K50" i="60"/>
  <c r="K66" i="60" s="1"/>
  <c r="F50" i="60"/>
  <c r="F66" i="60" s="1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H35" i="60"/>
  <c r="G35" i="60"/>
  <c r="F35" i="60"/>
  <c r="AE34" i="60"/>
  <c r="AD34" i="60"/>
  <c r="H34" i="60"/>
  <c r="G34" i="60"/>
  <c r="F34" i="60"/>
  <c r="AE33" i="60"/>
  <c r="AD33" i="60"/>
  <c r="H33" i="60"/>
  <c r="G33" i="60"/>
  <c r="F33" i="60"/>
  <c r="AE32" i="60"/>
  <c r="AD32" i="60"/>
  <c r="H32" i="60"/>
  <c r="G32" i="60"/>
  <c r="F32" i="60"/>
  <c r="AE31" i="60"/>
  <c r="AD31" i="60"/>
  <c r="H31" i="60"/>
  <c r="G31" i="60"/>
  <c r="F31" i="60"/>
  <c r="AE30" i="60"/>
  <c r="AD30" i="60"/>
  <c r="H30" i="60"/>
  <c r="G30" i="60"/>
  <c r="F30" i="60"/>
  <c r="AE29" i="60"/>
  <c r="AD29" i="60"/>
  <c r="H29" i="60"/>
  <c r="G29" i="60"/>
  <c r="F29" i="60"/>
  <c r="AE28" i="60"/>
  <c r="AD28" i="60"/>
  <c r="H28" i="60"/>
  <c r="G28" i="60"/>
  <c r="F28" i="60"/>
  <c r="AE27" i="60"/>
  <c r="AD27" i="60"/>
  <c r="H27" i="60"/>
  <c r="G27" i="60"/>
  <c r="F27" i="60"/>
  <c r="AE26" i="60"/>
  <c r="AD26" i="60"/>
  <c r="H26" i="60"/>
  <c r="G26" i="60"/>
  <c r="F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F18" i="60"/>
  <c r="C18" i="60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M73" i="55"/>
  <c r="H73" i="55"/>
  <c r="C73" i="55"/>
  <c r="AE68" i="55"/>
  <c r="AD68" i="55"/>
  <c r="AE67" i="55"/>
  <c r="AD67" i="55"/>
  <c r="AE66" i="55"/>
  <c r="AD66" i="55"/>
  <c r="AE65" i="55"/>
  <c r="AD65" i="55"/>
  <c r="AE64" i="55"/>
  <c r="AD64" i="55"/>
  <c r="AE63" i="55"/>
  <c r="AD63" i="55"/>
  <c r="P63" i="55"/>
  <c r="AE62" i="55"/>
  <c r="AD62" i="55"/>
  <c r="P62" i="55"/>
  <c r="AE61" i="55"/>
  <c r="AD61" i="55"/>
  <c r="P61" i="55"/>
  <c r="AE60" i="55"/>
  <c r="AD60" i="55"/>
  <c r="P60" i="55"/>
  <c r="K60" i="55"/>
  <c r="AE59" i="55"/>
  <c r="AD59" i="55"/>
  <c r="P59" i="55"/>
  <c r="K59" i="55"/>
  <c r="F59" i="55"/>
  <c r="AE58" i="55"/>
  <c r="AD58" i="55"/>
  <c r="P58" i="55"/>
  <c r="K58" i="55"/>
  <c r="F58" i="55"/>
  <c r="AE57" i="55"/>
  <c r="AD57" i="55"/>
  <c r="P57" i="55"/>
  <c r="K57" i="55"/>
  <c r="F57" i="55"/>
  <c r="AE56" i="55"/>
  <c r="AD56" i="55"/>
  <c r="P56" i="55"/>
  <c r="AE55" i="55"/>
  <c r="AD55" i="55"/>
  <c r="P55" i="55"/>
  <c r="AE54" i="55"/>
  <c r="AD54" i="55"/>
  <c r="P54" i="55"/>
  <c r="AE53" i="55"/>
  <c r="AD53" i="55"/>
  <c r="P53" i="55"/>
  <c r="AE52" i="55"/>
  <c r="AD52" i="55"/>
  <c r="P52" i="55"/>
  <c r="AE51" i="55"/>
  <c r="AD51" i="55"/>
  <c r="P51" i="55"/>
  <c r="AE50" i="55"/>
  <c r="AD50" i="55"/>
  <c r="P50" i="55"/>
  <c r="AE49" i="55"/>
  <c r="AD49" i="55"/>
  <c r="P49" i="55"/>
  <c r="AE48" i="55"/>
  <c r="AD48" i="55"/>
  <c r="P48" i="55"/>
  <c r="AE47" i="55"/>
  <c r="AD47" i="55"/>
  <c r="P47" i="55"/>
  <c r="AE46" i="55"/>
  <c r="AD46" i="55"/>
  <c r="P46" i="55"/>
  <c r="AE45" i="55"/>
  <c r="AD45" i="55"/>
  <c r="P45" i="55"/>
  <c r="AE44" i="55"/>
  <c r="AD44" i="55"/>
  <c r="P44" i="55"/>
  <c r="AE43" i="55"/>
  <c r="AD43" i="55"/>
  <c r="P43" i="55"/>
  <c r="AE42" i="55"/>
  <c r="AD42" i="55"/>
  <c r="AE41" i="55"/>
  <c r="AD41" i="55"/>
  <c r="H41" i="55"/>
  <c r="G41" i="55"/>
  <c r="F41" i="55"/>
  <c r="AE40" i="55"/>
  <c r="AD40" i="55"/>
  <c r="H40" i="55"/>
  <c r="G40" i="55"/>
  <c r="F40" i="55"/>
  <c r="AE39" i="55"/>
  <c r="AD39" i="55"/>
  <c r="H39" i="55"/>
  <c r="G39" i="55"/>
  <c r="F39" i="55"/>
  <c r="AE38" i="55"/>
  <c r="AD38" i="55"/>
  <c r="H38" i="55"/>
  <c r="G38" i="55"/>
  <c r="F38" i="55"/>
  <c r="AE37" i="55"/>
  <c r="AD37" i="55"/>
  <c r="H37" i="55"/>
  <c r="G37" i="55"/>
  <c r="F37" i="55"/>
  <c r="AE36" i="55"/>
  <c r="AD36" i="55"/>
  <c r="H36" i="55"/>
  <c r="G36" i="55"/>
  <c r="F36" i="55"/>
  <c r="AE35" i="55"/>
  <c r="AD35" i="55"/>
  <c r="H35" i="55"/>
  <c r="G35" i="55"/>
  <c r="F35" i="55"/>
  <c r="AE34" i="55"/>
  <c r="AD34" i="55"/>
  <c r="H34" i="55"/>
  <c r="G34" i="55"/>
  <c r="F34" i="55"/>
  <c r="AE33" i="55"/>
  <c r="AD33" i="55"/>
  <c r="H33" i="55"/>
  <c r="G33" i="55"/>
  <c r="F33" i="55"/>
  <c r="AE32" i="55"/>
  <c r="AD32" i="55"/>
  <c r="H32" i="55"/>
  <c r="G32" i="55"/>
  <c r="F32" i="55"/>
  <c r="AE31" i="55"/>
  <c r="AD31" i="55"/>
  <c r="H31" i="55"/>
  <c r="G31" i="55"/>
  <c r="F31" i="55"/>
  <c r="AE30" i="55"/>
  <c r="AD30" i="55"/>
  <c r="H30" i="55"/>
  <c r="G30" i="55"/>
  <c r="F30" i="55"/>
  <c r="AE29" i="55"/>
  <c r="AD29" i="55"/>
  <c r="H29" i="55"/>
  <c r="G29" i="55"/>
  <c r="F29" i="55"/>
  <c r="AE28" i="55"/>
  <c r="AD28" i="55"/>
  <c r="H28" i="55"/>
  <c r="G28" i="55"/>
  <c r="F28" i="55"/>
  <c r="AE27" i="55"/>
  <c r="AD27" i="55"/>
  <c r="H27" i="55"/>
  <c r="G27" i="55"/>
  <c r="F27" i="55"/>
  <c r="AE26" i="55"/>
  <c r="AD26" i="55"/>
  <c r="H26" i="55"/>
  <c r="G26" i="55"/>
  <c r="F26" i="55"/>
  <c r="AE25" i="55"/>
  <c r="AD25" i="55"/>
  <c r="H25" i="55"/>
  <c r="G25" i="55"/>
  <c r="F25" i="55"/>
  <c r="AE24" i="55"/>
  <c r="AD24" i="55"/>
  <c r="AE23" i="55"/>
  <c r="AD23" i="55"/>
  <c r="AE22" i="55"/>
  <c r="AD22" i="55"/>
  <c r="AE21" i="55"/>
  <c r="AD21" i="55"/>
  <c r="AE20" i="55"/>
  <c r="AD20" i="55"/>
  <c r="AE19" i="55"/>
  <c r="AD19" i="55"/>
  <c r="AE18" i="55"/>
  <c r="AD18" i="55"/>
  <c r="M18" i="55"/>
  <c r="K18" i="55"/>
  <c r="H18" i="55"/>
  <c r="F18" i="55"/>
  <c r="C18" i="55"/>
  <c r="AE17" i="55"/>
  <c r="AD17" i="55"/>
  <c r="AE16" i="55"/>
  <c r="AD16" i="55"/>
  <c r="AE15" i="55"/>
  <c r="AD15" i="55"/>
  <c r="AE14" i="55"/>
  <c r="AD14" i="55"/>
  <c r="AE13" i="55"/>
  <c r="AD13" i="55"/>
  <c r="AE12" i="55"/>
  <c r="AD12" i="55"/>
  <c r="AE11" i="55"/>
  <c r="AD11" i="55"/>
  <c r="Q11" i="55"/>
  <c r="AE10" i="55"/>
  <c r="AD10" i="55"/>
  <c r="AE9" i="55"/>
  <c r="AD9" i="55"/>
  <c r="AE8" i="55"/>
  <c r="AD8" i="55"/>
  <c r="AE7" i="55"/>
  <c r="AD7" i="55"/>
  <c r="AE6" i="55"/>
  <c r="AD6" i="55"/>
  <c r="AE5" i="55"/>
  <c r="AD5" i="55"/>
  <c r="AE4" i="55"/>
  <c r="AD4" i="55"/>
  <c r="AE3" i="55"/>
  <c r="AD3" i="55"/>
  <c r="AE2" i="55"/>
  <c r="AD2" i="55"/>
  <c r="M100" i="57"/>
  <c r="H100" i="57"/>
  <c r="C100" i="57"/>
  <c r="AE68" i="57"/>
  <c r="AD68" i="57"/>
  <c r="K89" i="57"/>
  <c r="F89" i="57"/>
  <c r="AE67" i="57"/>
  <c r="AD67" i="57"/>
  <c r="K88" i="57"/>
  <c r="F88" i="57"/>
  <c r="AE66" i="57"/>
  <c r="AD66" i="57"/>
  <c r="K87" i="57"/>
  <c r="F87" i="57"/>
  <c r="AE65" i="57"/>
  <c r="AD65" i="57"/>
  <c r="K86" i="57"/>
  <c r="F86" i="57"/>
  <c r="AE64" i="57"/>
  <c r="AD64" i="57"/>
  <c r="K85" i="57"/>
  <c r="F85" i="57"/>
  <c r="AE63" i="57"/>
  <c r="AD63" i="57"/>
  <c r="P63" i="57"/>
  <c r="K84" i="57"/>
  <c r="F84" i="57"/>
  <c r="AE62" i="57"/>
  <c r="AD62" i="57"/>
  <c r="P62" i="57"/>
  <c r="AE61" i="57"/>
  <c r="AD61" i="57"/>
  <c r="P61" i="57"/>
  <c r="AE60" i="57"/>
  <c r="AD60" i="57"/>
  <c r="P60" i="57"/>
  <c r="AE59" i="57"/>
  <c r="AD59" i="57"/>
  <c r="P59" i="57"/>
  <c r="AE58" i="57"/>
  <c r="AD58" i="57"/>
  <c r="P58" i="57"/>
  <c r="AE57" i="57"/>
  <c r="AD57" i="57"/>
  <c r="P57" i="57"/>
  <c r="AE56" i="57"/>
  <c r="AD56" i="57"/>
  <c r="P56" i="57"/>
  <c r="H70" i="57"/>
  <c r="G70" i="57"/>
  <c r="F70" i="57"/>
  <c r="AE55" i="57"/>
  <c r="AD55" i="57"/>
  <c r="P55" i="57"/>
  <c r="H69" i="57"/>
  <c r="G69" i="57"/>
  <c r="F69" i="57"/>
  <c r="AE54" i="57"/>
  <c r="AD54" i="57"/>
  <c r="P54" i="57"/>
  <c r="H68" i="57"/>
  <c r="G68" i="57"/>
  <c r="F68" i="57"/>
  <c r="AE53" i="57"/>
  <c r="AD53" i="57"/>
  <c r="P53" i="57"/>
  <c r="H67" i="57"/>
  <c r="G67" i="57"/>
  <c r="F67" i="57"/>
  <c r="AE52" i="57"/>
  <c r="AD52" i="57"/>
  <c r="P52" i="57"/>
  <c r="H66" i="57"/>
  <c r="G66" i="57"/>
  <c r="F66" i="57"/>
  <c r="AE51" i="57"/>
  <c r="AD51" i="57"/>
  <c r="P51" i="57"/>
  <c r="H65" i="57"/>
  <c r="G65" i="57"/>
  <c r="F65" i="57"/>
  <c r="AE50" i="57"/>
  <c r="AD50" i="57"/>
  <c r="P50" i="57"/>
  <c r="H64" i="57"/>
  <c r="G64" i="57"/>
  <c r="F64" i="57"/>
  <c r="AE49" i="57"/>
  <c r="AD49" i="57"/>
  <c r="P49" i="57"/>
  <c r="H63" i="57"/>
  <c r="G63" i="57"/>
  <c r="F63" i="57"/>
  <c r="AE48" i="57"/>
  <c r="AD48" i="57"/>
  <c r="P48" i="57"/>
  <c r="AE47" i="57"/>
  <c r="AD47" i="57"/>
  <c r="P47" i="57"/>
  <c r="AE46" i="57"/>
  <c r="AD46" i="57"/>
  <c r="P46" i="57"/>
  <c r="H59" i="57"/>
  <c r="G59" i="57"/>
  <c r="F59" i="57"/>
  <c r="AE45" i="57"/>
  <c r="AD45" i="57"/>
  <c r="P45" i="57"/>
  <c r="H58" i="57"/>
  <c r="G58" i="57"/>
  <c r="F58" i="57"/>
  <c r="AE44" i="57"/>
  <c r="AD44" i="57"/>
  <c r="P44" i="57"/>
  <c r="H57" i="57"/>
  <c r="G57" i="57"/>
  <c r="F57" i="57"/>
  <c r="AE43" i="57"/>
  <c r="AD43" i="57"/>
  <c r="P43" i="57"/>
  <c r="H56" i="57"/>
  <c r="G56" i="57"/>
  <c r="F56" i="57"/>
  <c r="AE42" i="57"/>
  <c r="AD42" i="57"/>
  <c r="H55" i="57"/>
  <c r="G55" i="57"/>
  <c r="F55" i="57"/>
  <c r="AE41" i="57"/>
  <c r="AD41" i="57"/>
  <c r="H54" i="57"/>
  <c r="G54" i="57"/>
  <c r="F54" i="57"/>
  <c r="AE40" i="57"/>
  <c r="AD40" i="57"/>
  <c r="H53" i="57"/>
  <c r="G53" i="57"/>
  <c r="F53" i="57"/>
  <c r="AE39" i="57"/>
  <c r="AD39" i="57"/>
  <c r="H52" i="57"/>
  <c r="G52" i="57"/>
  <c r="F52" i="57"/>
  <c r="AE38" i="57"/>
  <c r="AD38" i="57"/>
  <c r="H51" i="57"/>
  <c r="G51" i="57"/>
  <c r="F51" i="57"/>
  <c r="AE37" i="57"/>
  <c r="AD37" i="57"/>
  <c r="H50" i="57"/>
  <c r="G50" i="57"/>
  <c r="F50" i="57"/>
  <c r="AE36" i="57"/>
  <c r="AD36" i="57"/>
  <c r="H49" i="57"/>
  <c r="G49" i="57"/>
  <c r="F49" i="57"/>
  <c r="AE35" i="57"/>
  <c r="AD35" i="57"/>
  <c r="H48" i="57"/>
  <c r="G48" i="57"/>
  <c r="F48" i="57"/>
  <c r="AE34" i="57"/>
  <c r="AD34" i="57"/>
  <c r="H47" i="57"/>
  <c r="G47" i="57"/>
  <c r="F47" i="57"/>
  <c r="AE33" i="57"/>
  <c r="AD33" i="57"/>
  <c r="H46" i="57"/>
  <c r="G46" i="57"/>
  <c r="F46" i="57"/>
  <c r="AE32" i="57"/>
  <c r="AD32" i="57"/>
  <c r="H45" i="57"/>
  <c r="G45" i="57"/>
  <c r="F45" i="57"/>
  <c r="AE31" i="57"/>
  <c r="AD31" i="57"/>
  <c r="H44" i="57"/>
  <c r="G44" i="57"/>
  <c r="F44" i="57"/>
  <c r="AE30" i="57"/>
  <c r="AD30" i="57"/>
  <c r="H43" i="57"/>
  <c r="G43" i="57"/>
  <c r="F43" i="57"/>
  <c r="AE29" i="57"/>
  <c r="AD29" i="57"/>
  <c r="H42" i="57"/>
  <c r="G42" i="57"/>
  <c r="F42" i="57"/>
  <c r="AE28" i="57"/>
  <c r="AD28" i="57"/>
  <c r="H41" i="57"/>
  <c r="G41" i="57"/>
  <c r="F41" i="57"/>
  <c r="AE27" i="57"/>
  <c r="AD27" i="57"/>
  <c r="H40" i="57"/>
  <c r="G40" i="57"/>
  <c r="F40" i="57"/>
  <c r="AE26" i="57"/>
  <c r="AD26" i="57"/>
  <c r="H39" i="57"/>
  <c r="G39" i="57"/>
  <c r="F39" i="57"/>
  <c r="AE25" i="57"/>
  <c r="AD25" i="57"/>
  <c r="H38" i="57"/>
  <c r="G38" i="57"/>
  <c r="F38" i="57"/>
  <c r="AE24" i="57"/>
  <c r="AD24" i="57"/>
  <c r="AE23" i="57"/>
  <c r="AD23" i="57"/>
  <c r="AE22" i="57"/>
  <c r="AD22" i="57"/>
  <c r="AE21" i="57"/>
  <c r="AD21" i="57"/>
  <c r="AE20" i="57"/>
  <c r="AD20" i="57"/>
  <c r="AE19" i="57"/>
  <c r="AD19" i="57"/>
  <c r="AE18" i="57"/>
  <c r="AD18" i="57"/>
  <c r="M18" i="57"/>
  <c r="K18" i="57"/>
  <c r="H18" i="57"/>
  <c r="C18" i="57"/>
  <c r="AE17" i="57"/>
  <c r="AD17" i="57"/>
  <c r="AE16" i="57"/>
  <c r="AD16" i="57"/>
  <c r="AE15" i="57"/>
  <c r="AD15" i="57"/>
  <c r="AE14" i="57"/>
  <c r="AD14" i="57"/>
  <c r="AE13" i="57"/>
  <c r="AD13" i="57"/>
  <c r="AE12" i="57"/>
  <c r="AD12" i="57"/>
  <c r="AE11" i="57"/>
  <c r="AD11" i="57"/>
  <c r="Q11" i="57"/>
  <c r="AE10" i="57"/>
  <c r="AD10" i="57"/>
  <c r="AE9" i="57"/>
  <c r="AD9" i="57"/>
  <c r="AE8" i="57"/>
  <c r="AD8" i="57"/>
  <c r="AE7" i="57"/>
  <c r="AD7" i="57"/>
  <c r="AE6" i="57"/>
  <c r="AD6" i="57"/>
  <c r="AE5" i="57"/>
  <c r="AD5" i="57"/>
  <c r="AE4" i="57"/>
  <c r="AD4" i="57"/>
  <c r="AE3" i="57"/>
  <c r="AD3" i="57"/>
  <c r="AE2" i="57"/>
  <c r="AD2" i="57"/>
  <c r="F18" i="57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H59" i="56"/>
  <c r="G59" i="56"/>
  <c r="F59" i="56"/>
  <c r="AE58" i="56"/>
  <c r="AD58" i="56"/>
  <c r="P58" i="56"/>
  <c r="H58" i="56"/>
  <c r="G58" i="56"/>
  <c r="F58" i="56"/>
  <c r="AE57" i="56"/>
  <c r="AD57" i="56"/>
  <c r="P57" i="56"/>
  <c r="H57" i="56"/>
  <c r="G57" i="56"/>
  <c r="F57" i="56"/>
  <c r="AE56" i="56"/>
  <c r="AD56" i="56"/>
  <c r="P56" i="56"/>
  <c r="H56" i="56"/>
  <c r="G56" i="56"/>
  <c r="F56" i="56"/>
  <c r="AE55" i="56"/>
  <c r="AD55" i="56"/>
  <c r="P55" i="56"/>
  <c r="AE54" i="56"/>
  <c r="AD54" i="56"/>
  <c r="P54" i="56"/>
  <c r="AE53" i="56"/>
  <c r="AD53" i="56"/>
  <c r="P53" i="56"/>
  <c r="M53" i="56"/>
  <c r="L53" i="56"/>
  <c r="H53" i="56"/>
  <c r="C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K38" i="56"/>
  <c r="AE37" i="56"/>
  <c r="AD37" i="56"/>
  <c r="K37" i="56"/>
  <c r="F37" i="56"/>
  <c r="F53" i="56" s="1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F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Q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AE68" i="33"/>
  <c r="AD68" i="33"/>
  <c r="AE67" i="33"/>
  <c r="AD67" i="33"/>
  <c r="AE66" i="33"/>
  <c r="AD66" i="33"/>
  <c r="H66" i="33"/>
  <c r="G66" i="33"/>
  <c r="AE65" i="33"/>
  <c r="AD65" i="33"/>
  <c r="H65" i="33"/>
  <c r="G65" i="33"/>
  <c r="AE64" i="33"/>
  <c r="AD64" i="33"/>
  <c r="H64" i="33"/>
  <c r="G64" i="33"/>
  <c r="AE63" i="33"/>
  <c r="AD63" i="33"/>
  <c r="P63" i="33"/>
  <c r="H63" i="33"/>
  <c r="G63" i="33"/>
  <c r="AE62" i="33"/>
  <c r="AD62" i="33"/>
  <c r="P62" i="33"/>
  <c r="H62" i="33"/>
  <c r="G62" i="33"/>
  <c r="AE61" i="33"/>
  <c r="AD61" i="33"/>
  <c r="P61" i="33"/>
  <c r="H61" i="33"/>
  <c r="G61" i="33"/>
  <c r="AE60" i="33"/>
  <c r="AD60" i="33"/>
  <c r="P60" i="33"/>
  <c r="AE59" i="33"/>
  <c r="AD59" i="33"/>
  <c r="P59" i="33"/>
  <c r="AE58" i="33"/>
  <c r="AD58" i="33"/>
  <c r="P58" i="33"/>
  <c r="AE57" i="33"/>
  <c r="AD57" i="33"/>
  <c r="P57" i="33"/>
  <c r="H57" i="33"/>
  <c r="C57" i="33"/>
  <c r="AE56" i="33"/>
  <c r="AD56" i="33"/>
  <c r="P56" i="33"/>
  <c r="F56" i="33"/>
  <c r="AE55" i="33"/>
  <c r="AD55" i="33"/>
  <c r="P55" i="33"/>
  <c r="F55" i="33"/>
  <c r="AE54" i="33"/>
  <c r="AD54" i="33"/>
  <c r="P54" i="33"/>
  <c r="F54" i="33"/>
  <c r="AE53" i="33"/>
  <c r="AD53" i="33"/>
  <c r="P53" i="33"/>
  <c r="F53" i="33"/>
  <c r="AE52" i="33"/>
  <c r="AD52" i="33"/>
  <c r="P52" i="33"/>
  <c r="F52" i="33"/>
  <c r="AE51" i="33"/>
  <c r="AD51" i="33"/>
  <c r="P51" i="33"/>
  <c r="F51" i="33"/>
  <c r="AE50" i="33"/>
  <c r="AD50" i="33"/>
  <c r="P50" i="33"/>
  <c r="F50" i="33"/>
  <c r="AE49" i="33"/>
  <c r="AD49" i="33"/>
  <c r="P49" i="33"/>
  <c r="F49" i="33"/>
  <c r="AE48" i="33"/>
  <c r="AD48" i="33"/>
  <c r="P48" i="33"/>
  <c r="K48" i="33"/>
  <c r="F48" i="33"/>
  <c r="AE47" i="33"/>
  <c r="AD47" i="33"/>
  <c r="P47" i="33"/>
  <c r="K47" i="33"/>
  <c r="F47" i="33"/>
  <c r="AE46" i="33"/>
  <c r="AD46" i="33"/>
  <c r="P46" i="33"/>
  <c r="K46" i="33"/>
  <c r="F46" i="33"/>
  <c r="AE45" i="33"/>
  <c r="AD45" i="33"/>
  <c r="P45" i="33"/>
  <c r="K45" i="33"/>
  <c r="F45" i="33"/>
  <c r="AE44" i="33"/>
  <c r="AD44" i="33"/>
  <c r="P44" i="33"/>
  <c r="K44" i="33"/>
  <c r="F44" i="33"/>
  <c r="AE43" i="33"/>
  <c r="AD43" i="33"/>
  <c r="P43" i="33"/>
  <c r="K43" i="33"/>
  <c r="F43" i="33"/>
  <c r="AE42" i="33"/>
  <c r="AD42" i="33"/>
  <c r="K42" i="33"/>
  <c r="F42" i="33"/>
  <c r="AE41" i="33"/>
  <c r="AD41" i="33"/>
  <c r="K41" i="33"/>
  <c r="F41" i="33"/>
  <c r="AE40" i="33"/>
  <c r="AD40" i="33"/>
  <c r="AE39" i="33"/>
  <c r="AD39" i="33"/>
  <c r="AE38" i="33"/>
  <c r="AD38" i="33"/>
  <c r="AE37" i="33"/>
  <c r="AD37" i="33"/>
  <c r="AE36" i="33"/>
  <c r="AD36" i="33"/>
  <c r="AE35" i="33"/>
  <c r="AD35" i="33"/>
  <c r="AE34" i="33"/>
  <c r="AD34" i="33"/>
  <c r="AE33" i="33"/>
  <c r="AD33" i="33"/>
  <c r="AE32" i="33"/>
  <c r="AD32" i="33"/>
  <c r="AE31" i="33"/>
  <c r="AD31" i="33"/>
  <c r="AE30" i="33"/>
  <c r="AD30" i="33"/>
  <c r="AE29" i="33"/>
  <c r="AD29" i="33"/>
  <c r="AE28" i="33"/>
  <c r="AD28" i="33"/>
  <c r="AE27" i="33"/>
  <c r="AD27" i="33"/>
  <c r="AE26" i="33"/>
  <c r="AD26" i="33"/>
  <c r="AE25" i="33"/>
  <c r="AD25" i="33"/>
  <c r="AE24" i="33"/>
  <c r="AD24" i="33"/>
  <c r="AE23" i="33"/>
  <c r="AD23" i="33"/>
  <c r="AE22" i="33"/>
  <c r="AD22" i="33"/>
  <c r="AE21" i="33"/>
  <c r="AD21" i="33"/>
  <c r="AE20" i="33"/>
  <c r="AD20" i="33"/>
  <c r="AE19" i="33"/>
  <c r="AD19" i="33"/>
  <c r="AE18" i="33"/>
  <c r="AD18" i="33"/>
  <c r="M18" i="33"/>
  <c r="L18" i="33"/>
  <c r="K18" i="33"/>
  <c r="H18" i="33"/>
  <c r="F18" i="33"/>
  <c r="C18" i="33"/>
  <c r="AE17" i="33"/>
  <c r="AD17" i="33"/>
  <c r="AE16" i="33"/>
  <c r="AD16" i="33"/>
  <c r="AE15" i="33"/>
  <c r="AD15" i="33"/>
  <c r="AE14" i="33"/>
  <c r="AD14" i="33"/>
  <c r="AE13" i="33"/>
  <c r="AD13" i="33"/>
  <c r="AE12" i="33"/>
  <c r="AD12" i="33"/>
  <c r="AE11" i="33"/>
  <c r="AD11" i="33"/>
  <c r="Q11" i="33"/>
  <c r="AE10" i="33"/>
  <c r="AD10" i="33"/>
  <c r="AE9" i="33"/>
  <c r="AD9" i="33"/>
  <c r="AE8" i="33"/>
  <c r="AD8" i="33"/>
  <c r="AE7" i="33"/>
  <c r="AD7" i="33"/>
  <c r="AE6" i="33"/>
  <c r="AD6" i="33"/>
  <c r="AE5" i="33"/>
  <c r="AD5" i="33"/>
  <c r="AE4" i="33"/>
  <c r="AD4" i="33"/>
  <c r="AE3" i="33"/>
  <c r="AD3" i="33"/>
  <c r="AE2" i="33"/>
  <c r="AD2" i="33"/>
  <c r="R274" i="38"/>
  <c r="M274" i="38"/>
  <c r="N274" i="38" s="1"/>
  <c r="K274" i="38"/>
  <c r="L274" i="38" s="1"/>
  <c r="H274" i="38"/>
  <c r="G274" i="38"/>
  <c r="E274" i="38"/>
  <c r="D274" i="38"/>
  <c r="R273" i="38"/>
  <c r="M273" i="38"/>
  <c r="T273" i="38" s="1"/>
  <c r="K273" i="38"/>
  <c r="L273" i="38" s="1"/>
  <c r="H273" i="38"/>
  <c r="G273" i="38"/>
  <c r="E273" i="38"/>
  <c r="D273" i="38"/>
  <c r="R272" i="38"/>
  <c r="M272" i="38"/>
  <c r="N272" i="38" s="1"/>
  <c r="K272" i="38"/>
  <c r="L272" i="38" s="1"/>
  <c r="H272" i="38"/>
  <c r="G272" i="38"/>
  <c r="E272" i="38"/>
  <c r="D272" i="38"/>
  <c r="R271" i="38"/>
  <c r="M271" i="38"/>
  <c r="N271" i="38" s="1"/>
  <c r="K271" i="38"/>
  <c r="L271" i="38" s="1"/>
  <c r="H271" i="38"/>
  <c r="G271" i="38"/>
  <c r="E271" i="38"/>
  <c r="D271" i="38"/>
  <c r="R270" i="38"/>
  <c r="M270" i="38"/>
  <c r="T270" i="38" s="1"/>
  <c r="K270" i="38"/>
  <c r="L270" i="38" s="1"/>
  <c r="H270" i="38"/>
  <c r="G270" i="38"/>
  <c r="E270" i="38"/>
  <c r="D270" i="38"/>
  <c r="R269" i="38"/>
  <c r="M269" i="38"/>
  <c r="T269" i="38" s="1"/>
  <c r="K269" i="38"/>
  <c r="L269" i="38" s="1"/>
  <c r="H269" i="38"/>
  <c r="G269" i="38"/>
  <c r="E269" i="38"/>
  <c r="D269" i="38"/>
  <c r="R268" i="38"/>
  <c r="M268" i="38"/>
  <c r="K268" i="38"/>
  <c r="L268" i="38" s="1"/>
  <c r="H268" i="38"/>
  <c r="G268" i="38"/>
  <c r="E268" i="38"/>
  <c r="D268" i="38"/>
  <c r="R267" i="38"/>
  <c r="M267" i="38"/>
  <c r="N267" i="38" s="1"/>
  <c r="K267" i="38"/>
  <c r="L267" i="38" s="1"/>
  <c r="H267" i="38"/>
  <c r="G267" i="38"/>
  <c r="E267" i="38"/>
  <c r="D267" i="38"/>
  <c r="R266" i="38"/>
  <c r="M266" i="38"/>
  <c r="T266" i="38" s="1"/>
  <c r="K266" i="38"/>
  <c r="L266" i="38" s="1"/>
  <c r="H266" i="38"/>
  <c r="G266" i="38"/>
  <c r="E266" i="38"/>
  <c r="D266" i="38"/>
  <c r="R265" i="38"/>
  <c r="M265" i="38"/>
  <c r="N265" i="38" s="1"/>
  <c r="K265" i="38"/>
  <c r="L265" i="38" s="1"/>
  <c r="H265" i="38"/>
  <c r="G265" i="38"/>
  <c r="E265" i="38"/>
  <c r="D265" i="38"/>
  <c r="R264" i="38"/>
  <c r="M264" i="38"/>
  <c r="T264" i="38" s="1"/>
  <c r="K264" i="38"/>
  <c r="L264" i="38" s="1"/>
  <c r="H264" i="38"/>
  <c r="G264" i="38"/>
  <c r="E264" i="38"/>
  <c r="D264" i="38"/>
  <c r="R263" i="38"/>
  <c r="M263" i="38"/>
  <c r="K263" i="38"/>
  <c r="L263" i="38" s="1"/>
  <c r="H263" i="38"/>
  <c r="G263" i="38"/>
  <c r="E263" i="38"/>
  <c r="D263" i="38"/>
  <c r="R262" i="38"/>
  <c r="M262" i="38"/>
  <c r="N262" i="38" s="1"/>
  <c r="K262" i="38"/>
  <c r="L262" i="38" s="1"/>
  <c r="H262" i="38"/>
  <c r="G262" i="38"/>
  <c r="E262" i="38"/>
  <c r="D262" i="38"/>
  <c r="R261" i="38"/>
  <c r="M261" i="38"/>
  <c r="N261" i="38" s="1"/>
  <c r="K261" i="38"/>
  <c r="L261" i="38" s="1"/>
  <c r="H261" i="38"/>
  <c r="G261" i="38"/>
  <c r="E261" i="38"/>
  <c r="D261" i="38"/>
  <c r="R260" i="38"/>
  <c r="M260" i="38"/>
  <c r="N260" i="38" s="1"/>
  <c r="K260" i="38"/>
  <c r="L260" i="38" s="1"/>
  <c r="H260" i="38"/>
  <c r="G260" i="38"/>
  <c r="E260" i="38"/>
  <c r="D260" i="38"/>
  <c r="R259" i="38"/>
  <c r="M259" i="38"/>
  <c r="N259" i="38" s="1"/>
  <c r="H259" i="38"/>
  <c r="G259" i="38"/>
  <c r="E259" i="38"/>
  <c r="D259" i="38"/>
  <c r="I258" i="38"/>
  <c r="K259" i="38" s="1"/>
  <c r="L259" i="38" s="1"/>
  <c r="H258" i="38"/>
  <c r="G258" i="38"/>
  <c r="E258" i="38"/>
  <c r="D258" i="38"/>
  <c r="R257" i="38"/>
  <c r="M257" i="38"/>
  <c r="N257" i="38" s="1"/>
  <c r="K257" i="38"/>
  <c r="L257" i="38" s="1"/>
  <c r="H257" i="38"/>
  <c r="G257" i="38"/>
  <c r="E257" i="38"/>
  <c r="D257" i="38"/>
  <c r="R256" i="38"/>
  <c r="M256" i="38"/>
  <c r="T256" i="38" s="1"/>
  <c r="K256" i="38"/>
  <c r="L256" i="38" s="1"/>
  <c r="H256" i="38"/>
  <c r="G256" i="38"/>
  <c r="E256" i="38"/>
  <c r="D256" i="38"/>
  <c r="R255" i="38"/>
  <c r="M255" i="38"/>
  <c r="N255" i="38" s="1"/>
  <c r="K255" i="38"/>
  <c r="L255" i="38" s="1"/>
  <c r="H255" i="38"/>
  <c r="G255" i="38"/>
  <c r="E255" i="38"/>
  <c r="D255" i="38"/>
  <c r="R254" i="38"/>
  <c r="M254" i="38"/>
  <c r="N254" i="38" s="1"/>
  <c r="K254" i="38"/>
  <c r="L254" i="38" s="1"/>
  <c r="H254" i="38"/>
  <c r="G254" i="38"/>
  <c r="E254" i="38"/>
  <c r="D254" i="38"/>
  <c r="R253" i="38"/>
  <c r="M253" i="38"/>
  <c r="N253" i="38" s="1"/>
  <c r="H253" i="38"/>
  <c r="G253" i="38"/>
  <c r="E253" i="38"/>
  <c r="D253" i="38"/>
  <c r="I252" i="38"/>
  <c r="H252" i="38"/>
  <c r="G252" i="38"/>
  <c r="E252" i="38"/>
  <c r="D252" i="38"/>
  <c r="R251" i="38"/>
  <c r="M251" i="38"/>
  <c r="T251" i="38" s="1"/>
  <c r="K251" i="38"/>
  <c r="L251" i="38" s="1"/>
  <c r="H251" i="38"/>
  <c r="G251" i="38"/>
  <c r="E251" i="38"/>
  <c r="D251" i="38"/>
  <c r="R250" i="38"/>
  <c r="M250" i="38"/>
  <c r="N250" i="38" s="1"/>
  <c r="K250" i="38"/>
  <c r="L250" i="38" s="1"/>
  <c r="H250" i="38"/>
  <c r="G250" i="38"/>
  <c r="E250" i="38"/>
  <c r="D250" i="38"/>
  <c r="R249" i="38"/>
  <c r="M249" i="38"/>
  <c r="N249" i="38" s="1"/>
  <c r="K249" i="38"/>
  <c r="L249" i="38" s="1"/>
  <c r="H249" i="38"/>
  <c r="G249" i="38"/>
  <c r="E249" i="38"/>
  <c r="D249" i="38"/>
  <c r="R248" i="38"/>
  <c r="M248" i="38"/>
  <c r="T248" i="38" s="1"/>
  <c r="K248" i="38"/>
  <c r="L248" i="38" s="1"/>
  <c r="H248" i="38"/>
  <c r="G248" i="38"/>
  <c r="E248" i="38"/>
  <c r="D248" i="38"/>
  <c r="R247" i="38"/>
  <c r="M247" i="38"/>
  <c r="T247" i="38" s="1"/>
  <c r="K247" i="38"/>
  <c r="L247" i="38" s="1"/>
  <c r="H247" i="38"/>
  <c r="G247" i="38"/>
  <c r="E247" i="38"/>
  <c r="D247" i="38"/>
  <c r="R246" i="38"/>
  <c r="M246" i="38"/>
  <c r="T246" i="38" s="1"/>
  <c r="K246" i="38"/>
  <c r="L246" i="38" s="1"/>
  <c r="H246" i="38"/>
  <c r="G246" i="38"/>
  <c r="E246" i="38"/>
  <c r="D246" i="38"/>
  <c r="R245" i="38"/>
  <c r="M245" i="38"/>
  <c r="N245" i="38" s="1"/>
  <c r="K245" i="38"/>
  <c r="L245" i="38" s="1"/>
  <c r="H245" i="38"/>
  <c r="G245" i="38"/>
  <c r="E245" i="38"/>
  <c r="D245" i="38"/>
  <c r="R244" i="38"/>
  <c r="M244" i="38"/>
  <c r="T244" i="38" s="1"/>
  <c r="K244" i="38"/>
  <c r="L244" i="38" s="1"/>
  <c r="H244" i="38"/>
  <c r="G244" i="38"/>
  <c r="E244" i="38"/>
  <c r="D244" i="38"/>
  <c r="R243" i="38"/>
  <c r="M243" i="38"/>
  <c r="T243" i="38" s="1"/>
  <c r="K243" i="38"/>
  <c r="L243" i="38" s="1"/>
  <c r="H243" i="38"/>
  <c r="G243" i="38"/>
  <c r="E243" i="38"/>
  <c r="D243" i="38"/>
  <c r="R242" i="38"/>
  <c r="M242" i="38"/>
  <c r="T242" i="38" s="1"/>
  <c r="K242" i="38"/>
  <c r="L242" i="38" s="1"/>
  <c r="H242" i="38"/>
  <c r="G242" i="38"/>
  <c r="E242" i="38"/>
  <c r="D242" i="38"/>
  <c r="R241" i="38"/>
  <c r="M241" i="38"/>
  <c r="N241" i="38" s="1"/>
  <c r="H241" i="38"/>
  <c r="G241" i="38"/>
  <c r="E241" i="38"/>
  <c r="D241" i="38"/>
  <c r="I240" i="38"/>
  <c r="K241" i="38" s="1"/>
  <c r="L241" i="38" s="1"/>
  <c r="H240" i="38"/>
  <c r="G240" i="38"/>
  <c r="E240" i="38"/>
  <c r="D240" i="38"/>
  <c r="R239" i="38"/>
  <c r="M239" i="38"/>
  <c r="N239" i="38" s="1"/>
  <c r="K239" i="38"/>
  <c r="L239" i="38" s="1"/>
  <c r="H239" i="38"/>
  <c r="G239" i="38"/>
  <c r="E239" i="38"/>
  <c r="D239" i="38"/>
  <c r="R238" i="38"/>
  <c r="M238" i="38"/>
  <c r="K238" i="38"/>
  <c r="L238" i="38" s="1"/>
  <c r="H238" i="38"/>
  <c r="G238" i="38"/>
  <c r="E238" i="38"/>
  <c r="D238" i="38"/>
  <c r="R237" i="38"/>
  <c r="M237" i="38"/>
  <c r="N237" i="38" s="1"/>
  <c r="H237" i="38"/>
  <c r="G237" i="38"/>
  <c r="E237" i="38"/>
  <c r="D237" i="38"/>
  <c r="I236" i="38"/>
  <c r="M236" i="38" s="1"/>
  <c r="H236" i="38"/>
  <c r="G236" i="38"/>
  <c r="E236" i="38"/>
  <c r="D236" i="38"/>
  <c r="R235" i="38"/>
  <c r="M235" i="38"/>
  <c r="T235" i="38" s="1"/>
  <c r="K235" i="38"/>
  <c r="L235" i="38" s="1"/>
  <c r="H235" i="38"/>
  <c r="G235" i="38"/>
  <c r="E235" i="38"/>
  <c r="D235" i="38"/>
  <c r="R234" i="38"/>
  <c r="M234" i="38"/>
  <c r="T234" i="38" s="1"/>
  <c r="H234" i="38"/>
  <c r="G234" i="38"/>
  <c r="E234" i="38"/>
  <c r="D234" i="38"/>
  <c r="I233" i="38"/>
  <c r="H233" i="38"/>
  <c r="G233" i="38"/>
  <c r="E233" i="38"/>
  <c r="D233" i="38"/>
  <c r="R232" i="38"/>
  <c r="M232" i="38"/>
  <c r="T232" i="38" s="1"/>
  <c r="K232" i="38"/>
  <c r="L232" i="38" s="1"/>
  <c r="H232" i="38"/>
  <c r="G232" i="38"/>
  <c r="E232" i="38"/>
  <c r="D232" i="38"/>
  <c r="R231" i="38"/>
  <c r="M231" i="38"/>
  <c r="T231" i="38" s="1"/>
  <c r="K231" i="38"/>
  <c r="L231" i="38" s="1"/>
  <c r="H231" i="38"/>
  <c r="G231" i="38"/>
  <c r="E231" i="38"/>
  <c r="D231" i="38"/>
  <c r="R230" i="38"/>
  <c r="M230" i="38"/>
  <c r="N230" i="38" s="1"/>
  <c r="K230" i="38"/>
  <c r="L230" i="38" s="1"/>
  <c r="H230" i="38"/>
  <c r="G230" i="38"/>
  <c r="E230" i="38"/>
  <c r="D230" i="38"/>
  <c r="R229" i="38"/>
  <c r="M229" i="38"/>
  <c r="K229" i="38"/>
  <c r="L229" i="38" s="1"/>
  <c r="H229" i="38"/>
  <c r="G229" i="38"/>
  <c r="E229" i="38"/>
  <c r="D229" i="38"/>
  <c r="R228" i="38"/>
  <c r="M228" i="38"/>
  <c r="T228" i="38" s="1"/>
  <c r="H228" i="38"/>
  <c r="G228" i="38"/>
  <c r="E228" i="38"/>
  <c r="D228" i="38"/>
  <c r="I227" i="38"/>
  <c r="H227" i="38"/>
  <c r="G227" i="38"/>
  <c r="E227" i="38"/>
  <c r="D227" i="38"/>
  <c r="R226" i="38"/>
  <c r="M226" i="38"/>
  <c r="T226" i="38" s="1"/>
  <c r="K226" i="38"/>
  <c r="L226" i="38" s="1"/>
  <c r="H226" i="38"/>
  <c r="G226" i="38"/>
  <c r="E226" i="38"/>
  <c r="D226" i="38"/>
  <c r="R225" i="38"/>
  <c r="M225" i="38"/>
  <c r="T225" i="38" s="1"/>
  <c r="K225" i="38"/>
  <c r="L225" i="38" s="1"/>
  <c r="H225" i="38"/>
  <c r="G225" i="38"/>
  <c r="E225" i="38"/>
  <c r="D225" i="38"/>
  <c r="R224" i="38"/>
  <c r="M224" i="38"/>
  <c r="T224" i="38" s="1"/>
  <c r="K224" i="38"/>
  <c r="L224" i="38" s="1"/>
  <c r="H224" i="38"/>
  <c r="G224" i="38"/>
  <c r="E224" i="38"/>
  <c r="D224" i="38"/>
  <c r="R223" i="38"/>
  <c r="M223" i="38"/>
  <c r="N223" i="38" s="1"/>
  <c r="K223" i="38"/>
  <c r="L223" i="38" s="1"/>
  <c r="H223" i="38"/>
  <c r="G223" i="38"/>
  <c r="E223" i="38"/>
  <c r="D223" i="38"/>
  <c r="R222" i="38"/>
  <c r="M222" i="38"/>
  <c r="T222" i="38" s="1"/>
  <c r="K222" i="38"/>
  <c r="L222" i="38" s="1"/>
  <c r="H222" i="38"/>
  <c r="G222" i="38"/>
  <c r="E222" i="38"/>
  <c r="D222" i="38"/>
  <c r="R221" i="38"/>
  <c r="M221" i="38"/>
  <c r="T221" i="38" s="1"/>
  <c r="K221" i="38"/>
  <c r="L221" i="38" s="1"/>
  <c r="H221" i="38"/>
  <c r="G221" i="38"/>
  <c r="E221" i="38"/>
  <c r="D221" i="38"/>
  <c r="R220" i="38"/>
  <c r="M220" i="38"/>
  <c r="T220" i="38" s="1"/>
  <c r="K220" i="38"/>
  <c r="L220" i="38" s="1"/>
  <c r="H220" i="38"/>
  <c r="G220" i="38"/>
  <c r="E220" i="38"/>
  <c r="D220" i="38"/>
  <c r="R219" i="38"/>
  <c r="M219" i="38"/>
  <c r="N219" i="38" s="1"/>
  <c r="K219" i="38"/>
  <c r="L219" i="38" s="1"/>
  <c r="H219" i="38"/>
  <c r="G219" i="38"/>
  <c r="E219" i="38"/>
  <c r="D219" i="38"/>
  <c r="R218" i="38"/>
  <c r="M218" i="38"/>
  <c r="K218" i="38"/>
  <c r="L218" i="38" s="1"/>
  <c r="H218" i="38"/>
  <c r="G218" i="38"/>
  <c r="E218" i="38"/>
  <c r="D218" i="38"/>
  <c r="R217" i="38"/>
  <c r="M217" i="38"/>
  <c r="T217" i="38" s="1"/>
  <c r="K217" i="38"/>
  <c r="L217" i="38" s="1"/>
  <c r="H217" i="38"/>
  <c r="G217" i="38"/>
  <c r="E217" i="38"/>
  <c r="D217" i="38"/>
  <c r="R216" i="38"/>
  <c r="M216" i="38"/>
  <c r="N216" i="38" s="1"/>
  <c r="K216" i="38"/>
  <c r="L216" i="38" s="1"/>
  <c r="H216" i="38"/>
  <c r="G216" i="38"/>
  <c r="E216" i="38"/>
  <c r="D216" i="38"/>
  <c r="R215" i="38"/>
  <c r="M215" i="38"/>
  <c r="N215" i="38" s="1"/>
  <c r="K215" i="38"/>
  <c r="L215" i="38" s="1"/>
  <c r="H215" i="38"/>
  <c r="G215" i="38"/>
  <c r="E215" i="38"/>
  <c r="D215" i="38"/>
  <c r="R214" i="38"/>
  <c r="M214" i="38"/>
  <c r="K214" i="38"/>
  <c r="L214" i="38" s="1"/>
  <c r="H214" i="38"/>
  <c r="G214" i="38"/>
  <c r="E214" i="38"/>
  <c r="D214" i="38"/>
  <c r="R213" i="38"/>
  <c r="M213" i="38"/>
  <c r="T213" i="38" s="1"/>
  <c r="K213" i="38"/>
  <c r="L213" i="38" s="1"/>
  <c r="H213" i="38"/>
  <c r="G213" i="38"/>
  <c r="E213" i="38"/>
  <c r="D213" i="38"/>
  <c r="R212" i="38"/>
  <c r="M212" i="38"/>
  <c r="K212" i="38"/>
  <c r="L212" i="38" s="1"/>
  <c r="H212" i="38"/>
  <c r="G212" i="38"/>
  <c r="E212" i="38"/>
  <c r="D212" i="38"/>
  <c r="R211" i="38"/>
  <c r="M211" i="38"/>
  <c r="N211" i="38" s="1"/>
  <c r="K211" i="38"/>
  <c r="L211" i="38" s="1"/>
  <c r="H211" i="38"/>
  <c r="G211" i="38"/>
  <c r="E211" i="38"/>
  <c r="D211" i="38"/>
  <c r="R210" i="38"/>
  <c r="M210" i="38"/>
  <c r="T210" i="38" s="1"/>
  <c r="K210" i="38"/>
  <c r="L210" i="38" s="1"/>
  <c r="H210" i="38"/>
  <c r="G210" i="38"/>
  <c r="E210" i="38"/>
  <c r="D210" i="38"/>
  <c r="R209" i="38"/>
  <c r="M209" i="38"/>
  <c r="K209" i="38"/>
  <c r="L209" i="38" s="1"/>
  <c r="H209" i="38"/>
  <c r="G209" i="38"/>
  <c r="E209" i="38"/>
  <c r="D209" i="38"/>
  <c r="R208" i="38"/>
  <c r="M208" i="38"/>
  <c r="N208" i="38" s="1"/>
  <c r="K208" i="38"/>
  <c r="L208" i="38" s="1"/>
  <c r="H208" i="38"/>
  <c r="G208" i="38"/>
  <c r="E208" i="38"/>
  <c r="D208" i="38"/>
  <c r="R207" i="38"/>
  <c r="M207" i="38"/>
  <c r="N207" i="38" s="1"/>
  <c r="K207" i="38"/>
  <c r="L207" i="38" s="1"/>
  <c r="H207" i="38"/>
  <c r="G207" i="38"/>
  <c r="E207" i="38"/>
  <c r="D207" i="38"/>
  <c r="R206" i="38"/>
  <c r="M206" i="38"/>
  <c r="T206" i="38" s="1"/>
  <c r="K206" i="38"/>
  <c r="L206" i="38" s="1"/>
  <c r="H206" i="38"/>
  <c r="G206" i="38"/>
  <c r="E206" i="38"/>
  <c r="D206" i="38"/>
  <c r="R205" i="38"/>
  <c r="M205" i="38"/>
  <c r="K205" i="38"/>
  <c r="L205" i="38" s="1"/>
  <c r="H205" i="38"/>
  <c r="G205" i="38"/>
  <c r="E205" i="38"/>
  <c r="D205" i="38"/>
  <c r="R204" i="38"/>
  <c r="M204" i="38"/>
  <c r="N204" i="38" s="1"/>
  <c r="K204" i="38"/>
  <c r="L204" i="38" s="1"/>
  <c r="H204" i="38"/>
  <c r="G204" i="38"/>
  <c r="E204" i="38"/>
  <c r="D204" i="38"/>
  <c r="R203" i="38"/>
  <c r="M203" i="38"/>
  <c r="N203" i="38" s="1"/>
  <c r="K203" i="38"/>
  <c r="L203" i="38" s="1"/>
  <c r="H203" i="38"/>
  <c r="G203" i="38"/>
  <c r="E203" i="38"/>
  <c r="D203" i="38"/>
  <c r="R202" i="38"/>
  <c r="M202" i="38"/>
  <c r="T202" i="38" s="1"/>
  <c r="K202" i="38"/>
  <c r="L202" i="38" s="1"/>
  <c r="H202" i="38"/>
  <c r="G202" i="38"/>
  <c r="E202" i="38"/>
  <c r="D202" i="38"/>
  <c r="R201" i="38"/>
  <c r="M201" i="38"/>
  <c r="K201" i="38"/>
  <c r="L201" i="38" s="1"/>
  <c r="H201" i="38"/>
  <c r="G201" i="38"/>
  <c r="E201" i="38"/>
  <c r="D201" i="38"/>
  <c r="R200" i="38"/>
  <c r="M200" i="38"/>
  <c r="N200" i="38" s="1"/>
  <c r="K200" i="38"/>
  <c r="L200" i="38" s="1"/>
  <c r="H200" i="38"/>
  <c r="G200" i="38"/>
  <c r="E200" i="38"/>
  <c r="D200" i="38"/>
  <c r="R199" i="38"/>
  <c r="M199" i="38"/>
  <c r="N199" i="38" s="1"/>
  <c r="K199" i="38"/>
  <c r="L199" i="38" s="1"/>
  <c r="H199" i="38"/>
  <c r="G199" i="38"/>
  <c r="E199" i="38"/>
  <c r="D199" i="38"/>
  <c r="R198" i="38"/>
  <c r="M198" i="38"/>
  <c r="N198" i="38" s="1"/>
  <c r="K198" i="38"/>
  <c r="L198" i="38" s="1"/>
  <c r="H198" i="38"/>
  <c r="G198" i="38"/>
  <c r="E198" i="38"/>
  <c r="D198" i="38"/>
  <c r="R197" i="38"/>
  <c r="M197" i="38"/>
  <c r="N197" i="38" s="1"/>
  <c r="K197" i="38"/>
  <c r="L197" i="38" s="1"/>
  <c r="H197" i="38"/>
  <c r="G197" i="38"/>
  <c r="E197" i="38"/>
  <c r="D197" i="38"/>
  <c r="R196" i="38"/>
  <c r="M196" i="38"/>
  <c r="N196" i="38" s="1"/>
  <c r="K196" i="38"/>
  <c r="L196" i="38" s="1"/>
  <c r="H196" i="38"/>
  <c r="G196" i="38"/>
  <c r="E196" i="38"/>
  <c r="D196" i="38"/>
  <c r="R195" i="38"/>
  <c r="M195" i="38"/>
  <c r="N195" i="38" s="1"/>
  <c r="K195" i="38"/>
  <c r="L195" i="38" s="1"/>
  <c r="H195" i="38"/>
  <c r="G195" i="38"/>
  <c r="E195" i="38"/>
  <c r="D195" i="38"/>
  <c r="R194" i="38"/>
  <c r="M194" i="38"/>
  <c r="N194" i="38" s="1"/>
  <c r="K194" i="38"/>
  <c r="L194" i="38" s="1"/>
  <c r="H194" i="38"/>
  <c r="G194" i="38"/>
  <c r="E194" i="38"/>
  <c r="D194" i="38"/>
  <c r="R193" i="38"/>
  <c r="M193" i="38"/>
  <c r="N193" i="38" s="1"/>
  <c r="K193" i="38"/>
  <c r="L193" i="38" s="1"/>
  <c r="H193" i="38"/>
  <c r="G193" i="38"/>
  <c r="E193" i="38"/>
  <c r="D193" i="38"/>
  <c r="R192" i="38"/>
  <c r="M192" i="38"/>
  <c r="N192" i="38" s="1"/>
  <c r="K192" i="38"/>
  <c r="L192" i="38" s="1"/>
  <c r="H192" i="38"/>
  <c r="G192" i="38"/>
  <c r="E192" i="38"/>
  <c r="D192" i="38"/>
  <c r="R191" i="38"/>
  <c r="M191" i="38"/>
  <c r="N191" i="38" s="1"/>
  <c r="K191" i="38"/>
  <c r="L191" i="38" s="1"/>
  <c r="H191" i="38"/>
  <c r="G191" i="38"/>
  <c r="E191" i="38"/>
  <c r="D191" i="38"/>
  <c r="R190" i="38"/>
  <c r="M190" i="38"/>
  <c r="N190" i="38" s="1"/>
  <c r="K190" i="38"/>
  <c r="L190" i="38" s="1"/>
  <c r="H190" i="38"/>
  <c r="G190" i="38"/>
  <c r="E190" i="38"/>
  <c r="D190" i="38"/>
  <c r="R189" i="38"/>
  <c r="M189" i="38"/>
  <c r="N189" i="38" s="1"/>
  <c r="K189" i="38"/>
  <c r="L189" i="38" s="1"/>
  <c r="H189" i="38"/>
  <c r="G189" i="38"/>
  <c r="E189" i="38"/>
  <c r="D189" i="38"/>
  <c r="R188" i="38"/>
  <c r="M188" i="38"/>
  <c r="N188" i="38" s="1"/>
  <c r="K188" i="38"/>
  <c r="L188" i="38" s="1"/>
  <c r="H188" i="38"/>
  <c r="G188" i="38"/>
  <c r="E188" i="38"/>
  <c r="D188" i="38"/>
  <c r="R187" i="38"/>
  <c r="M187" i="38"/>
  <c r="N187" i="38" s="1"/>
  <c r="K187" i="38"/>
  <c r="L187" i="38" s="1"/>
  <c r="H187" i="38"/>
  <c r="G187" i="38"/>
  <c r="E187" i="38"/>
  <c r="D187" i="38"/>
  <c r="R186" i="38"/>
  <c r="M186" i="38"/>
  <c r="N186" i="38" s="1"/>
  <c r="K186" i="38"/>
  <c r="L186" i="38" s="1"/>
  <c r="H186" i="38"/>
  <c r="G186" i="38"/>
  <c r="E186" i="38"/>
  <c r="D186" i="38"/>
  <c r="R185" i="38"/>
  <c r="M185" i="38"/>
  <c r="N185" i="38" s="1"/>
  <c r="K185" i="38"/>
  <c r="L185" i="38" s="1"/>
  <c r="H185" i="38"/>
  <c r="G185" i="38"/>
  <c r="E185" i="38"/>
  <c r="D185" i="38"/>
  <c r="R184" i="38"/>
  <c r="M184" i="38"/>
  <c r="N184" i="38" s="1"/>
  <c r="K184" i="38"/>
  <c r="L184" i="38" s="1"/>
  <c r="H184" i="38"/>
  <c r="G184" i="38"/>
  <c r="E184" i="38"/>
  <c r="D184" i="38"/>
  <c r="R183" i="38"/>
  <c r="M183" i="38"/>
  <c r="N183" i="38" s="1"/>
  <c r="K183" i="38"/>
  <c r="L183" i="38" s="1"/>
  <c r="H183" i="38"/>
  <c r="G183" i="38"/>
  <c r="E183" i="38"/>
  <c r="D183" i="38"/>
  <c r="R182" i="38"/>
  <c r="M182" i="38"/>
  <c r="N182" i="38" s="1"/>
  <c r="K182" i="38"/>
  <c r="L182" i="38" s="1"/>
  <c r="H182" i="38"/>
  <c r="G182" i="38"/>
  <c r="E182" i="38"/>
  <c r="D182" i="38"/>
  <c r="R181" i="38"/>
  <c r="M181" i="38"/>
  <c r="N181" i="38" s="1"/>
  <c r="K181" i="38"/>
  <c r="L181" i="38" s="1"/>
  <c r="H181" i="38"/>
  <c r="G181" i="38"/>
  <c r="E181" i="38"/>
  <c r="D181" i="38"/>
  <c r="R180" i="38"/>
  <c r="M180" i="38"/>
  <c r="N180" i="38" s="1"/>
  <c r="K180" i="38"/>
  <c r="L180" i="38" s="1"/>
  <c r="H180" i="38"/>
  <c r="G180" i="38"/>
  <c r="E180" i="38"/>
  <c r="D180" i="38"/>
  <c r="R179" i="38"/>
  <c r="M179" i="38"/>
  <c r="N179" i="38" s="1"/>
  <c r="K179" i="38"/>
  <c r="L179" i="38" s="1"/>
  <c r="H179" i="38"/>
  <c r="G179" i="38"/>
  <c r="E179" i="38"/>
  <c r="D179" i="38"/>
  <c r="R178" i="38"/>
  <c r="M178" i="38"/>
  <c r="N178" i="38" s="1"/>
  <c r="K178" i="38"/>
  <c r="L178" i="38" s="1"/>
  <c r="H178" i="38"/>
  <c r="G178" i="38"/>
  <c r="E178" i="38"/>
  <c r="D178" i="38"/>
  <c r="R177" i="38"/>
  <c r="M177" i="38"/>
  <c r="N177" i="38" s="1"/>
  <c r="K177" i="38"/>
  <c r="L177" i="38" s="1"/>
  <c r="H177" i="38"/>
  <c r="G177" i="38"/>
  <c r="E177" i="38"/>
  <c r="D177" i="38"/>
  <c r="R176" i="38"/>
  <c r="M176" i="38"/>
  <c r="N176" i="38" s="1"/>
  <c r="K176" i="38"/>
  <c r="L176" i="38" s="1"/>
  <c r="H176" i="38"/>
  <c r="G176" i="38"/>
  <c r="E176" i="38"/>
  <c r="D176" i="38"/>
  <c r="R175" i="38"/>
  <c r="M175" i="38"/>
  <c r="N175" i="38" s="1"/>
  <c r="K175" i="38"/>
  <c r="L175" i="38" s="1"/>
  <c r="H175" i="38"/>
  <c r="G175" i="38"/>
  <c r="E175" i="38"/>
  <c r="D175" i="38"/>
  <c r="R174" i="38"/>
  <c r="M174" i="38"/>
  <c r="N174" i="38" s="1"/>
  <c r="K174" i="38"/>
  <c r="L174" i="38" s="1"/>
  <c r="H174" i="38"/>
  <c r="G174" i="38"/>
  <c r="E174" i="38"/>
  <c r="D174" i="38"/>
  <c r="R173" i="38"/>
  <c r="M173" i="38"/>
  <c r="N173" i="38" s="1"/>
  <c r="K173" i="38"/>
  <c r="L173" i="38" s="1"/>
  <c r="H173" i="38"/>
  <c r="G173" i="38"/>
  <c r="E173" i="38"/>
  <c r="D173" i="38"/>
  <c r="R172" i="38"/>
  <c r="M172" i="38"/>
  <c r="N172" i="38" s="1"/>
  <c r="K172" i="38"/>
  <c r="L172" i="38" s="1"/>
  <c r="H172" i="38"/>
  <c r="G172" i="38"/>
  <c r="E172" i="38"/>
  <c r="D172" i="38"/>
  <c r="R171" i="38"/>
  <c r="M171" i="38"/>
  <c r="N171" i="38" s="1"/>
  <c r="K171" i="38"/>
  <c r="L171" i="38" s="1"/>
  <c r="H171" i="38"/>
  <c r="G171" i="38"/>
  <c r="E171" i="38"/>
  <c r="D171" i="38"/>
  <c r="R170" i="38"/>
  <c r="M170" i="38"/>
  <c r="N170" i="38" s="1"/>
  <c r="K170" i="38"/>
  <c r="L170" i="38" s="1"/>
  <c r="H170" i="38"/>
  <c r="G170" i="38"/>
  <c r="E170" i="38"/>
  <c r="D170" i="38"/>
  <c r="R169" i="38"/>
  <c r="M169" i="38"/>
  <c r="N169" i="38" s="1"/>
  <c r="K169" i="38"/>
  <c r="L169" i="38" s="1"/>
  <c r="H169" i="38"/>
  <c r="G169" i="38"/>
  <c r="E169" i="38"/>
  <c r="D169" i="38"/>
  <c r="R168" i="38"/>
  <c r="M168" i="38"/>
  <c r="N168" i="38" s="1"/>
  <c r="K168" i="38"/>
  <c r="L168" i="38" s="1"/>
  <c r="H168" i="38"/>
  <c r="G168" i="38"/>
  <c r="E168" i="38"/>
  <c r="D168" i="38"/>
  <c r="R167" i="38"/>
  <c r="M167" i="38"/>
  <c r="N167" i="38" s="1"/>
  <c r="K167" i="38"/>
  <c r="L167" i="38" s="1"/>
  <c r="H167" i="38"/>
  <c r="G167" i="38"/>
  <c r="E167" i="38"/>
  <c r="D167" i="38"/>
  <c r="R166" i="38"/>
  <c r="M166" i="38"/>
  <c r="N166" i="38" s="1"/>
  <c r="K166" i="38"/>
  <c r="L166" i="38" s="1"/>
  <c r="H166" i="38"/>
  <c r="G166" i="38"/>
  <c r="E166" i="38"/>
  <c r="D166" i="38"/>
  <c r="R165" i="38"/>
  <c r="M165" i="38"/>
  <c r="N165" i="38" s="1"/>
  <c r="K165" i="38"/>
  <c r="L165" i="38" s="1"/>
  <c r="H165" i="38"/>
  <c r="G165" i="38"/>
  <c r="E165" i="38"/>
  <c r="D165" i="38"/>
  <c r="R164" i="38"/>
  <c r="M164" i="38"/>
  <c r="N164" i="38" s="1"/>
  <c r="K164" i="38"/>
  <c r="L164" i="38" s="1"/>
  <c r="H164" i="38"/>
  <c r="G164" i="38"/>
  <c r="E164" i="38"/>
  <c r="D164" i="38"/>
  <c r="R163" i="38"/>
  <c r="M163" i="38"/>
  <c r="N163" i="38" s="1"/>
  <c r="K163" i="38"/>
  <c r="L163" i="38" s="1"/>
  <c r="H163" i="38"/>
  <c r="G163" i="38"/>
  <c r="E163" i="38"/>
  <c r="D163" i="38"/>
  <c r="R162" i="38"/>
  <c r="M162" i="38"/>
  <c r="N162" i="38" s="1"/>
  <c r="K162" i="38"/>
  <c r="L162" i="38" s="1"/>
  <c r="H162" i="38"/>
  <c r="G162" i="38"/>
  <c r="E162" i="38"/>
  <c r="D162" i="38"/>
  <c r="R161" i="38"/>
  <c r="M161" i="38"/>
  <c r="N161" i="38" s="1"/>
  <c r="K161" i="38"/>
  <c r="L161" i="38" s="1"/>
  <c r="H161" i="38"/>
  <c r="G161" i="38"/>
  <c r="E161" i="38"/>
  <c r="D161" i="38"/>
  <c r="R160" i="38"/>
  <c r="M160" i="38"/>
  <c r="N160" i="38" s="1"/>
  <c r="K160" i="38"/>
  <c r="L160" i="38" s="1"/>
  <c r="H160" i="38"/>
  <c r="G160" i="38"/>
  <c r="E160" i="38"/>
  <c r="D160" i="38"/>
  <c r="R159" i="38"/>
  <c r="M159" i="38"/>
  <c r="N159" i="38" s="1"/>
  <c r="K159" i="38"/>
  <c r="L159" i="38" s="1"/>
  <c r="H159" i="38"/>
  <c r="G159" i="38"/>
  <c r="E159" i="38"/>
  <c r="D159" i="38"/>
  <c r="R158" i="38"/>
  <c r="M158" i="38"/>
  <c r="N158" i="38" s="1"/>
  <c r="K158" i="38"/>
  <c r="L158" i="38" s="1"/>
  <c r="H158" i="38"/>
  <c r="G158" i="38"/>
  <c r="E158" i="38"/>
  <c r="D158" i="38"/>
  <c r="R157" i="38"/>
  <c r="M157" i="38"/>
  <c r="N157" i="38" s="1"/>
  <c r="K157" i="38"/>
  <c r="L157" i="38" s="1"/>
  <c r="H157" i="38"/>
  <c r="G157" i="38"/>
  <c r="E157" i="38"/>
  <c r="D157" i="38"/>
  <c r="R156" i="38"/>
  <c r="M156" i="38"/>
  <c r="N156" i="38" s="1"/>
  <c r="K156" i="38"/>
  <c r="L156" i="38" s="1"/>
  <c r="H156" i="38"/>
  <c r="G156" i="38"/>
  <c r="E156" i="38"/>
  <c r="D156" i="38"/>
  <c r="R155" i="38"/>
  <c r="M155" i="38"/>
  <c r="N155" i="38" s="1"/>
  <c r="K155" i="38"/>
  <c r="L155" i="38" s="1"/>
  <c r="H155" i="38"/>
  <c r="G155" i="38"/>
  <c r="E155" i="38"/>
  <c r="D155" i="38"/>
  <c r="R154" i="38"/>
  <c r="M154" i="38"/>
  <c r="N154" i="38" s="1"/>
  <c r="K154" i="38"/>
  <c r="L154" i="38" s="1"/>
  <c r="H154" i="38"/>
  <c r="G154" i="38"/>
  <c r="E154" i="38"/>
  <c r="D154" i="38"/>
  <c r="R153" i="38"/>
  <c r="M153" i="38"/>
  <c r="N153" i="38" s="1"/>
  <c r="K153" i="38"/>
  <c r="L153" i="38" s="1"/>
  <c r="H153" i="38"/>
  <c r="G153" i="38"/>
  <c r="E153" i="38"/>
  <c r="D153" i="38"/>
  <c r="R152" i="38"/>
  <c r="M152" i="38"/>
  <c r="N152" i="38" s="1"/>
  <c r="K152" i="38"/>
  <c r="L152" i="38" s="1"/>
  <c r="H152" i="38"/>
  <c r="G152" i="38"/>
  <c r="E152" i="38"/>
  <c r="D152" i="38"/>
  <c r="R151" i="38"/>
  <c r="M151" i="38"/>
  <c r="N151" i="38" s="1"/>
  <c r="K151" i="38"/>
  <c r="L151" i="38" s="1"/>
  <c r="H151" i="38"/>
  <c r="G151" i="38"/>
  <c r="E151" i="38"/>
  <c r="D151" i="38"/>
  <c r="R150" i="38"/>
  <c r="M150" i="38"/>
  <c r="N150" i="38" s="1"/>
  <c r="K150" i="38"/>
  <c r="L150" i="38" s="1"/>
  <c r="H150" i="38"/>
  <c r="G150" i="38"/>
  <c r="E150" i="38"/>
  <c r="D150" i="38"/>
  <c r="R149" i="38"/>
  <c r="M149" i="38"/>
  <c r="N149" i="38" s="1"/>
  <c r="K149" i="38"/>
  <c r="L149" i="38" s="1"/>
  <c r="H149" i="38"/>
  <c r="G149" i="38"/>
  <c r="E149" i="38"/>
  <c r="D149" i="38"/>
  <c r="R148" i="38"/>
  <c r="M148" i="38"/>
  <c r="N148" i="38" s="1"/>
  <c r="K148" i="38"/>
  <c r="L148" i="38" s="1"/>
  <c r="H148" i="38"/>
  <c r="G148" i="38"/>
  <c r="E148" i="38"/>
  <c r="D148" i="38"/>
  <c r="M147" i="38"/>
  <c r="N147" i="38" s="1"/>
  <c r="K147" i="38"/>
  <c r="L147" i="38" s="1"/>
  <c r="H147" i="38"/>
  <c r="G147" i="38"/>
  <c r="E147" i="38"/>
  <c r="D147" i="38"/>
  <c r="M146" i="38"/>
  <c r="N146" i="38" s="1"/>
  <c r="K146" i="38"/>
  <c r="L146" i="38" s="1"/>
  <c r="H146" i="38"/>
  <c r="G146" i="38"/>
  <c r="E146" i="38"/>
  <c r="D146" i="38"/>
  <c r="M145" i="38"/>
  <c r="N145" i="38" s="1"/>
  <c r="K145" i="38"/>
  <c r="L145" i="38" s="1"/>
  <c r="H145" i="38"/>
  <c r="G145" i="38"/>
  <c r="E145" i="38"/>
  <c r="D145" i="38"/>
  <c r="M144" i="38"/>
  <c r="N144" i="38" s="1"/>
  <c r="K144" i="38"/>
  <c r="L144" i="38" s="1"/>
  <c r="H144" i="38"/>
  <c r="G144" i="38"/>
  <c r="E144" i="38"/>
  <c r="D144" i="38"/>
  <c r="M143" i="38"/>
  <c r="N143" i="38" s="1"/>
  <c r="K143" i="38"/>
  <c r="L143" i="38" s="1"/>
  <c r="H143" i="38"/>
  <c r="G143" i="38"/>
  <c r="E143" i="38"/>
  <c r="D143" i="38"/>
  <c r="M142" i="38"/>
  <c r="N142" i="38" s="1"/>
  <c r="K142" i="38"/>
  <c r="L142" i="38" s="1"/>
  <c r="H142" i="38"/>
  <c r="G142" i="38"/>
  <c r="E142" i="38"/>
  <c r="D142" i="38"/>
  <c r="M141" i="38"/>
  <c r="N141" i="38" s="1"/>
  <c r="K141" i="38"/>
  <c r="L141" i="38" s="1"/>
  <c r="H141" i="38"/>
  <c r="G141" i="38"/>
  <c r="E141" i="38"/>
  <c r="D141" i="38"/>
  <c r="M140" i="38"/>
  <c r="N140" i="38" s="1"/>
  <c r="K140" i="38"/>
  <c r="L140" i="38" s="1"/>
  <c r="H140" i="38"/>
  <c r="G140" i="38"/>
  <c r="E140" i="38"/>
  <c r="D140" i="38"/>
  <c r="M139" i="38"/>
  <c r="N139" i="38" s="1"/>
  <c r="K139" i="38"/>
  <c r="L139" i="38" s="1"/>
  <c r="H139" i="38"/>
  <c r="G139" i="38"/>
  <c r="E139" i="38"/>
  <c r="D139" i="38"/>
  <c r="M138" i="38"/>
  <c r="N138" i="38" s="1"/>
  <c r="K138" i="38"/>
  <c r="L138" i="38" s="1"/>
  <c r="H138" i="38"/>
  <c r="G138" i="38"/>
  <c r="E138" i="38"/>
  <c r="D138" i="38"/>
  <c r="M137" i="38"/>
  <c r="N137" i="38" s="1"/>
  <c r="K137" i="38"/>
  <c r="L137" i="38" s="1"/>
  <c r="H137" i="38"/>
  <c r="G137" i="38"/>
  <c r="E137" i="38"/>
  <c r="D137" i="38"/>
  <c r="M136" i="38"/>
  <c r="N136" i="38" s="1"/>
  <c r="K136" i="38"/>
  <c r="L136" i="38" s="1"/>
  <c r="H136" i="38"/>
  <c r="G136" i="38"/>
  <c r="E136" i="38"/>
  <c r="D136" i="38"/>
  <c r="M135" i="38"/>
  <c r="N135" i="38" s="1"/>
  <c r="K135" i="38"/>
  <c r="L135" i="38" s="1"/>
  <c r="H135" i="38"/>
  <c r="G135" i="38"/>
  <c r="E135" i="38"/>
  <c r="D135" i="38"/>
  <c r="M134" i="38"/>
  <c r="N134" i="38" s="1"/>
  <c r="K134" i="38"/>
  <c r="L134" i="38" s="1"/>
  <c r="H134" i="38"/>
  <c r="G134" i="38"/>
  <c r="E134" i="38"/>
  <c r="D134" i="38"/>
  <c r="M133" i="38"/>
  <c r="N133" i="38" s="1"/>
  <c r="K133" i="38"/>
  <c r="L133" i="38" s="1"/>
  <c r="H133" i="38"/>
  <c r="G133" i="38"/>
  <c r="E133" i="38"/>
  <c r="D133" i="38"/>
  <c r="M132" i="38"/>
  <c r="N132" i="38" s="1"/>
  <c r="K132" i="38"/>
  <c r="L132" i="38" s="1"/>
  <c r="H132" i="38"/>
  <c r="G132" i="38"/>
  <c r="E132" i="38"/>
  <c r="D132" i="38"/>
  <c r="M131" i="38"/>
  <c r="N131" i="38" s="1"/>
  <c r="K131" i="38"/>
  <c r="L131" i="38" s="1"/>
  <c r="H131" i="38"/>
  <c r="G131" i="38"/>
  <c r="E131" i="38"/>
  <c r="D131" i="38"/>
  <c r="M130" i="38"/>
  <c r="N130" i="38" s="1"/>
  <c r="K130" i="38"/>
  <c r="L130" i="38" s="1"/>
  <c r="H130" i="38"/>
  <c r="G130" i="38"/>
  <c r="E130" i="38"/>
  <c r="D130" i="38"/>
  <c r="M129" i="38"/>
  <c r="N129" i="38" s="1"/>
  <c r="K129" i="38"/>
  <c r="L129" i="38" s="1"/>
  <c r="H129" i="38"/>
  <c r="G129" i="38"/>
  <c r="E129" i="38"/>
  <c r="D129" i="38"/>
  <c r="M128" i="38"/>
  <c r="N128" i="38" s="1"/>
  <c r="K128" i="38"/>
  <c r="L128" i="38" s="1"/>
  <c r="H128" i="38"/>
  <c r="G128" i="38"/>
  <c r="E128" i="38"/>
  <c r="D128" i="38"/>
  <c r="M127" i="38"/>
  <c r="N127" i="38" s="1"/>
  <c r="K127" i="38"/>
  <c r="L127" i="38" s="1"/>
  <c r="H127" i="38"/>
  <c r="G127" i="38"/>
  <c r="E127" i="38"/>
  <c r="D127" i="38"/>
  <c r="M126" i="38"/>
  <c r="N126" i="38" s="1"/>
  <c r="K126" i="38"/>
  <c r="L126" i="38" s="1"/>
  <c r="H126" i="38"/>
  <c r="G126" i="38"/>
  <c r="E126" i="38"/>
  <c r="D126" i="38"/>
  <c r="M125" i="38"/>
  <c r="N125" i="38" s="1"/>
  <c r="K125" i="38"/>
  <c r="L125" i="38" s="1"/>
  <c r="H125" i="38"/>
  <c r="G125" i="38"/>
  <c r="E125" i="38"/>
  <c r="D125" i="38"/>
  <c r="M124" i="38"/>
  <c r="N124" i="38" s="1"/>
  <c r="K124" i="38"/>
  <c r="L124" i="38" s="1"/>
  <c r="H124" i="38"/>
  <c r="G124" i="38"/>
  <c r="E124" i="38"/>
  <c r="D124" i="38"/>
  <c r="M123" i="38"/>
  <c r="N123" i="38" s="1"/>
  <c r="K123" i="38"/>
  <c r="L123" i="38" s="1"/>
  <c r="H123" i="38"/>
  <c r="G123" i="38"/>
  <c r="E123" i="38"/>
  <c r="D123" i="38"/>
  <c r="M122" i="38"/>
  <c r="N122" i="38" s="1"/>
  <c r="K122" i="38"/>
  <c r="L122" i="38" s="1"/>
  <c r="H122" i="38"/>
  <c r="G122" i="38"/>
  <c r="E122" i="38"/>
  <c r="D122" i="38"/>
  <c r="M121" i="38"/>
  <c r="N121" i="38" s="1"/>
  <c r="K121" i="38"/>
  <c r="L121" i="38" s="1"/>
  <c r="H121" i="38"/>
  <c r="G121" i="38"/>
  <c r="E121" i="38"/>
  <c r="D121" i="38"/>
  <c r="M120" i="38"/>
  <c r="N120" i="38" s="1"/>
  <c r="K120" i="38"/>
  <c r="L120" i="38" s="1"/>
  <c r="H120" i="38"/>
  <c r="G120" i="38"/>
  <c r="E120" i="38"/>
  <c r="D120" i="38"/>
  <c r="M119" i="38"/>
  <c r="N119" i="38" s="1"/>
  <c r="K119" i="38"/>
  <c r="L119" i="38" s="1"/>
  <c r="H119" i="38"/>
  <c r="G119" i="38"/>
  <c r="E119" i="38"/>
  <c r="D119" i="38"/>
  <c r="M118" i="38"/>
  <c r="N118" i="38" s="1"/>
  <c r="K118" i="38"/>
  <c r="L118" i="38" s="1"/>
  <c r="H118" i="38"/>
  <c r="G118" i="38"/>
  <c r="E118" i="38"/>
  <c r="D118" i="38"/>
  <c r="M117" i="38"/>
  <c r="N117" i="38" s="1"/>
  <c r="K117" i="38"/>
  <c r="L117" i="38" s="1"/>
  <c r="H117" i="38"/>
  <c r="G117" i="38"/>
  <c r="E117" i="38"/>
  <c r="D117" i="38"/>
  <c r="M116" i="38"/>
  <c r="N116" i="38" s="1"/>
  <c r="K116" i="38"/>
  <c r="L116" i="38" s="1"/>
  <c r="H116" i="38"/>
  <c r="G116" i="38"/>
  <c r="E116" i="38"/>
  <c r="D116" i="38"/>
  <c r="M115" i="38"/>
  <c r="N115" i="38" s="1"/>
  <c r="K115" i="38"/>
  <c r="L115" i="38" s="1"/>
  <c r="H115" i="38"/>
  <c r="G115" i="38"/>
  <c r="E115" i="38"/>
  <c r="D115" i="38"/>
  <c r="M114" i="38"/>
  <c r="N114" i="38" s="1"/>
  <c r="K114" i="38"/>
  <c r="L114" i="38" s="1"/>
  <c r="H114" i="38"/>
  <c r="G114" i="38"/>
  <c r="E114" i="38"/>
  <c r="D114" i="38"/>
  <c r="M113" i="38"/>
  <c r="N113" i="38" s="1"/>
  <c r="K113" i="38"/>
  <c r="L113" i="38" s="1"/>
  <c r="H113" i="38"/>
  <c r="G113" i="38"/>
  <c r="E113" i="38"/>
  <c r="D113" i="38"/>
  <c r="M112" i="38"/>
  <c r="N112" i="38" s="1"/>
  <c r="K112" i="38"/>
  <c r="L112" i="38" s="1"/>
  <c r="H112" i="38"/>
  <c r="G112" i="38"/>
  <c r="E112" i="38"/>
  <c r="D112" i="38"/>
  <c r="M111" i="38"/>
  <c r="N111" i="38" s="1"/>
  <c r="K111" i="38"/>
  <c r="L111" i="38" s="1"/>
  <c r="H111" i="38"/>
  <c r="G111" i="38"/>
  <c r="E111" i="38"/>
  <c r="D111" i="38"/>
  <c r="M110" i="38"/>
  <c r="N110" i="38" s="1"/>
  <c r="K110" i="38"/>
  <c r="L110" i="38" s="1"/>
  <c r="H110" i="38"/>
  <c r="G110" i="38"/>
  <c r="E110" i="38"/>
  <c r="D110" i="38"/>
  <c r="M109" i="38"/>
  <c r="N109" i="38" s="1"/>
  <c r="K109" i="38"/>
  <c r="L109" i="38" s="1"/>
  <c r="H109" i="38"/>
  <c r="G109" i="38"/>
  <c r="E109" i="38"/>
  <c r="D109" i="38"/>
  <c r="M108" i="38"/>
  <c r="N108" i="38" s="1"/>
  <c r="K108" i="38"/>
  <c r="L108" i="38" s="1"/>
  <c r="H108" i="38"/>
  <c r="G108" i="38"/>
  <c r="E108" i="38"/>
  <c r="D108" i="38"/>
  <c r="M107" i="38"/>
  <c r="N107" i="38" s="1"/>
  <c r="K107" i="38"/>
  <c r="L107" i="38" s="1"/>
  <c r="H107" i="38"/>
  <c r="G107" i="38"/>
  <c r="E107" i="38"/>
  <c r="D107" i="38"/>
  <c r="M106" i="38"/>
  <c r="N106" i="38" s="1"/>
  <c r="K106" i="38"/>
  <c r="L106" i="38" s="1"/>
  <c r="H106" i="38"/>
  <c r="G106" i="38"/>
  <c r="E106" i="38"/>
  <c r="D106" i="38"/>
  <c r="M105" i="38"/>
  <c r="N105" i="38" s="1"/>
  <c r="K105" i="38"/>
  <c r="L105" i="38" s="1"/>
  <c r="H105" i="38"/>
  <c r="G105" i="38"/>
  <c r="E105" i="38"/>
  <c r="D105" i="38"/>
  <c r="M104" i="38"/>
  <c r="N104" i="38" s="1"/>
  <c r="K104" i="38"/>
  <c r="L104" i="38" s="1"/>
  <c r="H104" i="38"/>
  <c r="G104" i="38"/>
  <c r="E104" i="38"/>
  <c r="D104" i="38"/>
  <c r="M103" i="38"/>
  <c r="N103" i="38" s="1"/>
  <c r="K103" i="38"/>
  <c r="L103" i="38" s="1"/>
  <c r="H103" i="38"/>
  <c r="G103" i="38"/>
  <c r="E103" i="38"/>
  <c r="D103" i="38"/>
  <c r="M102" i="38"/>
  <c r="N102" i="38" s="1"/>
  <c r="K102" i="38"/>
  <c r="L102" i="38" s="1"/>
  <c r="H102" i="38"/>
  <c r="G102" i="38"/>
  <c r="E102" i="38"/>
  <c r="D102" i="38"/>
  <c r="M101" i="38"/>
  <c r="N101" i="38" s="1"/>
  <c r="K101" i="38"/>
  <c r="L101" i="38" s="1"/>
  <c r="H101" i="38"/>
  <c r="G101" i="38"/>
  <c r="E101" i="38"/>
  <c r="D101" i="38"/>
  <c r="M100" i="38"/>
  <c r="N100" i="38" s="1"/>
  <c r="K100" i="38"/>
  <c r="L100" i="38" s="1"/>
  <c r="H100" i="38"/>
  <c r="G100" i="38"/>
  <c r="E100" i="38"/>
  <c r="D100" i="38"/>
  <c r="M99" i="38"/>
  <c r="N99" i="38" s="1"/>
  <c r="K99" i="38"/>
  <c r="L99" i="38" s="1"/>
  <c r="H99" i="38"/>
  <c r="G99" i="38"/>
  <c r="E99" i="38"/>
  <c r="D99" i="38"/>
  <c r="M98" i="38"/>
  <c r="N98" i="38" s="1"/>
  <c r="K98" i="38"/>
  <c r="L98" i="38" s="1"/>
  <c r="H98" i="38"/>
  <c r="G98" i="38"/>
  <c r="E98" i="38"/>
  <c r="D98" i="38"/>
  <c r="M97" i="38"/>
  <c r="N97" i="38" s="1"/>
  <c r="K97" i="38"/>
  <c r="L97" i="38" s="1"/>
  <c r="H97" i="38"/>
  <c r="G97" i="38"/>
  <c r="E97" i="38"/>
  <c r="D97" i="38"/>
  <c r="M96" i="38"/>
  <c r="N96" i="38" s="1"/>
  <c r="K96" i="38"/>
  <c r="L96" i="38" s="1"/>
  <c r="H96" i="38"/>
  <c r="G96" i="38"/>
  <c r="E96" i="38"/>
  <c r="D96" i="38"/>
  <c r="M95" i="38"/>
  <c r="N95" i="38" s="1"/>
  <c r="K95" i="38"/>
  <c r="L95" i="38" s="1"/>
  <c r="H95" i="38"/>
  <c r="G95" i="38"/>
  <c r="E95" i="38"/>
  <c r="D95" i="38"/>
  <c r="M94" i="38"/>
  <c r="N94" i="38" s="1"/>
  <c r="K94" i="38"/>
  <c r="L94" i="38" s="1"/>
  <c r="H94" i="38"/>
  <c r="G94" i="38"/>
  <c r="E94" i="38"/>
  <c r="D94" i="38"/>
  <c r="M93" i="38"/>
  <c r="N93" i="38" s="1"/>
  <c r="K93" i="38"/>
  <c r="L93" i="38" s="1"/>
  <c r="H93" i="38"/>
  <c r="G93" i="38"/>
  <c r="E93" i="38"/>
  <c r="D93" i="38"/>
  <c r="M92" i="38"/>
  <c r="N92" i="38" s="1"/>
  <c r="K92" i="38"/>
  <c r="L92" i="38" s="1"/>
  <c r="H92" i="38"/>
  <c r="G92" i="38"/>
  <c r="E92" i="38"/>
  <c r="D92" i="38"/>
  <c r="M91" i="38"/>
  <c r="N91" i="38" s="1"/>
  <c r="K91" i="38"/>
  <c r="L91" i="38" s="1"/>
  <c r="H91" i="38"/>
  <c r="G91" i="38"/>
  <c r="E91" i="38"/>
  <c r="D91" i="38"/>
  <c r="M90" i="38"/>
  <c r="N90" i="38" s="1"/>
  <c r="K90" i="38"/>
  <c r="L90" i="38" s="1"/>
  <c r="H90" i="38"/>
  <c r="G90" i="38"/>
  <c r="E90" i="38"/>
  <c r="D90" i="38"/>
  <c r="M89" i="38"/>
  <c r="N89" i="38" s="1"/>
  <c r="K89" i="38"/>
  <c r="L89" i="38" s="1"/>
  <c r="H89" i="38"/>
  <c r="G89" i="38"/>
  <c r="E89" i="38"/>
  <c r="D89" i="38"/>
  <c r="M88" i="38"/>
  <c r="N88" i="38" s="1"/>
  <c r="K88" i="38"/>
  <c r="L88" i="38" s="1"/>
  <c r="H88" i="38"/>
  <c r="G88" i="38"/>
  <c r="E88" i="38"/>
  <c r="D88" i="38"/>
  <c r="M87" i="38"/>
  <c r="N87" i="38" s="1"/>
  <c r="K87" i="38"/>
  <c r="L87" i="38" s="1"/>
  <c r="H87" i="38"/>
  <c r="G87" i="38"/>
  <c r="E87" i="38"/>
  <c r="D87" i="38"/>
  <c r="M86" i="38"/>
  <c r="N86" i="38" s="1"/>
  <c r="H86" i="38"/>
  <c r="G86" i="38"/>
  <c r="E86" i="38"/>
  <c r="D86" i="38"/>
  <c r="I85" i="38"/>
  <c r="K86" i="38" s="1"/>
  <c r="L86" i="38" s="1"/>
  <c r="H85" i="38"/>
  <c r="G85" i="38"/>
  <c r="E85" i="38"/>
  <c r="D85" i="38"/>
  <c r="M84" i="38"/>
  <c r="N84" i="38" s="1"/>
  <c r="K84" i="38"/>
  <c r="L84" i="38" s="1"/>
  <c r="H84" i="38"/>
  <c r="G84" i="38"/>
  <c r="E84" i="38"/>
  <c r="D84" i="38"/>
  <c r="M83" i="38"/>
  <c r="N83" i="38" s="1"/>
  <c r="K83" i="38"/>
  <c r="L83" i="38" s="1"/>
  <c r="H83" i="38"/>
  <c r="G83" i="38"/>
  <c r="E83" i="38"/>
  <c r="D83" i="38"/>
  <c r="M82" i="38"/>
  <c r="N82" i="38" s="1"/>
  <c r="K82" i="38"/>
  <c r="L82" i="38" s="1"/>
  <c r="H82" i="38"/>
  <c r="G82" i="38"/>
  <c r="E82" i="38"/>
  <c r="D82" i="38"/>
  <c r="M81" i="38"/>
  <c r="N81" i="38" s="1"/>
  <c r="K81" i="38"/>
  <c r="L81" i="38" s="1"/>
  <c r="H81" i="38"/>
  <c r="G81" i="38"/>
  <c r="E81" i="38"/>
  <c r="D81" i="38"/>
  <c r="M80" i="38"/>
  <c r="N80" i="38" s="1"/>
  <c r="K80" i="38"/>
  <c r="L80" i="38" s="1"/>
  <c r="H80" i="38"/>
  <c r="G80" i="38"/>
  <c r="E80" i="38"/>
  <c r="D80" i="38"/>
  <c r="M79" i="38"/>
  <c r="N79" i="38" s="1"/>
  <c r="K79" i="38"/>
  <c r="L79" i="38" s="1"/>
  <c r="H79" i="38"/>
  <c r="G79" i="38"/>
  <c r="E79" i="38"/>
  <c r="D79" i="38"/>
  <c r="M78" i="38"/>
  <c r="N78" i="38" s="1"/>
  <c r="K78" i="38"/>
  <c r="L78" i="38" s="1"/>
  <c r="H78" i="38"/>
  <c r="G78" i="38"/>
  <c r="E78" i="38"/>
  <c r="D78" i="38"/>
  <c r="M77" i="38"/>
  <c r="N77" i="38" s="1"/>
  <c r="K77" i="38"/>
  <c r="L77" i="38" s="1"/>
  <c r="H77" i="38"/>
  <c r="G77" i="38"/>
  <c r="E77" i="38"/>
  <c r="D77" i="38"/>
  <c r="M76" i="38"/>
  <c r="N76" i="38" s="1"/>
  <c r="K76" i="38"/>
  <c r="L76" i="38" s="1"/>
  <c r="H76" i="38"/>
  <c r="G76" i="38"/>
  <c r="E76" i="38"/>
  <c r="D76" i="38"/>
  <c r="M75" i="38"/>
  <c r="N75" i="38" s="1"/>
  <c r="K75" i="38"/>
  <c r="L75" i="38" s="1"/>
  <c r="H75" i="38"/>
  <c r="G75" i="38"/>
  <c r="E75" i="38"/>
  <c r="D75" i="38"/>
  <c r="M74" i="38"/>
  <c r="N74" i="38" s="1"/>
  <c r="K74" i="38"/>
  <c r="L74" i="38" s="1"/>
  <c r="H74" i="38"/>
  <c r="G74" i="38"/>
  <c r="E74" i="38"/>
  <c r="D74" i="38"/>
  <c r="M73" i="38"/>
  <c r="N73" i="38" s="1"/>
  <c r="K73" i="38"/>
  <c r="L73" i="38" s="1"/>
  <c r="H73" i="38"/>
  <c r="G73" i="38"/>
  <c r="E73" i="38"/>
  <c r="D73" i="38"/>
  <c r="M72" i="38"/>
  <c r="N72" i="38" s="1"/>
  <c r="K72" i="38"/>
  <c r="L72" i="38" s="1"/>
  <c r="H72" i="38"/>
  <c r="G72" i="38"/>
  <c r="E72" i="38"/>
  <c r="D72" i="38"/>
  <c r="M71" i="38"/>
  <c r="N71" i="38" s="1"/>
  <c r="K71" i="38"/>
  <c r="L71" i="38" s="1"/>
  <c r="H71" i="38"/>
  <c r="G71" i="38"/>
  <c r="E71" i="38"/>
  <c r="D71" i="38"/>
  <c r="M70" i="38"/>
  <c r="N70" i="38" s="1"/>
  <c r="K70" i="38"/>
  <c r="L70" i="38" s="1"/>
  <c r="H70" i="38"/>
  <c r="G70" i="38"/>
  <c r="E70" i="38"/>
  <c r="D70" i="38"/>
  <c r="M69" i="38"/>
  <c r="N69" i="38" s="1"/>
  <c r="K69" i="38"/>
  <c r="L69" i="38" s="1"/>
  <c r="H69" i="38"/>
  <c r="G69" i="38"/>
  <c r="E69" i="38"/>
  <c r="D69" i="38"/>
  <c r="M68" i="38"/>
  <c r="N68" i="38" s="1"/>
  <c r="K68" i="38"/>
  <c r="L68" i="38" s="1"/>
  <c r="H68" i="38"/>
  <c r="G68" i="38"/>
  <c r="E68" i="38"/>
  <c r="D68" i="38"/>
  <c r="M67" i="38"/>
  <c r="N67" i="38" s="1"/>
  <c r="K67" i="38"/>
  <c r="L67" i="38" s="1"/>
  <c r="H67" i="38"/>
  <c r="G67" i="38"/>
  <c r="E67" i="38"/>
  <c r="D67" i="38"/>
  <c r="M66" i="38"/>
  <c r="N66" i="38" s="1"/>
  <c r="K66" i="38"/>
  <c r="L66" i="38" s="1"/>
  <c r="H66" i="38"/>
  <c r="G66" i="38"/>
  <c r="E66" i="38"/>
  <c r="D66" i="38"/>
  <c r="M65" i="38"/>
  <c r="N65" i="38" s="1"/>
  <c r="K65" i="38"/>
  <c r="L65" i="38" s="1"/>
  <c r="H65" i="38"/>
  <c r="G65" i="38"/>
  <c r="E65" i="38"/>
  <c r="D65" i="38"/>
  <c r="M64" i="38"/>
  <c r="N64" i="38" s="1"/>
  <c r="K64" i="38"/>
  <c r="L64" i="38" s="1"/>
  <c r="H64" i="38"/>
  <c r="G64" i="38"/>
  <c r="E64" i="38"/>
  <c r="D64" i="38"/>
  <c r="M63" i="38"/>
  <c r="N63" i="38" s="1"/>
  <c r="K63" i="38"/>
  <c r="L63" i="38" s="1"/>
  <c r="H63" i="38"/>
  <c r="G63" i="38"/>
  <c r="E63" i="38"/>
  <c r="D63" i="38"/>
  <c r="M62" i="38"/>
  <c r="N62" i="38" s="1"/>
  <c r="K62" i="38"/>
  <c r="L62" i="38" s="1"/>
  <c r="H62" i="38"/>
  <c r="G62" i="38"/>
  <c r="E62" i="38"/>
  <c r="D62" i="38"/>
  <c r="M61" i="38"/>
  <c r="N61" i="38" s="1"/>
  <c r="K61" i="38"/>
  <c r="L61" i="38" s="1"/>
  <c r="H61" i="38"/>
  <c r="G61" i="38"/>
  <c r="E61" i="38"/>
  <c r="D61" i="38"/>
  <c r="M60" i="38"/>
  <c r="N60" i="38" s="1"/>
  <c r="K60" i="38"/>
  <c r="L60" i="38" s="1"/>
  <c r="H60" i="38"/>
  <c r="G60" i="38"/>
  <c r="E60" i="38"/>
  <c r="D60" i="38"/>
  <c r="M59" i="38"/>
  <c r="N59" i="38" s="1"/>
  <c r="K59" i="38"/>
  <c r="L59" i="38" s="1"/>
  <c r="H59" i="38"/>
  <c r="G59" i="38"/>
  <c r="E59" i="38"/>
  <c r="D59" i="38"/>
  <c r="M58" i="38"/>
  <c r="N58" i="38" s="1"/>
  <c r="K58" i="38"/>
  <c r="L58" i="38" s="1"/>
  <c r="H58" i="38"/>
  <c r="G58" i="38"/>
  <c r="E58" i="38"/>
  <c r="D58" i="38"/>
  <c r="M57" i="38"/>
  <c r="N57" i="38" s="1"/>
  <c r="K57" i="38"/>
  <c r="L57" i="38" s="1"/>
  <c r="H57" i="38"/>
  <c r="G57" i="38"/>
  <c r="E57" i="38"/>
  <c r="D57" i="38"/>
  <c r="M56" i="38"/>
  <c r="N56" i="38" s="1"/>
  <c r="K56" i="38"/>
  <c r="L56" i="38" s="1"/>
  <c r="H56" i="38"/>
  <c r="G56" i="38"/>
  <c r="E56" i="38"/>
  <c r="D56" i="38"/>
  <c r="M55" i="38"/>
  <c r="N55" i="38" s="1"/>
  <c r="K55" i="38"/>
  <c r="L55" i="38" s="1"/>
  <c r="H55" i="38"/>
  <c r="G55" i="38"/>
  <c r="E55" i="38"/>
  <c r="D55" i="38"/>
  <c r="M54" i="38"/>
  <c r="N54" i="38" s="1"/>
  <c r="K54" i="38"/>
  <c r="L54" i="38" s="1"/>
  <c r="H54" i="38"/>
  <c r="G54" i="38"/>
  <c r="E54" i="38"/>
  <c r="D54" i="38"/>
  <c r="M53" i="38"/>
  <c r="N53" i="38" s="1"/>
  <c r="K53" i="38"/>
  <c r="L53" i="38" s="1"/>
  <c r="H53" i="38"/>
  <c r="G53" i="38"/>
  <c r="E53" i="38"/>
  <c r="D53" i="38"/>
  <c r="M52" i="38"/>
  <c r="N52" i="38" s="1"/>
  <c r="K52" i="38"/>
  <c r="L52" i="38" s="1"/>
  <c r="H52" i="38"/>
  <c r="G52" i="38"/>
  <c r="E52" i="38"/>
  <c r="D52" i="38"/>
  <c r="M51" i="38"/>
  <c r="N51" i="38" s="1"/>
  <c r="K51" i="38"/>
  <c r="L51" i="38" s="1"/>
  <c r="H51" i="38"/>
  <c r="G51" i="38"/>
  <c r="E51" i="38"/>
  <c r="D51" i="38"/>
  <c r="M50" i="38"/>
  <c r="N50" i="38" s="1"/>
  <c r="K50" i="38"/>
  <c r="L50" i="38" s="1"/>
  <c r="H50" i="38"/>
  <c r="G50" i="38"/>
  <c r="E50" i="38"/>
  <c r="D50" i="38"/>
  <c r="M49" i="38"/>
  <c r="N49" i="38" s="1"/>
  <c r="K49" i="38"/>
  <c r="L49" i="38" s="1"/>
  <c r="H49" i="38"/>
  <c r="G49" i="38"/>
  <c r="E49" i="38"/>
  <c r="D49" i="38"/>
  <c r="M48" i="38"/>
  <c r="N48" i="38" s="1"/>
  <c r="K48" i="38"/>
  <c r="L48" i="38" s="1"/>
  <c r="H48" i="38"/>
  <c r="G48" i="38"/>
  <c r="E48" i="38"/>
  <c r="D48" i="38"/>
  <c r="M47" i="38"/>
  <c r="N47" i="38" s="1"/>
  <c r="K47" i="38"/>
  <c r="L47" i="38" s="1"/>
  <c r="H47" i="38"/>
  <c r="G47" i="38"/>
  <c r="E47" i="38"/>
  <c r="D47" i="38"/>
  <c r="M46" i="38"/>
  <c r="N46" i="38" s="1"/>
  <c r="K46" i="38"/>
  <c r="L46" i="38" s="1"/>
  <c r="H46" i="38"/>
  <c r="G46" i="38"/>
  <c r="E46" i="38"/>
  <c r="D46" i="38"/>
  <c r="M45" i="38"/>
  <c r="N45" i="38" s="1"/>
  <c r="K45" i="38"/>
  <c r="L45" i="38" s="1"/>
  <c r="H45" i="38"/>
  <c r="G45" i="38"/>
  <c r="E45" i="38"/>
  <c r="D45" i="38"/>
  <c r="M44" i="38"/>
  <c r="N44" i="38" s="1"/>
  <c r="K44" i="38"/>
  <c r="L44" i="38" s="1"/>
  <c r="H44" i="38"/>
  <c r="G44" i="38"/>
  <c r="E44" i="38"/>
  <c r="D44" i="38"/>
  <c r="M43" i="38"/>
  <c r="N43" i="38" s="1"/>
  <c r="K43" i="38"/>
  <c r="L43" i="38" s="1"/>
  <c r="H43" i="38"/>
  <c r="G43" i="38"/>
  <c r="E43" i="38"/>
  <c r="D43" i="38"/>
  <c r="M42" i="38"/>
  <c r="N42" i="38" s="1"/>
  <c r="K42" i="38"/>
  <c r="L42" i="38" s="1"/>
  <c r="H42" i="38"/>
  <c r="G42" i="38"/>
  <c r="E42" i="38"/>
  <c r="D42" i="38"/>
  <c r="M41" i="38"/>
  <c r="N41" i="38" s="1"/>
  <c r="K41" i="38"/>
  <c r="L41" i="38" s="1"/>
  <c r="H41" i="38"/>
  <c r="G41" i="38"/>
  <c r="E41" i="38"/>
  <c r="D41" i="38"/>
  <c r="M40" i="38"/>
  <c r="N40" i="38" s="1"/>
  <c r="K40" i="38"/>
  <c r="L40" i="38" s="1"/>
  <c r="H40" i="38"/>
  <c r="G40" i="38"/>
  <c r="E40" i="38"/>
  <c r="D40" i="38"/>
  <c r="M39" i="38"/>
  <c r="N39" i="38" s="1"/>
  <c r="K39" i="38"/>
  <c r="L39" i="38" s="1"/>
  <c r="H39" i="38"/>
  <c r="G39" i="38"/>
  <c r="E39" i="38"/>
  <c r="D39" i="38"/>
  <c r="M38" i="38"/>
  <c r="N38" i="38" s="1"/>
  <c r="K38" i="38"/>
  <c r="L38" i="38" s="1"/>
  <c r="H38" i="38"/>
  <c r="G38" i="38"/>
  <c r="E38" i="38"/>
  <c r="D38" i="38"/>
  <c r="M37" i="38"/>
  <c r="N37" i="38" s="1"/>
  <c r="K37" i="38"/>
  <c r="L37" i="38" s="1"/>
  <c r="H37" i="38"/>
  <c r="G37" i="38"/>
  <c r="E37" i="38"/>
  <c r="D37" i="38"/>
  <c r="M36" i="38"/>
  <c r="N36" i="38" s="1"/>
  <c r="K36" i="38"/>
  <c r="L36" i="38" s="1"/>
  <c r="H36" i="38"/>
  <c r="G36" i="38"/>
  <c r="E36" i="38"/>
  <c r="D36" i="38"/>
  <c r="M35" i="38"/>
  <c r="N35" i="38" s="1"/>
  <c r="K35" i="38"/>
  <c r="L35" i="38" s="1"/>
  <c r="H35" i="38"/>
  <c r="G35" i="38"/>
  <c r="E35" i="38"/>
  <c r="D35" i="38"/>
  <c r="M34" i="38"/>
  <c r="N34" i="38" s="1"/>
  <c r="K34" i="38"/>
  <c r="L34" i="38" s="1"/>
  <c r="H34" i="38"/>
  <c r="G34" i="38"/>
  <c r="E34" i="38"/>
  <c r="D34" i="38"/>
  <c r="M33" i="38"/>
  <c r="N33" i="38" s="1"/>
  <c r="K33" i="38"/>
  <c r="L33" i="38" s="1"/>
  <c r="H33" i="38"/>
  <c r="G33" i="38"/>
  <c r="E33" i="38"/>
  <c r="D33" i="38"/>
  <c r="M32" i="38"/>
  <c r="N32" i="38" s="1"/>
  <c r="K32" i="38"/>
  <c r="L32" i="38" s="1"/>
  <c r="H32" i="38"/>
  <c r="G32" i="38"/>
  <c r="E32" i="38"/>
  <c r="D32" i="38"/>
  <c r="M31" i="38"/>
  <c r="N31" i="38" s="1"/>
  <c r="K31" i="38"/>
  <c r="L31" i="38" s="1"/>
  <c r="H31" i="38"/>
  <c r="G31" i="38"/>
  <c r="E31" i="38"/>
  <c r="D31" i="38"/>
  <c r="M30" i="38"/>
  <c r="N30" i="38" s="1"/>
  <c r="K30" i="38"/>
  <c r="L30" i="38" s="1"/>
  <c r="H30" i="38"/>
  <c r="G30" i="38"/>
  <c r="E30" i="38"/>
  <c r="D30" i="38"/>
  <c r="M29" i="38"/>
  <c r="N29" i="38" s="1"/>
  <c r="K29" i="38"/>
  <c r="L29" i="38" s="1"/>
  <c r="H29" i="38"/>
  <c r="G29" i="38"/>
  <c r="E29" i="38"/>
  <c r="D29" i="38"/>
  <c r="M28" i="38"/>
  <c r="N28" i="38" s="1"/>
  <c r="K28" i="38"/>
  <c r="L28" i="38" s="1"/>
  <c r="H28" i="38"/>
  <c r="G28" i="38"/>
  <c r="E28" i="38"/>
  <c r="D28" i="38"/>
  <c r="M27" i="38"/>
  <c r="N27" i="38" s="1"/>
  <c r="K27" i="38"/>
  <c r="L27" i="38" s="1"/>
  <c r="H27" i="38"/>
  <c r="G27" i="38"/>
  <c r="E27" i="38"/>
  <c r="D27" i="38"/>
  <c r="M26" i="38"/>
  <c r="N26" i="38" s="1"/>
  <c r="K26" i="38"/>
  <c r="L26" i="38" s="1"/>
  <c r="H26" i="38"/>
  <c r="G26" i="38"/>
  <c r="E26" i="38"/>
  <c r="D26" i="38"/>
  <c r="M25" i="38"/>
  <c r="N25" i="38" s="1"/>
  <c r="K25" i="38"/>
  <c r="L25" i="38" s="1"/>
  <c r="H25" i="38"/>
  <c r="G25" i="38"/>
  <c r="E25" i="38"/>
  <c r="D25" i="38"/>
  <c r="M24" i="38"/>
  <c r="N24" i="38" s="1"/>
  <c r="K24" i="38"/>
  <c r="L24" i="38" s="1"/>
  <c r="H24" i="38"/>
  <c r="G24" i="38"/>
  <c r="E24" i="38"/>
  <c r="D24" i="38"/>
  <c r="M23" i="38"/>
  <c r="N23" i="38" s="1"/>
  <c r="K23" i="38"/>
  <c r="L23" i="38" s="1"/>
  <c r="H23" i="38"/>
  <c r="G23" i="38"/>
  <c r="E23" i="38"/>
  <c r="D23" i="38"/>
  <c r="M22" i="38"/>
  <c r="N22" i="38" s="1"/>
  <c r="K22" i="38"/>
  <c r="L22" i="38" s="1"/>
  <c r="H22" i="38"/>
  <c r="G22" i="38"/>
  <c r="E22" i="38"/>
  <c r="D22" i="38"/>
  <c r="M21" i="38"/>
  <c r="N21" i="38" s="1"/>
  <c r="K21" i="38"/>
  <c r="L21" i="38" s="1"/>
  <c r="H21" i="38"/>
  <c r="G21" i="38"/>
  <c r="E21" i="38"/>
  <c r="D21" i="38"/>
  <c r="M20" i="38"/>
  <c r="N20" i="38" s="1"/>
  <c r="K20" i="38"/>
  <c r="L20" i="38" s="1"/>
  <c r="H20" i="38"/>
  <c r="G20" i="38"/>
  <c r="E20" i="38"/>
  <c r="D20" i="38"/>
  <c r="M19" i="38"/>
  <c r="N19" i="38" s="1"/>
  <c r="K19" i="38"/>
  <c r="L19" i="38" s="1"/>
  <c r="H19" i="38"/>
  <c r="G19" i="38"/>
  <c r="E19" i="38"/>
  <c r="D19" i="38"/>
  <c r="M18" i="38"/>
  <c r="N18" i="38" s="1"/>
  <c r="K18" i="38"/>
  <c r="L18" i="38" s="1"/>
  <c r="H18" i="38"/>
  <c r="G18" i="38"/>
  <c r="E18" i="38"/>
  <c r="D18" i="38"/>
  <c r="M17" i="38"/>
  <c r="N17" i="38" s="1"/>
  <c r="K17" i="38"/>
  <c r="L17" i="38" s="1"/>
  <c r="H17" i="38"/>
  <c r="G17" i="38"/>
  <c r="E17" i="38"/>
  <c r="D17" i="38"/>
  <c r="M16" i="38"/>
  <c r="N16" i="38" s="1"/>
  <c r="K16" i="38"/>
  <c r="L16" i="38" s="1"/>
  <c r="H16" i="38"/>
  <c r="G16" i="38"/>
  <c r="E16" i="38"/>
  <c r="D16" i="38"/>
  <c r="M15" i="38"/>
  <c r="N15" i="38" s="1"/>
  <c r="K15" i="38"/>
  <c r="L15" i="38" s="1"/>
  <c r="H15" i="38"/>
  <c r="G15" i="38"/>
  <c r="E15" i="38"/>
  <c r="D15" i="38"/>
  <c r="M14" i="38"/>
  <c r="N14" i="38" s="1"/>
  <c r="K14" i="38"/>
  <c r="L14" i="38" s="1"/>
  <c r="H14" i="38"/>
  <c r="G14" i="38"/>
  <c r="E14" i="38"/>
  <c r="D14" i="38"/>
  <c r="M13" i="38"/>
  <c r="N13" i="38" s="1"/>
  <c r="K13" i="38"/>
  <c r="L13" i="38" s="1"/>
  <c r="H13" i="38"/>
  <c r="G13" i="38"/>
  <c r="E13" i="38"/>
  <c r="D13" i="38"/>
  <c r="M12" i="38"/>
  <c r="N12" i="38" s="1"/>
  <c r="K12" i="38"/>
  <c r="L12" i="38" s="1"/>
  <c r="H12" i="38"/>
  <c r="G12" i="38"/>
  <c r="E12" i="38"/>
  <c r="D12" i="38"/>
  <c r="M11" i="38"/>
  <c r="N11" i="38" s="1"/>
  <c r="K11" i="38"/>
  <c r="L11" i="38" s="1"/>
  <c r="H11" i="38"/>
  <c r="G11" i="38"/>
  <c r="E11" i="38"/>
  <c r="D11" i="38"/>
  <c r="M10" i="38"/>
  <c r="N10" i="38" s="1"/>
  <c r="K10" i="38"/>
  <c r="L10" i="38" s="1"/>
  <c r="H10" i="38"/>
  <c r="G10" i="38"/>
  <c r="E10" i="38"/>
  <c r="D10" i="38"/>
  <c r="M9" i="38"/>
  <c r="N9" i="38" s="1"/>
  <c r="K9" i="38"/>
  <c r="L9" i="38" s="1"/>
  <c r="H9" i="38"/>
  <c r="G9" i="38"/>
  <c r="E9" i="38"/>
  <c r="D9" i="38"/>
  <c r="M8" i="38"/>
  <c r="N8" i="38" s="1"/>
  <c r="K8" i="38"/>
  <c r="L8" i="38" s="1"/>
  <c r="H8" i="38"/>
  <c r="G8" i="38"/>
  <c r="E8" i="38"/>
  <c r="D8" i="38"/>
  <c r="M7" i="38"/>
  <c r="N7" i="38" s="1"/>
  <c r="K7" i="38"/>
  <c r="L7" i="38" s="1"/>
  <c r="H7" i="38"/>
  <c r="G7" i="38"/>
  <c r="E7" i="38"/>
  <c r="D7" i="38"/>
  <c r="M6" i="38"/>
  <c r="N6" i="38" s="1"/>
  <c r="K6" i="38"/>
  <c r="L6" i="38" s="1"/>
  <c r="H6" i="38"/>
  <c r="G6" i="38"/>
  <c r="E6" i="38"/>
  <c r="D6" i="38"/>
  <c r="M5" i="38"/>
  <c r="N5" i="38" s="1"/>
  <c r="K5" i="38"/>
  <c r="L5" i="38" s="1"/>
  <c r="H5" i="38"/>
  <c r="G5" i="38"/>
  <c r="E5" i="38"/>
  <c r="D5" i="38"/>
  <c r="M4" i="38"/>
  <c r="N4" i="38" s="1"/>
  <c r="K4" i="38"/>
  <c r="L4" i="38" s="1"/>
  <c r="H4" i="38"/>
  <c r="G4" i="38"/>
  <c r="E4" i="38"/>
  <c r="D4" i="38"/>
  <c r="M3" i="38"/>
  <c r="N3" i="38" s="1"/>
  <c r="W3" i="38" s="1"/>
  <c r="K3" i="38"/>
  <c r="L3" i="38" s="1"/>
  <c r="H3" i="38"/>
  <c r="G3" i="38"/>
  <c r="E3" i="38"/>
  <c r="D3" i="38"/>
  <c r="O2" i="38"/>
  <c r="M2" i="38"/>
  <c r="N2" i="38" s="1"/>
  <c r="W2" i="38" s="1"/>
  <c r="N244" i="1"/>
  <c r="N249" i="1"/>
  <c r="N245" i="1"/>
  <c r="H240" i="1"/>
  <c r="C240" i="1"/>
  <c r="K239" i="1"/>
  <c r="K240" i="1" s="1"/>
  <c r="F239" i="1"/>
  <c r="F240" i="1" s="1"/>
  <c r="H237" i="1"/>
  <c r="C237" i="1"/>
  <c r="F236" i="1"/>
  <c r="F235" i="1"/>
  <c r="K234" i="1"/>
  <c r="F234" i="1"/>
  <c r="K233" i="1"/>
  <c r="F233" i="1"/>
  <c r="K232" i="1"/>
  <c r="F232" i="1"/>
  <c r="H230" i="1"/>
  <c r="C230" i="1"/>
  <c r="F229" i="1"/>
  <c r="F228" i="1"/>
  <c r="F227" i="1"/>
  <c r="F226" i="1"/>
  <c r="F225" i="1"/>
  <c r="K224" i="1"/>
  <c r="F224" i="1"/>
  <c r="K223" i="1"/>
  <c r="F223" i="1"/>
  <c r="H221" i="1"/>
  <c r="C221" i="1"/>
  <c r="K220" i="1"/>
  <c r="K221" i="1" s="1"/>
  <c r="F220" i="1"/>
  <c r="F221" i="1" s="1"/>
  <c r="M218" i="1"/>
  <c r="H218" i="1"/>
  <c r="C218" i="1"/>
  <c r="K217" i="1"/>
  <c r="K218" i="1" s="1"/>
  <c r="F217" i="1"/>
  <c r="F218" i="1" s="1"/>
  <c r="M215" i="1"/>
  <c r="H215" i="1"/>
  <c r="C215" i="1"/>
  <c r="K214" i="1"/>
  <c r="F214" i="1"/>
  <c r="K213" i="1"/>
  <c r="F213" i="1"/>
  <c r="H211" i="1"/>
  <c r="C211" i="1"/>
  <c r="F210" i="1"/>
  <c r="K209" i="1"/>
  <c r="K211" i="1" s="1"/>
  <c r="F209" i="1"/>
  <c r="H207" i="1"/>
  <c r="C207" i="1"/>
  <c r="K206" i="1"/>
  <c r="K207" i="1" s="1"/>
  <c r="F206" i="1"/>
  <c r="F207" i="1" s="1"/>
  <c r="H204" i="1"/>
  <c r="C204" i="1"/>
  <c r="F203" i="1"/>
  <c r="F202" i="1"/>
  <c r="F201" i="1"/>
  <c r="K200" i="1"/>
  <c r="F200" i="1"/>
  <c r="K199" i="1"/>
  <c r="F199" i="1"/>
  <c r="K198" i="1"/>
  <c r="F198" i="1"/>
  <c r="K197" i="1"/>
  <c r="F197" i="1"/>
  <c r="K196" i="1"/>
  <c r="F196" i="1"/>
  <c r="K195" i="1"/>
  <c r="F195" i="1"/>
  <c r="K194" i="1"/>
  <c r="F194" i="1"/>
  <c r="K193" i="1"/>
  <c r="F193" i="1"/>
  <c r="K192" i="1"/>
  <c r="F192" i="1"/>
  <c r="K191" i="1"/>
  <c r="F191" i="1"/>
  <c r="K190" i="1"/>
  <c r="F190" i="1"/>
  <c r="K189" i="1"/>
  <c r="F189" i="1"/>
  <c r="K188" i="1"/>
  <c r="F188" i="1"/>
  <c r="K187" i="1"/>
  <c r="F187" i="1"/>
  <c r="K186" i="1"/>
  <c r="F186" i="1"/>
  <c r="K185" i="1"/>
  <c r="F185" i="1"/>
  <c r="K184" i="1"/>
  <c r="F184" i="1"/>
  <c r="K183" i="1"/>
  <c r="F183" i="1"/>
  <c r="K182" i="1"/>
  <c r="F182" i="1"/>
  <c r="K181" i="1"/>
  <c r="F181" i="1"/>
  <c r="K180" i="1"/>
  <c r="F180" i="1"/>
  <c r="K179" i="1"/>
  <c r="F179" i="1"/>
  <c r="K178" i="1"/>
  <c r="F178" i="1"/>
  <c r="K177" i="1"/>
  <c r="F177" i="1"/>
  <c r="H175" i="1"/>
  <c r="C175" i="1"/>
  <c r="K174" i="1"/>
  <c r="K175" i="1" s="1"/>
  <c r="F174" i="1"/>
  <c r="F175" i="1" s="1"/>
  <c r="F171" i="1"/>
  <c r="K170" i="1"/>
  <c r="D170" i="1"/>
  <c r="F170" i="1" s="1"/>
  <c r="K169" i="1"/>
  <c r="F169" i="1"/>
  <c r="K168" i="1"/>
  <c r="F168" i="1"/>
  <c r="M166" i="1"/>
  <c r="H166" i="1"/>
  <c r="C166" i="1"/>
  <c r="K165" i="1"/>
  <c r="F165" i="1"/>
  <c r="K164" i="1"/>
  <c r="F164" i="1"/>
  <c r="K163" i="1"/>
  <c r="F163" i="1"/>
  <c r="K162" i="1"/>
  <c r="F162" i="1"/>
  <c r="K160" i="1"/>
  <c r="N160" i="1" s="1"/>
  <c r="O160" i="1" s="1"/>
  <c r="M153" i="1"/>
  <c r="H153" i="1"/>
  <c r="C153" i="1"/>
  <c r="F152" i="1"/>
  <c r="F151" i="1"/>
  <c r="F150" i="1"/>
  <c r="F149" i="1"/>
  <c r="K148" i="1"/>
  <c r="K153" i="1" s="1"/>
  <c r="F148" i="1"/>
  <c r="H146" i="1"/>
  <c r="C146" i="1"/>
  <c r="F145" i="1"/>
  <c r="K144" i="1"/>
  <c r="K146" i="1" s="1"/>
  <c r="F144" i="1"/>
  <c r="H142" i="1"/>
  <c r="C142" i="1"/>
  <c r="K141" i="1"/>
  <c r="K142" i="1" s="1"/>
  <c r="F141" i="1"/>
  <c r="F142" i="1" s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M94" i="1"/>
  <c r="F94" i="1"/>
  <c r="K91" i="1"/>
  <c r="K90" i="1"/>
  <c r="H88" i="1"/>
  <c r="C88" i="1"/>
  <c r="F87" i="1"/>
  <c r="K86" i="1"/>
  <c r="F86" i="1"/>
  <c r="K85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K72" i="1"/>
  <c r="F72" i="1"/>
  <c r="K70" i="1"/>
  <c r="F70" i="1"/>
  <c r="H61" i="1"/>
  <c r="C61" i="1"/>
  <c r="K60" i="1"/>
  <c r="K61" i="1" s="1"/>
  <c r="F60" i="1"/>
  <c r="F61" i="1" s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K34" i="1"/>
  <c r="F34" i="1"/>
  <c r="H32" i="1"/>
  <c r="C32" i="1"/>
  <c r="F31" i="1"/>
  <c r="F30" i="1"/>
  <c r="K29" i="1"/>
  <c r="K32" i="1" s="1"/>
  <c r="F29" i="1"/>
  <c r="H27" i="1"/>
  <c r="C27" i="1"/>
  <c r="F26" i="1"/>
  <c r="F25" i="1"/>
  <c r="F24" i="1"/>
  <c r="K23" i="1"/>
  <c r="F23" i="1"/>
  <c r="K22" i="1"/>
  <c r="F22" i="1"/>
  <c r="M21" i="1"/>
  <c r="M27" i="1" s="1"/>
  <c r="K21" i="1"/>
  <c r="F21" i="1"/>
  <c r="H19" i="1"/>
  <c r="C19" i="1"/>
  <c r="K18" i="1"/>
  <c r="K19" i="1" s="1"/>
  <c r="F18" i="1"/>
  <c r="F19" i="1" s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H6" i="1"/>
  <c r="C6" i="1"/>
  <c r="F5" i="1"/>
  <c r="K4" i="1"/>
  <c r="F4" i="1"/>
  <c r="K3" i="1"/>
  <c r="F3" i="1"/>
  <c r="K2" i="1"/>
  <c r="F2" i="1"/>
  <c r="K86" i="53"/>
  <c r="C82" i="50"/>
  <c r="H19" i="58"/>
  <c r="H19" i="54"/>
  <c r="H101" i="57"/>
  <c r="F19" i="61"/>
  <c r="F19" i="3"/>
  <c r="C19" i="66"/>
  <c r="F19" i="68"/>
  <c r="M101" i="57"/>
  <c r="M19" i="50"/>
  <c r="M19" i="34"/>
  <c r="C19" i="55"/>
  <c r="F19" i="40"/>
  <c r="M103" i="58"/>
  <c r="F19" i="62"/>
  <c r="K19" i="63"/>
  <c r="F94" i="52"/>
  <c r="C19" i="3"/>
  <c r="F29" i="51"/>
  <c r="H19" i="41"/>
  <c r="M86" i="53"/>
  <c r="K19" i="3"/>
  <c r="H32" i="31"/>
  <c r="M19" i="57"/>
  <c r="K125" i="45"/>
  <c r="M19" i="52"/>
  <c r="M257" i="25"/>
  <c r="F19" i="69"/>
  <c r="K103" i="58"/>
  <c r="M80" i="41"/>
  <c r="C19" i="62"/>
  <c r="H19" i="50"/>
  <c r="H103" i="58"/>
  <c r="F86" i="53"/>
  <c r="M19" i="41"/>
  <c r="K19" i="45"/>
  <c r="H72" i="59"/>
  <c r="F65" i="63"/>
  <c r="M125" i="45"/>
  <c r="F67" i="60"/>
  <c r="M29" i="51"/>
  <c r="M19" i="60"/>
  <c r="M19" i="53"/>
  <c r="K19" i="34"/>
  <c r="H30" i="49"/>
  <c r="F19" i="53"/>
  <c r="M32" i="31"/>
  <c r="C86" i="53"/>
  <c r="C19" i="50"/>
  <c r="F19" i="45"/>
  <c r="M19" i="64"/>
  <c r="F19" i="64"/>
  <c r="F19" i="63"/>
  <c r="F125" i="45"/>
  <c r="C19" i="34"/>
  <c r="H19" i="59"/>
  <c r="K19" i="69"/>
  <c r="H125" i="45"/>
  <c r="H19" i="53"/>
  <c r="K19" i="64"/>
  <c r="K30" i="49"/>
  <c r="M67" i="60"/>
  <c r="C29" i="51"/>
  <c r="K80" i="41"/>
  <c r="H19" i="34"/>
  <c r="F80" i="41"/>
  <c r="H82" i="50"/>
  <c r="M94" i="52"/>
  <c r="K82" i="50"/>
  <c r="H19" i="63"/>
  <c r="M19" i="62"/>
  <c r="C65" i="63"/>
  <c r="H19" i="3"/>
  <c r="K19" i="62"/>
  <c r="M30" i="49"/>
  <c r="K19" i="41"/>
  <c r="F103" i="58"/>
  <c r="M65" i="63"/>
  <c r="C30" i="49"/>
  <c r="H19" i="55"/>
  <c r="F19" i="66"/>
  <c r="H86" i="53"/>
  <c r="C19" i="68"/>
  <c r="F72" i="59"/>
  <c r="F19" i="55"/>
  <c r="C32" i="31"/>
  <c r="H94" i="52"/>
  <c r="K94" i="52"/>
  <c r="K29" i="51"/>
  <c r="C19" i="61"/>
  <c r="K32" i="31"/>
  <c r="C125" i="45"/>
  <c r="F30" i="49"/>
  <c r="K19" i="58"/>
  <c r="M19" i="61"/>
  <c r="H29" i="51"/>
  <c r="M19" i="55"/>
  <c r="C19" i="60"/>
  <c r="F19" i="50"/>
  <c r="K19" i="66"/>
  <c r="K19" i="68"/>
  <c r="H19" i="60"/>
  <c r="C72" i="59"/>
  <c r="H19" i="62"/>
  <c r="H19" i="69"/>
  <c r="F19" i="41"/>
  <c r="F101" i="57"/>
  <c r="C103" i="58"/>
  <c r="H65" i="63"/>
  <c r="M19" i="66"/>
  <c r="K19" i="61"/>
  <c r="H67" i="60"/>
  <c r="C19" i="41"/>
  <c r="K65" i="63"/>
  <c r="H19" i="66"/>
  <c r="K19" i="55"/>
  <c r="C19" i="64"/>
  <c r="M72" i="59"/>
  <c r="F19" i="58"/>
  <c r="C19" i="57"/>
  <c r="K67" i="60"/>
  <c r="C19" i="45"/>
  <c r="K19" i="50"/>
  <c r="K101" i="57"/>
  <c r="M82" i="50"/>
  <c r="K19" i="59"/>
  <c r="K19" i="52"/>
  <c r="F19" i="60"/>
  <c r="H19" i="45"/>
  <c r="F19" i="54"/>
  <c r="H19" i="57"/>
  <c r="M19" i="54"/>
  <c r="C19" i="52"/>
  <c r="C19" i="63"/>
  <c r="C19" i="54"/>
  <c r="C94" i="52"/>
  <c r="K19" i="54"/>
  <c r="C19" i="59"/>
  <c r="K19" i="53"/>
  <c r="M108" i="7"/>
  <c r="K19" i="60"/>
  <c r="C19" i="58"/>
  <c r="F19" i="59"/>
  <c r="K19" i="57"/>
  <c r="F19" i="57"/>
  <c r="F32" i="31"/>
  <c r="C101" i="57"/>
  <c r="C67" i="60"/>
  <c r="K72" i="59"/>
  <c r="H19" i="61"/>
  <c r="M19" i="58"/>
  <c r="M19" i="63"/>
  <c r="C19" i="69"/>
  <c r="H19" i="52"/>
  <c r="F19" i="52"/>
  <c r="M19" i="68"/>
  <c r="M19" i="59"/>
  <c r="C80" i="41"/>
  <c r="H19" i="68"/>
  <c r="H80" i="41"/>
  <c r="F19" i="34"/>
  <c r="F82" i="50"/>
  <c r="M19" i="3"/>
  <c r="C19" i="53"/>
  <c r="F257" i="25"/>
  <c r="C257" i="25"/>
  <c r="F108" i="7"/>
  <c r="C108" i="7"/>
  <c r="K108" i="7"/>
  <c r="H108" i="7"/>
  <c r="K257" i="25"/>
  <c r="H257" i="25"/>
  <c r="M23" i="17"/>
  <c r="F23" i="17"/>
  <c r="K23" i="17"/>
  <c r="M19" i="69"/>
  <c r="U351" i="38" l="1"/>
  <c r="U350" i="38"/>
  <c r="U349" i="38"/>
  <c r="U348" i="38"/>
  <c r="U347" i="38"/>
  <c r="U346" i="38"/>
  <c r="U345" i="38"/>
  <c r="U344" i="38"/>
  <c r="U343" i="38"/>
  <c r="U342" i="38"/>
  <c r="F85" i="53"/>
  <c r="U341" i="38"/>
  <c r="U340" i="38"/>
  <c r="U339" i="38"/>
  <c r="U338" i="38"/>
  <c r="U337" i="38"/>
  <c r="U336" i="38"/>
  <c r="U335" i="38"/>
  <c r="U334" i="38"/>
  <c r="U333" i="38"/>
  <c r="U331" i="38"/>
  <c r="U332" i="38"/>
  <c r="F18" i="65"/>
  <c r="F55" i="65"/>
  <c r="M37" i="65" s="1"/>
  <c r="Q10" i="65" s="1"/>
  <c r="U330" i="38"/>
  <c r="U329" i="38"/>
  <c r="F18" i="53"/>
  <c r="U328" i="38"/>
  <c r="U327" i="38"/>
  <c r="U326" i="38"/>
  <c r="U325" i="38"/>
  <c r="U324" i="38"/>
  <c r="U323" i="38"/>
  <c r="U322" i="38"/>
  <c r="U321" i="38"/>
  <c r="U320" i="38"/>
  <c r="U319" i="38"/>
  <c r="U318" i="38"/>
  <c r="U317" i="38"/>
  <c r="U316" i="38"/>
  <c r="F18" i="40"/>
  <c r="U315" i="38"/>
  <c r="U314" i="38"/>
  <c r="U313" i="38"/>
  <c r="U312" i="38"/>
  <c r="U311" i="38"/>
  <c r="F18" i="45"/>
  <c r="U310" i="38"/>
  <c r="U309" i="38"/>
  <c r="U308" i="38"/>
  <c r="U307" i="38"/>
  <c r="U306" i="38"/>
  <c r="Q2" i="49"/>
  <c r="Q5" i="49" s="1"/>
  <c r="U305" i="38"/>
  <c r="U304" i="38"/>
  <c r="U303" i="38"/>
  <c r="F18" i="61"/>
  <c r="K100" i="57"/>
  <c r="U302" i="38"/>
  <c r="U301" i="38"/>
  <c r="U300" i="38"/>
  <c r="U299" i="38"/>
  <c r="F100" i="57"/>
  <c r="U296" i="38"/>
  <c r="U298" i="38"/>
  <c r="U297" i="38"/>
  <c r="F18" i="54"/>
  <c r="U295" i="38"/>
  <c r="U294" i="38"/>
  <c r="U293" i="38"/>
  <c r="U291" i="38"/>
  <c r="U292" i="38"/>
  <c r="U290" i="38"/>
  <c r="U289" i="38"/>
  <c r="U288" i="38"/>
  <c r="U287" i="38"/>
  <c r="U286" i="38"/>
  <c r="U285" i="38"/>
  <c r="F35" i="30"/>
  <c r="U284" i="38"/>
  <c r="U282" i="38"/>
  <c r="U283" i="38"/>
  <c r="O243" i="38"/>
  <c r="O251" i="38"/>
  <c r="Q2" i="68"/>
  <c r="Q8" i="68" s="1"/>
  <c r="Q7" i="68" s="1"/>
  <c r="U281" i="38"/>
  <c r="Q2" i="3"/>
  <c r="Q9" i="3" s="1"/>
  <c r="U280" i="38"/>
  <c r="U279" i="38"/>
  <c r="U278" i="38"/>
  <c r="Q2" i="30"/>
  <c r="Q9" i="30" s="1"/>
  <c r="K35" i="30"/>
  <c r="Q2" i="26"/>
  <c r="Q8" i="26" s="1"/>
  <c r="U277" i="38"/>
  <c r="F98" i="1"/>
  <c r="N98" i="1" s="1"/>
  <c r="O98" i="1" s="1"/>
  <c r="O155" i="38"/>
  <c r="Q2" i="33"/>
  <c r="Q5" i="33" s="1"/>
  <c r="K50" i="46"/>
  <c r="Q2" i="54"/>
  <c r="Q5" i="54" s="1"/>
  <c r="O7" i="38"/>
  <c r="O11" i="38"/>
  <c r="O15" i="38"/>
  <c r="O19" i="38"/>
  <c r="O91" i="38"/>
  <c r="O147" i="38"/>
  <c r="X2" i="38"/>
  <c r="N248" i="1" s="1"/>
  <c r="O146" i="38"/>
  <c r="O141" i="38"/>
  <c r="T267" i="38"/>
  <c r="O47" i="38"/>
  <c r="O176" i="38"/>
  <c r="O225" i="38"/>
  <c r="O263" i="38"/>
  <c r="O272" i="38"/>
  <c r="Q2" i="58"/>
  <c r="Q5" i="58" s="1"/>
  <c r="Q2" i="67"/>
  <c r="Q8" i="67" s="1"/>
  <c r="Q2" i="46"/>
  <c r="Q3" i="46" s="1"/>
  <c r="Q6" i="46" s="1"/>
  <c r="O22" i="38"/>
  <c r="O107" i="38"/>
  <c r="O239" i="38"/>
  <c r="O244" i="38"/>
  <c r="O271" i="38"/>
  <c r="Q2" i="60"/>
  <c r="Q8" i="60" s="1"/>
  <c r="K79" i="41"/>
  <c r="O40" i="38"/>
  <c r="O81" i="38"/>
  <c r="O121" i="38"/>
  <c r="O125" i="38"/>
  <c r="O129" i="38"/>
  <c r="O142" i="38"/>
  <c r="Q2" i="28"/>
  <c r="Q3" i="28" s="1"/>
  <c r="Q6" i="28" s="1"/>
  <c r="Q2" i="48"/>
  <c r="Q8" i="48" s="1"/>
  <c r="T200" i="38"/>
  <c r="Q2" i="61"/>
  <c r="Q5" i="61" s="1"/>
  <c r="O25" i="38"/>
  <c r="O160" i="38"/>
  <c r="O213" i="38"/>
  <c r="O250" i="38"/>
  <c r="F79" i="41"/>
  <c r="F88" i="1"/>
  <c r="O219" i="38"/>
  <c r="T261" i="38"/>
  <c r="Q2" i="42"/>
  <c r="Q9" i="42" s="1"/>
  <c r="M43" i="48"/>
  <c r="Q10" i="48" s="1"/>
  <c r="K83" i="1"/>
  <c r="K88" i="1"/>
  <c r="O33" i="38"/>
  <c r="O37" i="38"/>
  <c r="O65" i="38"/>
  <c r="O126" i="38"/>
  <c r="O130" i="38"/>
  <c r="O161" i="38"/>
  <c r="O192" i="38"/>
  <c r="Q2" i="55"/>
  <c r="Q5" i="55" s="1"/>
  <c r="Q2" i="47"/>
  <c r="Q8" i="47" s="1"/>
  <c r="O51" i="38"/>
  <c r="O55" i="38"/>
  <c r="O63" i="38"/>
  <c r="O99" i="38"/>
  <c r="O115" i="38"/>
  <c r="O137" i="38"/>
  <c r="O205" i="38"/>
  <c r="O235" i="38"/>
  <c r="O248" i="38"/>
  <c r="O268" i="38"/>
  <c r="Q2" i="57"/>
  <c r="Q8" i="57" s="1"/>
  <c r="Q2" i="51"/>
  <c r="Q5" i="51" s="1"/>
  <c r="F81" i="50"/>
  <c r="K81" i="50"/>
  <c r="Q2" i="20"/>
  <c r="Q9" i="20" s="1"/>
  <c r="O71" i="38"/>
  <c r="N206" i="38"/>
  <c r="T208" i="38"/>
  <c r="O247" i="38"/>
  <c r="Q2" i="22"/>
  <c r="Q8" i="22" s="1"/>
  <c r="Q2" i="52"/>
  <c r="Q9" i="52" s="1"/>
  <c r="K237" i="1"/>
  <c r="O75" i="38"/>
  <c r="T230" i="38"/>
  <c r="O246" i="38"/>
  <c r="M30" i="44"/>
  <c r="Q10" i="44" s="1"/>
  <c r="O6" i="38"/>
  <c r="O10" i="38"/>
  <c r="O18" i="38"/>
  <c r="O36" i="38"/>
  <c r="O38" i="38"/>
  <c r="O41" i="38"/>
  <c r="O83" i="38"/>
  <c r="O131" i="38"/>
  <c r="O145" i="38"/>
  <c r="O202" i="38"/>
  <c r="O259" i="38"/>
  <c r="O273" i="38"/>
  <c r="K47" i="29"/>
  <c r="K47" i="32"/>
  <c r="T239" i="38"/>
  <c r="K94" i="1"/>
  <c r="N94" i="1" s="1"/>
  <c r="O94" i="1" s="1"/>
  <c r="O156" i="38"/>
  <c r="O209" i="38"/>
  <c r="T237" i="38"/>
  <c r="K53" i="56"/>
  <c r="M35" i="56" s="1"/>
  <c r="Q10" i="56" s="1"/>
  <c r="Q2" i="62"/>
  <c r="Q5" i="62" s="1"/>
  <c r="Q2" i="5"/>
  <c r="Q9" i="5" s="1"/>
  <c r="F86" i="40"/>
  <c r="F51" i="28"/>
  <c r="M33" i="28" s="1"/>
  <c r="Q10" i="28" s="1"/>
  <c r="K44" i="26"/>
  <c r="N218" i="1"/>
  <c r="O218" i="1" s="1"/>
  <c r="O58" i="38"/>
  <c r="O78" i="38"/>
  <c r="T215" i="38"/>
  <c r="N242" i="38"/>
  <c r="Q2" i="69"/>
  <c r="Q5" i="69" s="1"/>
  <c r="Q2" i="40"/>
  <c r="N19" i="1"/>
  <c r="O19" i="1" s="1"/>
  <c r="K172" i="1"/>
  <c r="N207" i="1"/>
  <c r="O207" i="1" s="1"/>
  <c r="K85" i="38"/>
  <c r="L85" i="38" s="1"/>
  <c r="O85" i="38" s="1"/>
  <c r="N210" i="38"/>
  <c r="K240" i="38"/>
  <c r="L240" i="38" s="1"/>
  <c r="O240" i="38" s="1"/>
  <c r="T241" i="38"/>
  <c r="F73" i="55"/>
  <c r="K71" i="59"/>
  <c r="M53" i="59" s="1"/>
  <c r="Q10" i="59" s="1"/>
  <c r="F83" i="1"/>
  <c r="O171" i="38"/>
  <c r="O187" i="38"/>
  <c r="T211" i="38"/>
  <c r="O226" i="38"/>
  <c r="M240" i="38"/>
  <c r="T240" i="38" s="1"/>
  <c r="Q2" i="41"/>
  <c r="Q5" i="41" s="1"/>
  <c r="K86" i="40"/>
  <c r="F31" i="31"/>
  <c r="K50" i="15"/>
  <c r="N61" i="1"/>
  <c r="O61" i="1" s="1"/>
  <c r="O26" i="38"/>
  <c r="O59" i="38"/>
  <c r="O66" i="38"/>
  <c r="O96" i="38"/>
  <c r="O112" i="38"/>
  <c r="O119" i="38"/>
  <c r="O267" i="38"/>
  <c r="K16" i="1"/>
  <c r="K204" i="1"/>
  <c r="F211" i="1"/>
  <c r="N211" i="1" s="1"/>
  <c r="O211" i="1" s="1"/>
  <c r="K215" i="1"/>
  <c r="U276" i="38"/>
  <c r="U275" i="38"/>
  <c r="O9" i="38"/>
  <c r="O13" i="38"/>
  <c r="O20" i="38"/>
  <c r="O29" i="38"/>
  <c r="O39" i="38"/>
  <c r="O73" i="38"/>
  <c r="O124" i="38"/>
  <c r="O144" i="38"/>
  <c r="N202" i="38"/>
  <c r="O217" i="38"/>
  <c r="N220" i="38"/>
  <c r="N224" i="38"/>
  <c r="N251" i="38"/>
  <c r="O256" i="38"/>
  <c r="O265" i="38"/>
  <c r="O269" i="38"/>
  <c r="Q2" i="17"/>
  <c r="Q5" i="17" s="1"/>
  <c r="M37" i="67"/>
  <c r="Q10" i="67" s="1"/>
  <c r="F124" i="45"/>
  <c r="K93" i="52"/>
  <c r="O24" i="38"/>
  <c r="O49" i="38"/>
  <c r="O88" i="38"/>
  <c r="O168" i="38"/>
  <c r="O201" i="38"/>
  <c r="O266" i="38"/>
  <c r="K230" i="1"/>
  <c r="O17" i="38"/>
  <c r="O23" i="38"/>
  <c r="O34" i="38"/>
  <c r="O50" i="38"/>
  <c r="O94" i="38"/>
  <c r="O102" i="38"/>
  <c r="O110" i="38"/>
  <c r="O133" i="38"/>
  <c r="O138" i="38"/>
  <c r="O149" i="38"/>
  <c r="T204" i="38"/>
  <c r="O216" i="38"/>
  <c r="T219" i="38"/>
  <c r="N221" i="38"/>
  <c r="T223" i="38"/>
  <c r="N231" i="38"/>
  <c r="N232" i="38"/>
  <c r="T250" i="38"/>
  <c r="O254" i="38"/>
  <c r="O261" i="38"/>
  <c r="N266" i="38"/>
  <c r="F64" i="63"/>
  <c r="Q2" i="13"/>
  <c r="Q5" i="13" s="1"/>
  <c r="Q2" i="10"/>
  <c r="Q5" i="10" s="1"/>
  <c r="Q2" i="53"/>
  <c r="Q2" i="34"/>
  <c r="Q5" i="34" s="1"/>
  <c r="O104" i="38"/>
  <c r="O184" i="38"/>
  <c r="O230" i="38"/>
  <c r="O270" i="38"/>
  <c r="F146" i="1"/>
  <c r="N146" i="1" s="1"/>
  <c r="O146" i="1" s="1"/>
  <c r="O8" i="38"/>
  <c r="O12" i="38"/>
  <c r="O16" i="38"/>
  <c r="O57" i="38"/>
  <c r="O67" i="38"/>
  <c r="O93" i="38"/>
  <c r="O101" i="38"/>
  <c r="O109" i="38"/>
  <c r="O117" i="38"/>
  <c r="O123" i="38"/>
  <c r="O127" i="38"/>
  <c r="O143" i="38"/>
  <c r="O153" i="38"/>
  <c r="O163" i="38"/>
  <c r="O169" i="38"/>
  <c r="O179" i="38"/>
  <c r="O195" i="38"/>
  <c r="O214" i="38"/>
  <c r="N246" i="38"/>
  <c r="T257" i="38"/>
  <c r="K64" i="63"/>
  <c r="Q2" i="16"/>
  <c r="Q9" i="16" s="1"/>
  <c r="F51" i="16"/>
  <c r="K51" i="24"/>
  <c r="F51" i="24"/>
  <c r="F29" i="49"/>
  <c r="Q2" i="7"/>
  <c r="Q5" i="7" s="1"/>
  <c r="F44" i="26"/>
  <c r="F50" i="15"/>
  <c r="Q2" i="15"/>
  <c r="Q8" i="15" s="1"/>
  <c r="V23" i="38"/>
  <c r="W23" i="38" s="1"/>
  <c r="V29" i="38"/>
  <c r="W29" i="38" s="1"/>
  <c r="N175" i="1"/>
  <c r="O175" i="1" s="1"/>
  <c r="V19" i="38"/>
  <c r="W19" i="38" s="1"/>
  <c r="U23" i="38"/>
  <c r="O31" i="38"/>
  <c r="O42" i="38"/>
  <c r="O80" i="38"/>
  <c r="O90" i="38"/>
  <c r="O98" i="38"/>
  <c r="O106" i="38"/>
  <c r="O114" i="38"/>
  <c r="O118" i="38"/>
  <c r="T212" i="38"/>
  <c r="N212" i="38"/>
  <c r="K228" i="38"/>
  <c r="L228" i="38" s="1"/>
  <c r="O228" i="38" s="1"/>
  <c r="M227" i="38"/>
  <c r="K227" i="38"/>
  <c r="L227" i="38" s="1"/>
  <c r="O227" i="38" s="1"/>
  <c r="R227" i="38"/>
  <c r="F172" i="1"/>
  <c r="N142" i="1"/>
  <c r="O142" i="1" s="1"/>
  <c r="F153" i="1"/>
  <c r="N153" i="1" s="1"/>
  <c r="O153" i="1" s="1"/>
  <c r="U65" i="38"/>
  <c r="U22" i="38"/>
  <c r="O14" i="38"/>
  <c r="O21" i="38"/>
  <c r="O30" i="38"/>
  <c r="O45" i="38"/>
  <c r="O48" i="38"/>
  <c r="O53" i="38"/>
  <c r="O56" i="38"/>
  <c r="O61" i="38"/>
  <c r="O64" i="38"/>
  <c r="O69" i="38"/>
  <c r="O72" i="38"/>
  <c r="O77" i="38"/>
  <c r="O89" i="38"/>
  <c r="O97" i="38"/>
  <c r="O105" i="38"/>
  <c r="O113" i="38"/>
  <c r="O220" i="38"/>
  <c r="K73" i="55"/>
  <c r="F32" i="1"/>
  <c r="N32" i="1" s="1"/>
  <c r="O32" i="1" s="1"/>
  <c r="N101" i="1"/>
  <c r="O101" i="1" s="1"/>
  <c r="F204" i="1"/>
  <c r="O32" i="38"/>
  <c r="Q2" i="45"/>
  <c r="F230" i="1"/>
  <c r="F27" i="1"/>
  <c r="F58" i="1"/>
  <c r="N242" i="1"/>
  <c r="F237" i="1"/>
  <c r="O35" i="38"/>
  <c r="O43" i="38"/>
  <c r="O46" i="38"/>
  <c r="O54" i="38"/>
  <c r="O62" i="38"/>
  <c r="O70" i="38"/>
  <c r="O84" i="38"/>
  <c r="O87" i="38"/>
  <c r="O95" i="38"/>
  <c r="O103" i="38"/>
  <c r="O111" i="38"/>
  <c r="O139" i="38"/>
  <c r="O27" i="38"/>
  <c r="F139" i="1"/>
  <c r="F166" i="1"/>
  <c r="O44" i="38"/>
  <c r="O52" i="38"/>
  <c r="O76" i="38"/>
  <c r="T263" i="38"/>
  <c r="N263" i="38"/>
  <c r="T268" i="38"/>
  <c r="N268" i="38"/>
  <c r="F6" i="1"/>
  <c r="K27" i="1"/>
  <c r="F107" i="1"/>
  <c r="F215" i="1"/>
  <c r="N221" i="1"/>
  <c r="O221" i="1" s="1"/>
  <c r="O60" i="38"/>
  <c r="O68" i="38"/>
  <c r="K6" i="1"/>
  <c r="F16" i="1"/>
  <c r="K58" i="1"/>
  <c r="N70" i="1"/>
  <c r="O70" i="1" s="1"/>
  <c r="K107" i="1"/>
  <c r="K139" i="1"/>
  <c r="K166" i="1"/>
  <c r="N240" i="1"/>
  <c r="O240" i="1" s="1"/>
  <c r="O28" i="38"/>
  <c r="O79" i="38"/>
  <c r="O92" i="38"/>
  <c r="O100" i="38"/>
  <c r="O108" i="38"/>
  <c r="O116" i="38"/>
  <c r="O211" i="38"/>
  <c r="T214" i="38"/>
  <c r="N214" i="38"/>
  <c r="O128" i="38"/>
  <c r="O154" i="38"/>
  <c r="O162" i="38"/>
  <c r="O170" i="38"/>
  <c r="O177" i="38"/>
  <c r="O178" i="38"/>
  <c r="O186" i="38"/>
  <c r="O193" i="38"/>
  <c r="O194" i="38"/>
  <c r="O200" i="38"/>
  <c r="O204" i="38"/>
  <c r="O206" i="38"/>
  <c r="O207" i="38"/>
  <c r="N228" i="38"/>
  <c r="N234" i="38"/>
  <c r="N235" i="38"/>
  <c r="O238" i="38"/>
  <c r="N247" i="38"/>
  <c r="N248" i="38"/>
  <c r="O260" i="38"/>
  <c r="N273" i="38"/>
  <c r="Q2" i="56"/>
  <c r="Q5" i="56" s="1"/>
  <c r="Q2" i="50"/>
  <c r="Q3" i="50" s="1"/>
  <c r="Q6" i="50" s="1"/>
  <c r="K51" i="16"/>
  <c r="K31" i="31"/>
  <c r="Q2" i="31"/>
  <c r="Q5" i="31" s="1"/>
  <c r="Q2" i="43"/>
  <c r="Q3" i="43" s="1"/>
  <c r="Q6" i="43" s="1"/>
  <c r="O74" i="38"/>
  <c r="O82" i="38"/>
  <c r="O120" i="38"/>
  <c r="O122" i="38"/>
  <c r="O152" i="38"/>
  <c r="O157" i="38"/>
  <c r="O159" i="38"/>
  <c r="O165" i="38"/>
  <c r="O167" i="38"/>
  <c r="O173" i="38"/>
  <c r="O175" i="38"/>
  <c r="O181" i="38"/>
  <c r="O183" i="38"/>
  <c r="O189" i="38"/>
  <c r="O191" i="38"/>
  <c r="O197" i="38"/>
  <c r="O199" i="38"/>
  <c r="O203" i="38"/>
  <c r="T216" i="38"/>
  <c r="N217" i="38"/>
  <c r="O221" i="38"/>
  <c r="O222" i="38"/>
  <c r="O224" i="38"/>
  <c r="O232" i="38"/>
  <c r="O241" i="38"/>
  <c r="T253" i="38"/>
  <c r="O255" i="38"/>
  <c r="T255" i="38"/>
  <c r="N256" i="38"/>
  <c r="T260" i="38"/>
  <c r="T265" i="38"/>
  <c r="T272" i="38"/>
  <c r="K57" i="33"/>
  <c r="Q2" i="66"/>
  <c r="Q8" i="66" s="1"/>
  <c r="Q7" i="66" s="1"/>
  <c r="F18" i="62"/>
  <c r="Q2" i="63"/>
  <c r="Q5" i="63" s="1"/>
  <c r="F256" i="25"/>
  <c r="Q2" i="25"/>
  <c r="K22" i="17"/>
  <c r="K124" i="45"/>
  <c r="F47" i="29"/>
  <c r="O86" i="38"/>
  <c r="O135" i="38"/>
  <c r="O140" i="38"/>
  <c r="O151" i="38"/>
  <c r="R236" i="38"/>
  <c r="O249" i="38"/>
  <c r="Q2" i="64"/>
  <c r="K59" i="41"/>
  <c r="F50" i="46"/>
  <c r="K29" i="49"/>
  <c r="Q2" i="29"/>
  <c r="Q3" i="29" s="1"/>
  <c r="Q6" i="29" s="1"/>
  <c r="O136" i="38"/>
  <c r="O158" i="38"/>
  <c r="O164" i="38"/>
  <c r="O166" i="38"/>
  <c r="O172" i="38"/>
  <c r="O174" i="38"/>
  <c r="O180" i="38"/>
  <c r="O182" i="38"/>
  <c r="O188" i="38"/>
  <c r="O190" i="38"/>
  <c r="O196" i="38"/>
  <c r="O198" i="38"/>
  <c r="O223" i="38"/>
  <c r="O231" i="38"/>
  <c r="O242" i="38"/>
  <c r="O262" i="38"/>
  <c r="T262" i="38"/>
  <c r="Q2" i="65"/>
  <c r="K18" i="54"/>
  <c r="K107" i="7"/>
  <c r="M84" i="58"/>
  <c r="Q10" i="58" s="1"/>
  <c r="F22" i="17"/>
  <c r="Q2" i="44"/>
  <c r="Q3" i="44" s="1"/>
  <c r="Q6" i="44" s="1"/>
  <c r="O212" i="38"/>
  <c r="N225" i="38"/>
  <c r="N226" i="38"/>
  <c r="N243" i="38"/>
  <c r="N244" i="38"/>
  <c r="N264" i="38"/>
  <c r="N269" i="38"/>
  <c r="N270" i="38"/>
  <c r="F49" i="20"/>
  <c r="K56" i="22"/>
  <c r="Q2" i="24"/>
  <c r="Q9" i="24" s="1"/>
  <c r="K85" i="53"/>
  <c r="Q2" i="32"/>
  <c r="Q3" i="32" s="1"/>
  <c r="Q6" i="32" s="1"/>
  <c r="O134" i="38"/>
  <c r="O148" i="38"/>
  <c r="O150" i="38"/>
  <c r="O264" i="38"/>
  <c r="K28" i="51"/>
  <c r="K64" i="5"/>
  <c r="F47" i="32"/>
  <c r="O132" i="38"/>
  <c r="O208" i="38"/>
  <c r="O210" i="38"/>
  <c r="O215" i="38"/>
  <c r="O218" i="38"/>
  <c r="O229" i="38"/>
  <c r="K236" i="38"/>
  <c r="L236" i="38" s="1"/>
  <c r="O236" i="38" s="1"/>
  <c r="K237" i="38"/>
  <c r="L237" i="38" s="1"/>
  <c r="O237" i="38" s="1"/>
  <c r="O245" i="38"/>
  <c r="O257" i="38"/>
  <c r="T259" i="38"/>
  <c r="O274" i="38"/>
  <c r="F57" i="33"/>
  <c r="F18" i="64"/>
  <c r="K49" i="20"/>
  <c r="F56" i="22"/>
  <c r="F55" i="47"/>
  <c r="Q2" i="59"/>
  <c r="Q3" i="59" s="1"/>
  <c r="Q6" i="59" s="1"/>
  <c r="U4" i="38"/>
  <c r="U6" i="38"/>
  <c r="U8" i="38"/>
  <c r="U10" i="38"/>
  <c r="U12" i="38"/>
  <c r="U14" i="38"/>
  <c r="U17" i="38"/>
  <c r="U26" i="38"/>
  <c r="U33" i="38"/>
  <c r="U38" i="38"/>
  <c r="U44" i="38"/>
  <c r="U45" i="38"/>
  <c r="U58" i="38"/>
  <c r="U59" i="38"/>
  <c r="U170" i="38"/>
  <c r="T205" i="38"/>
  <c r="N205" i="38"/>
  <c r="U32" i="38"/>
  <c r="U57" i="38"/>
  <c r="U162" i="38"/>
  <c r="V83" i="38"/>
  <c r="W83" i="38" s="1"/>
  <c r="V81" i="38"/>
  <c r="W81" i="38" s="1"/>
  <c r="V79" i="38"/>
  <c r="W79" i="38" s="1"/>
  <c r="V77" i="38"/>
  <c r="W77" i="38" s="1"/>
  <c r="V75" i="38"/>
  <c r="W75" i="38" s="1"/>
  <c r="V73" i="38"/>
  <c r="W73" i="38" s="1"/>
  <c r="V71" i="38"/>
  <c r="W71" i="38" s="1"/>
  <c r="V69" i="38"/>
  <c r="W69" i="38" s="1"/>
  <c r="V67" i="38"/>
  <c r="W67" i="38" s="1"/>
  <c r="V65" i="38"/>
  <c r="W65" i="38" s="1"/>
  <c r="V63" i="38"/>
  <c r="W63" i="38" s="1"/>
  <c r="V61" i="38"/>
  <c r="W61" i="38" s="1"/>
  <c r="V59" i="38"/>
  <c r="W59" i="38" s="1"/>
  <c r="V57" i="38"/>
  <c r="W57" i="38" s="1"/>
  <c r="V55" i="38"/>
  <c r="W55" i="38" s="1"/>
  <c r="V53" i="38"/>
  <c r="W53" i="38" s="1"/>
  <c r="V51" i="38"/>
  <c r="W51" i="38" s="1"/>
  <c r="V49" i="38"/>
  <c r="W49" i="38" s="1"/>
  <c r="V47" i="38"/>
  <c r="W47" i="38" s="1"/>
  <c r="V45" i="38"/>
  <c r="W45" i="38" s="1"/>
  <c r="V43" i="38"/>
  <c r="W43" i="38" s="1"/>
  <c r="V41" i="38"/>
  <c r="W41" i="38" s="1"/>
  <c r="V39" i="38"/>
  <c r="W39" i="38" s="1"/>
  <c r="V37" i="38"/>
  <c r="W37" i="38" s="1"/>
  <c r="V35" i="38"/>
  <c r="W35" i="38" s="1"/>
  <c r="V33" i="38"/>
  <c r="W33" i="38" s="1"/>
  <c r="V84" i="38"/>
  <c r="W84" i="38" s="1"/>
  <c r="V82" i="38"/>
  <c r="W82" i="38" s="1"/>
  <c r="V80" i="38"/>
  <c r="W80" i="38" s="1"/>
  <c r="V78" i="38"/>
  <c r="W78" i="38" s="1"/>
  <c r="V76" i="38"/>
  <c r="W76" i="38" s="1"/>
  <c r="V74" i="38"/>
  <c r="W74" i="38" s="1"/>
  <c r="V72" i="38"/>
  <c r="W72" i="38" s="1"/>
  <c r="V70" i="38"/>
  <c r="W70" i="38" s="1"/>
  <c r="V68" i="38"/>
  <c r="W68" i="38" s="1"/>
  <c r="V66" i="38"/>
  <c r="W66" i="38" s="1"/>
  <c r="V64" i="38"/>
  <c r="W64" i="38" s="1"/>
  <c r="V62" i="38"/>
  <c r="W62" i="38" s="1"/>
  <c r="V60" i="38"/>
  <c r="W60" i="38" s="1"/>
  <c r="V58" i="38"/>
  <c r="W58" i="38" s="1"/>
  <c r="V56" i="38"/>
  <c r="W56" i="38" s="1"/>
  <c r="V54" i="38"/>
  <c r="W54" i="38" s="1"/>
  <c r="V52" i="38"/>
  <c r="W52" i="38" s="1"/>
  <c r="V50" i="38"/>
  <c r="W50" i="38" s="1"/>
  <c r="V48" i="38"/>
  <c r="W48" i="38" s="1"/>
  <c r="V46" i="38"/>
  <c r="W46" i="38" s="1"/>
  <c r="V44" i="38"/>
  <c r="W44" i="38" s="1"/>
  <c r="V42" i="38"/>
  <c r="W42" i="38" s="1"/>
  <c r="V40" i="38"/>
  <c r="W40" i="38" s="1"/>
  <c r="V38" i="38"/>
  <c r="W38" i="38" s="1"/>
  <c r="V36" i="38"/>
  <c r="W36" i="38" s="1"/>
  <c r="V34" i="38"/>
  <c r="W34" i="38" s="1"/>
  <c r="V32" i="38"/>
  <c r="W32" i="38" s="1"/>
  <c r="V30" i="38"/>
  <c r="W30" i="38" s="1"/>
  <c r="V28" i="38"/>
  <c r="W28" i="38" s="1"/>
  <c r="V26" i="38"/>
  <c r="W26" i="38" s="1"/>
  <c r="V24" i="38"/>
  <c r="W24" i="38" s="1"/>
  <c r="V22" i="38"/>
  <c r="W22" i="38" s="1"/>
  <c r="V20" i="38"/>
  <c r="W20" i="38" s="1"/>
  <c r="V18" i="38"/>
  <c r="W18" i="38" s="1"/>
  <c r="V16" i="38"/>
  <c r="W16" i="38" s="1"/>
  <c r="V14" i="38"/>
  <c r="W14" i="38" s="1"/>
  <c r="V4" i="38"/>
  <c r="W4" i="38" s="1"/>
  <c r="V6" i="38"/>
  <c r="W6" i="38" s="1"/>
  <c r="V8" i="38"/>
  <c r="W8" i="38" s="1"/>
  <c r="V10" i="38"/>
  <c r="W10" i="38" s="1"/>
  <c r="V12" i="38"/>
  <c r="W12" i="38" s="1"/>
  <c r="V17" i="38"/>
  <c r="W17" i="38" s="1"/>
  <c r="U20" i="38"/>
  <c r="U27" i="38"/>
  <c r="U39" i="38"/>
  <c r="U60" i="38"/>
  <c r="U61" i="38"/>
  <c r="U200" i="38"/>
  <c r="M233" i="38"/>
  <c r="K233" i="38"/>
  <c r="L233" i="38" s="1"/>
  <c r="O233" i="38" s="1"/>
  <c r="K234" i="38"/>
  <c r="L234" i="38" s="1"/>
  <c r="O234" i="38" s="1"/>
  <c r="R233" i="38"/>
  <c r="P2" i="38"/>
  <c r="O5" i="38"/>
  <c r="U15" i="38"/>
  <c r="U21" i="38"/>
  <c r="V27" i="38"/>
  <c r="W27" i="38" s="1"/>
  <c r="U30" i="38"/>
  <c r="U34" i="38"/>
  <c r="U46" i="38"/>
  <c r="U47" i="38"/>
  <c r="U62" i="38"/>
  <c r="U63" i="38"/>
  <c r="U118" i="38"/>
  <c r="V15" i="38"/>
  <c r="W15" i="38" s="1"/>
  <c r="V21" i="38"/>
  <c r="W21" i="38" s="1"/>
  <c r="U24" i="38"/>
  <c r="U31" i="38"/>
  <c r="U35" i="38"/>
  <c r="U40" i="38"/>
  <c r="U48" i="38"/>
  <c r="U49" i="38"/>
  <c r="U64" i="38"/>
  <c r="U56" i="38"/>
  <c r="U149" i="38"/>
  <c r="U271" i="38"/>
  <c r="U267" i="38"/>
  <c r="U263" i="38"/>
  <c r="U259" i="38"/>
  <c r="U274" i="38"/>
  <c r="U272" i="38"/>
  <c r="U269" i="38"/>
  <c r="U266" i="38"/>
  <c r="U256" i="38"/>
  <c r="U252" i="38"/>
  <c r="U236" i="38"/>
  <c r="U231" i="38"/>
  <c r="U227" i="38"/>
  <c r="U260" i="38"/>
  <c r="U249" i="38"/>
  <c r="U245" i="38"/>
  <c r="U241" i="38"/>
  <c r="U223" i="38"/>
  <c r="U219" i="38"/>
  <c r="U215" i="38"/>
  <c r="U211" i="38"/>
  <c r="U270" i="38"/>
  <c r="U257" i="38"/>
  <c r="U253" i="38"/>
  <c r="U264" i="38"/>
  <c r="U258" i="38"/>
  <c r="U250" i="38"/>
  <c r="U246" i="38"/>
  <c r="U242" i="38"/>
  <c r="U233" i="38"/>
  <c r="U273" i="38"/>
  <c r="U261" i="38"/>
  <c r="U254" i="38"/>
  <c r="U268" i="38"/>
  <c r="U251" i="38"/>
  <c r="U247" i="38"/>
  <c r="U243" i="38"/>
  <c r="U234" i="38"/>
  <c r="U225" i="38"/>
  <c r="U265" i="38"/>
  <c r="U262" i="38"/>
  <c r="U255" i="38"/>
  <c r="U239" i="38"/>
  <c r="U230" i="38"/>
  <c r="U235" i="38"/>
  <c r="U224" i="38"/>
  <c r="U222" i="38"/>
  <c r="U197" i="38"/>
  <c r="U189" i="38"/>
  <c r="U181" i="38"/>
  <c r="U173" i="38"/>
  <c r="U220" i="38"/>
  <c r="U218" i="38"/>
  <c r="U209" i="38"/>
  <c r="U205" i="38"/>
  <c r="U201" i="38"/>
  <c r="U192" i="38"/>
  <c r="U184" i="38"/>
  <c r="U176" i="38"/>
  <c r="U168" i="38"/>
  <c r="U160" i="38"/>
  <c r="U152" i="38"/>
  <c r="U226" i="38"/>
  <c r="U216" i="38"/>
  <c r="U214" i="38"/>
  <c r="U195" i="38"/>
  <c r="U187" i="38"/>
  <c r="U179" i="38"/>
  <c r="U171" i="38"/>
  <c r="U163" i="38"/>
  <c r="U155" i="38"/>
  <c r="U147" i="38"/>
  <c r="U145" i="38"/>
  <c r="U143" i="38"/>
  <c r="U141" i="38"/>
  <c r="U139" i="38"/>
  <c r="U137" i="38"/>
  <c r="U135" i="38"/>
  <c r="U133" i="38"/>
  <c r="U131" i="38"/>
  <c r="U129" i="38"/>
  <c r="U127" i="38"/>
  <c r="U125" i="38"/>
  <c r="U238" i="38"/>
  <c r="U229" i="38"/>
  <c r="U212" i="38"/>
  <c r="U210" i="38"/>
  <c r="U206" i="38"/>
  <c r="U202" i="38"/>
  <c r="U198" i="38"/>
  <c r="U190" i="38"/>
  <c r="U182" i="38"/>
  <c r="U174" i="38"/>
  <c r="U166" i="38"/>
  <c r="U158" i="38"/>
  <c r="U237" i="38"/>
  <c r="U232" i="38"/>
  <c r="U228" i="38"/>
  <c r="U193" i="38"/>
  <c r="U185" i="38"/>
  <c r="U177" i="38"/>
  <c r="U169" i="38"/>
  <c r="U161" i="38"/>
  <c r="U153" i="38"/>
  <c r="U248" i="38"/>
  <c r="U221" i="38"/>
  <c r="U207" i="38"/>
  <c r="U203" i="38"/>
  <c r="U199" i="38"/>
  <c r="U196" i="38"/>
  <c r="U188" i="38"/>
  <c r="U180" i="38"/>
  <c r="U172" i="38"/>
  <c r="U164" i="38"/>
  <c r="U156" i="38"/>
  <c r="U148" i="38"/>
  <c r="U217" i="38"/>
  <c r="U191" i="38"/>
  <c r="U183" i="38"/>
  <c r="U175" i="38"/>
  <c r="U167" i="38"/>
  <c r="U159" i="38"/>
  <c r="U151" i="38"/>
  <c r="U146" i="38"/>
  <c r="U144" i="38"/>
  <c r="U142" i="38"/>
  <c r="U140" i="38"/>
  <c r="U138" i="38"/>
  <c r="U134" i="38"/>
  <c r="U120" i="38"/>
  <c r="U244" i="38"/>
  <c r="U122" i="38"/>
  <c r="U194" i="38"/>
  <c r="U178" i="38"/>
  <c r="U130" i="38"/>
  <c r="U124" i="38"/>
  <c r="U115" i="38"/>
  <c r="U113" i="38"/>
  <c r="U111" i="38"/>
  <c r="U109" i="38"/>
  <c r="U107" i="38"/>
  <c r="U105" i="38"/>
  <c r="U103" i="38"/>
  <c r="U101" i="38"/>
  <c r="U99" i="38"/>
  <c r="U97" i="38"/>
  <c r="U95" i="38"/>
  <c r="U93" i="38"/>
  <c r="U91" i="38"/>
  <c r="U89" i="38"/>
  <c r="U87" i="38"/>
  <c r="U85" i="38"/>
  <c r="U117" i="38"/>
  <c r="U83" i="38"/>
  <c r="U240" i="38"/>
  <c r="U165" i="38"/>
  <c r="U157" i="38"/>
  <c r="U150" i="38"/>
  <c r="U126" i="38"/>
  <c r="U119" i="38"/>
  <c r="U208" i="38"/>
  <c r="U136" i="38"/>
  <c r="U132" i="38"/>
  <c r="U121" i="38"/>
  <c r="U204" i="38"/>
  <c r="U186" i="38"/>
  <c r="U123" i="38"/>
  <c r="U116" i="38"/>
  <c r="U114" i="38"/>
  <c r="U112" i="38"/>
  <c r="U110" i="38"/>
  <c r="U108" i="38"/>
  <c r="U106" i="38"/>
  <c r="U104" i="38"/>
  <c r="U102" i="38"/>
  <c r="U100" i="38"/>
  <c r="U98" i="38"/>
  <c r="U96" i="38"/>
  <c r="U94" i="38"/>
  <c r="U92" i="38"/>
  <c r="U90" i="38"/>
  <c r="U88" i="38"/>
  <c r="U86" i="38"/>
  <c r="O3" i="38"/>
  <c r="U5" i="38"/>
  <c r="U7" i="38"/>
  <c r="U9" i="38"/>
  <c r="U11" i="38"/>
  <c r="U13" i="38"/>
  <c r="U18" i="38"/>
  <c r="U25" i="38"/>
  <c r="V31" i="38"/>
  <c r="W31" i="38" s="1"/>
  <c r="U41" i="38"/>
  <c r="U50" i="38"/>
  <c r="U51" i="38"/>
  <c r="U66" i="38"/>
  <c r="U67" i="38"/>
  <c r="U128" i="38"/>
  <c r="U213" i="38"/>
  <c r="V5" i="38"/>
  <c r="W5" i="38" s="1"/>
  <c r="V7" i="38"/>
  <c r="W7" i="38" s="1"/>
  <c r="V9" i="38"/>
  <c r="W9" i="38" s="1"/>
  <c r="V11" i="38"/>
  <c r="W11" i="38" s="1"/>
  <c r="V13" i="38"/>
  <c r="W13" i="38" s="1"/>
  <c r="U19" i="38"/>
  <c r="V25" i="38"/>
  <c r="W25" i="38" s="1"/>
  <c r="U28" i="38"/>
  <c r="U36" i="38"/>
  <c r="U52" i="38"/>
  <c r="U53" i="38"/>
  <c r="U68" i="38"/>
  <c r="U69" i="38"/>
  <c r="U84" i="38"/>
  <c r="O185" i="38"/>
  <c r="O4" i="38"/>
  <c r="U16" i="38"/>
  <c r="U29" i="38"/>
  <c r="U37" i="38"/>
  <c r="U42" i="38"/>
  <c r="U43" i="38"/>
  <c r="U54" i="38"/>
  <c r="U55" i="38"/>
  <c r="U70" i="38"/>
  <c r="U71" i="38"/>
  <c r="U72" i="38"/>
  <c r="U73" i="38"/>
  <c r="U74" i="38"/>
  <c r="U75" i="38"/>
  <c r="U76" i="38"/>
  <c r="U77" i="38"/>
  <c r="U78" i="38"/>
  <c r="U79" i="38"/>
  <c r="U80" i="38"/>
  <c r="U81" i="38"/>
  <c r="U82" i="38"/>
  <c r="U154" i="38"/>
  <c r="M85" i="38"/>
  <c r="N85" i="38" s="1"/>
  <c r="T209" i="38"/>
  <c r="N209" i="38"/>
  <c r="T218" i="38"/>
  <c r="N218" i="38"/>
  <c r="T201" i="38"/>
  <c r="N201" i="38"/>
  <c r="T199" i="38"/>
  <c r="T203" i="38"/>
  <c r="T207" i="38"/>
  <c r="N229" i="38"/>
  <c r="T229" i="38"/>
  <c r="N238" i="38"/>
  <c r="T238" i="38"/>
  <c r="N222" i="38"/>
  <c r="T245" i="38"/>
  <c r="T236" i="38"/>
  <c r="N236" i="38"/>
  <c r="T249" i="38"/>
  <c r="N213" i="38"/>
  <c r="K253" i="38"/>
  <c r="L253" i="38" s="1"/>
  <c r="O253" i="38" s="1"/>
  <c r="M252" i="38"/>
  <c r="N252" i="38" s="1"/>
  <c r="K252" i="38"/>
  <c r="L252" i="38" s="1"/>
  <c r="O252" i="38" s="1"/>
  <c r="T271" i="38"/>
  <c r="K85" i="3"/>
  <c r="T254" i="38"/>
  <c r="R258" i="38"/>
  <c r="K56" i="13"/>
  <c r="F128" i="10"/>
  <c r="M40" i="43"/>
  <c r="Q10" i="43" s="1"/>
  <c r="K128" i="10"/>
  <c r="F64" i="5"/>
  <c r="K258" i="38"/>
  <c r="L258" i="38" s="1"/>
  <c r="O258" i="38" s="1"/>
  <c r="M48" i="60"/>
  <c r="Q10" i="60" s="1"/>
  <c r="K256" i="25"/>
  <c r="K55" i="47"/>
  <c r="F59" i="41"/>
  <c r="F56" i="13"/>
  <c r="F93" i="52"/>
  <c r="R240" i="38"/>
  <c r="M258" i="38"/>
  <c r="T274" i="38"/>
  <c r="F107" i="7"/>
  <c r="M36" i="42"/>
  <c r="Q10" i="42" s="1"/>
  <c r="F85" i="3"/>
  <c r="M104" i="49"/>
  <c r="Q10" i="49" s="1"/>
  <c r="F18" i="34"/>
  <c r="P351" i="38" l="1"/>
  <c r="P350" i="38"/>
  <c r="V350" i="38"/>
  <c r="W350" i="38" s="1"/>
  <c r="V351" i="38"/>
  <c r="W351" i="38" s="1"/>
  <c r="P347" i="38"/>
  <c r="P348" i="38"/>
  <c r="P349" i="38"/>
  <c r="V348" i="38"/>
  <c r="W348" i="38" s="1"/>
  <c r="V347" i="38"/>
  <c r="W347" i="38" s="1"/>
  <c r="V349" i="38"/>
  <c r="W349" i="38" s="1"/>
  <c r="P346" i="38"/>
  <c r="V346" i="38"/>
  <c r="W346" i="38" s="1"/>
  <c r="P345" i="38"/>
  <c r="V345" i="38"/>
  <c r="W345" i="38" s="1"/>
  <c r="P344" i="38"/>
  <c r="V343" i="38"/>
  <c r="W343" i="38" s="1"/>
  <c r="V344" i="38"/>
  <c r="W344" i="38" s="1"/>
  <c r="P343" i="38"/>
  <c r="P342" i="38"/>
  <c r="V342" i="38"/>
  <c r="W342" i="38" s="1"/>
  <c r="P341" i="38"/>
  <c r="V339" i="38"/>
  <c r="W339" i="38" s="1"/>
  <c r="V340" i="38"/>
  <c r="W340" i="38" s="1"/>
  <c r="V341" i="38"/>
  <c r="W341" i="38" s="1"/>
  <c r="P339" i="38"/>
  <c r="P340" i="38"/>
  <c r="Q5" i="25"/>
  <c r="Q3" i="25"/>
  <c r="Q6" i="25" s="1"/>
  <c r="P337" i="38"/>
  <c r="V338" i="38"/>
  <c r="W338" i="38" s="1"/>
  <c r="P338" i="38"/>
  <c r="P336" i="38"/>
  <c r="Q8" i="65"/>
  <c r="Q7" i="65" s="1"/>
  <c r="V337" i="38"/>
  <c r="W337" i="38" s="1"/>
  <c r="V336" i="38"/>
  <c r="W336" i="38" s="1"/>
  <c r="V334" i="38"/>
  <c r="W334" i="38" s="1"/>
  <c r="P332" i="38"/>
  <c r="V335" i="38"/>
  <c r="W335" i="38" s="1"/>
  <c r="P334" i="38"/>
  <c r="P335" i="38"/>
  <c r="V331" i="38"/>
  <c r="W331" i="38" s="1"/>
  <c r="V332" i="38"/>
  <c r="W332" i="38" s="1"/>
  <c r="P333" i="38"/>
  <c r="P331" i="38"/>
  <c r="V333" i="38"/>
  <c r="W333" i="38" s="1"/>
  <c r="P330" i="38"/>
  <c r="P328" i="38"/>
  <c r="P326" i="38"/>
  <c r="P327" i="38"/>
  <c r="Q5" i="40"/>
  <c r="Q3" i="40"/>
  <c r="Q6" i="40" s="1"/>
  <c r="Q8" i="40"/>
  <c r="V329" i="38"/>
  <c r="W329" i="38" s="1"/>
  <c r="P329" i="38"/>
  <c r="V330" i="38"/>
  <c r="W330" i="38" s="1"/>
  <c r="V326" i="38"/>
  <c r="W326" i="38" s="1"/>
  <c r="V327" i="38"/>
  <c r="W327" i="38" s="1"/>
  <c r="V328" i="38"/>
  <c r="W328" i="38" s="1"/>
  <c r="P324" i="38"/>
  <c r="P325" i="38"/>
  <c r="V325" i="38"/>
  <c r="W325" i="38" s="1"/>
  <c r="P323" i="38"/>
  <c r="V324" i="38"/>
  <c r="W324" i="38" s="1"/>
  <c r="V323" i="38"/>
  <c r="W323" i="38" s="1"/>
  <c r="P320" i="38"/>
  <c r="V321" i="38"/>
  <c r="W321" i="38" s="1"/>
  <c r="P321" i="38"/>
  <c r="V319" i="38"/>
  <c r="W319" i="38" s="1"/>
  <c r="P322" i="38"/>
  <c r="V322" i="38"/>
  <c r="W322" i="38" s="1"/>
  <c r="P319" i="38"/>
  <c r="V320" i="38"/>
  <c r="W320" i="38" s="1"/>
  <c r="P318" i="38"/>
  <c r="V318" i="38"/>
  <c r="W318" i="38" s="1"/>
  <c r="P317" i="38"/>
  <c r="V317" i="38"/>
  <c r="W317" i="38" s="1"/>
  <c r="P316" i="38"/>
  <c r="V316" i="38"/>
  <c r="W316" i="38" s="1"/>
  <c r="Q5" i="5"/>
  <c r="P314" i="38"/>
  <c r="P315" i="38"/>
  <c r="V315" i="38"/>
  <c r="W315" i="38" s="1"/>
  <c r="Q9" i="26"/>
  <c r="V314" i="38"/>
  <c r="W314" i="38" s="1"/>
  <c r="P312" i="38"/>
  <c r="V313" i="38"/>
  <c r="W313" i="38" s="1"/>
  <c r="V312" i="38"/>
  <c r="W312" i="38" s="1"/>
  <c r="P311" i="38"/>
  <c r="P313" i="38"/>
  <c r="V311" i="38"/>
  <c r="W311" i="38" s="1"/>
  <c r="Q8" i="45"/>
  <c r="P309" i="38"/>
  <c r="P310" i="38"/>
  <c r="V309" i="38"/>
  <c r="W309" i="38" s="1"/>
  <c r="V310" i="38"/>
  <c r="W310" i="38" s="1"/>
  <c r="P307" i="38"/>
  <c r="P308" i="38"/>
  <c r="Q8" i="5"/>
  <c r="V308" i="38"/>
  <c r="W308" i="38" s="1"/>
  <c r="Q5" i="68"/>
  <c r="P306" i="38"/>
  <c r="V307" i="38"/>
  <c r="W307" i="38" s="1"/>
  <c r="N88" i="1"/>
  <c r="O88" i="1" s="1"/>
  <c r="M37" i="47"/>
  <c r="Q10" i="47" s="1"/>
  <c r="Q7" i="47" s="1"/>
  <c r="Q5" i="67"/>
  <c r="V306" i="38"/>
  <c r="W306" i="38" s="1"/>
  <c r="Q3" i="48"/>
  <c r="Q6" i="48" s="1"/>
  <c r="Q9" i="48" s="1"/>
  <c r="Q3" i="5"/>
  <c r="Q6" i="5" s="1"/>
  <c r="Q3" i="69"/>
  <c r="Q6" i="69" s="1"/>
  <c r="Q5" i="42"/>
  <c r="Q8" i="42"/>
  <c r="Q7" i="42" s="1"/>
  <c r="Q9" i="47"/>
  <c r="M29" i="29"/>
  <c r="Q10" i="29" s="1"/>
  <c r="M75" i="52"/>
  <c r="Q10" i="52" s="1"/>
  <c r="Q5" i="48"/>
  <c r="Q8" i="32"/>
  <c r="Q3" i="67"/>
  <c r="Q6" i="67" s="1"/>
  <c r="Q9" i="67" s="1"/>
  <c r="Q3" i="68"/>
  <c r="Q6" i="68" s="1"/>
  <c r="Q9" i="68" s="1"/>
  <c r="Q3" i="22"/>
  <c r="Q6" i="22" s="1"/>
  <c r="Q8" i="69"/>
  <c r="Q7" i="69" s="1"/>
  <c r="Q3" i="26"/>
  <c r="Q6" i="26" s="1"/>
  <c r="Q5" i="46"/>
  <c r="Q5" i="26"/>
  <c r="Q9" i="22"/>
  <c r="Q3" i="42"/>
  <c r="Q6" i="42" s="1"/>
  <c r="Q5" i="30"/>
  <c r="Q3" i="30"/>
  <c r="Q6" i="30" s="1"/>
  <c r="M63" i="50"/>
  <c r="Q10" i="50" s="1"/>
  <c r="P305" i="38"/>
  <c r="N83" i="1"/>
  <c r="O83" i="1" s="1"/>
  <c r="V305" i="38"/>
  <c r="W305" i="38" s="1"/>
  <c r="M82" i="57"/>
  <c r="Q10" i="57" s="1"/>
  <c r="Q7" i="57" s="1"/>
  <c r="Q3" i="10"/>
  <c r="Q6" i="10" s="1"/>
  <c r="Q3" i="20"/>
  <c r="Q6" i="20" s="1"/>
  <c r="Q9" i="10"/>
  <c r="Q8" i="24"/>
  <c r="Q3" i="24"/>
  <c r="Q6" i="24" s="1"/>
  <c r="Q5" i="24"/>
  <c r="P298" i="38"/>
  <c r="P304" i="38"/>
  <c r="P297" i="38"/>
  <c r="V304" i="38"/>
  <c r="W304" i="38" s="1"/>
  <c r="V118" i="38"/>
  <c r="W118" i="38" s="1"/>
  <c r="P303" i="38"/>
  <c r="V303" i="38"/>
  <c r="W303" i="38" s="1"/>
  <c r="V181" i="38"/>
  <c r="W181" i="38" s="1"/>
  <c r="Q5" i="3"/>
  <c r="P300" i="38"/>
  <c r="P301" i="38"/>
  <c r="P302" i="38"/>
  <c r="V300" i="38"/>
  <c r="W300" i="38" s="1"/>
  <c r="V301" i="38"/>
  <c r="W301" i="38" s="1"/>
  <c r="V302" i="38"/>
  <c r="W302" i="38" s="1"/>
  <c r="P299" i="38"/>
  <c r="V299" i="38"/>
  <c r="W299" i="38" s="1"/>
  <c r="V297" i="38"/>
  <c r="W297" i="38" s="1"/>
  <c r="V298" i="38"/>
  <c r="W298" i="38" s="1"/>
  <c r="Q5" i="57"/>
  <c r="Q3" i="57"/>
  <c r="Q6" i="57" s="1"/>
  <c r="Q9" i="57" s="1"/>
  <c r="P293" i="38"/>
  <c r="V296" i="38"/>
  <c r="W296" i="38" s="1"/>
  <c r="P296" i="38"/>
  <c r="V294" i="38"/>
  <c r="W294" i="38" s="1"/>
  <c r="V295" i="38"/>
  <c r="W295" i="38" s="1"/>
  <c r="P295" i="38"/>
  <c r="P294" i="38"/>
  <c r="V293" i="38"/>
  <c r="W293" i="38" s="1"/>
  <c r="P291" i="38"/>
  <c r="P292" i="38"/>
  <c r="V292" i="38"/>
  <c r="W292" i="38" s="1"/>
  <c r="Q3" i="33"/>
  <c r="Q6" i="33" s="1"/>
  <c r="Q8" i="33"/>
  <c r="Q5" i="22"/>
  <c r="Q9" i="33"/>
  <c r="V291" i="38"/>
  <c r="W291" i="38" s="1"/>
  <c r="Q8" i="20"/>
  <c r="V120" i="38"/>
  <c r="W120" i="38" s="1"/>
  <c r="V168" i="38"/>
  <c r="W168" i="38" s="1"/>
  <c r="Q5" i="60"/>
  <c r="V116" i="38"/>
  <c r="W116" i="38" s="1"/>
  <c r="V191" i="38"/>
  <c r="W191" i="38" s="1"/>
  <c r="V112" i="38"/>
  <c r="W112" i="38" s="1"/>
  <c r="Q3" i="60"/>
  <c r="Q6" i="60" s="1"/>
  <c r="V190" i="38"/>
  <c r="W190" i="38" s="1"/>
  <c r="Q8" i="10"/>
  <c r="Q5" i="20"/>
  <c r="Q8" i="58"/>
  <c r="Q7" i="58" s="1"/>
  <c r="Q5" i="29"/>
  <c r="Q9" i="60"/>
  <c r="V129" i="38"/>
  <c r="W129" i="38" s="1"/>
  <c r="M106" i="45"/>
  <c r="Q10" i="45" s="1"/>
  <c r="M33" i="24"/>
  <c r="Q10" i="24" s="1"/>
  <c r="Q9" i="28"/>
  <c r="Q3" i="63"/>
  <c r="Q6" i="63" s="1"/>
  <c r="V152" i="38"/>
  <c r="W152" i="38" s="1"/>
  <c r="V218" i="38"/>
  <c r="W218" i="38" s="1"/>
  <c r="V146" i="38"/>
  <c r="W146" i="38" s="1"/>
  <c r="Q5" i="28"/>
  <c r="V87" i="38"/>
  <c r="W87" i="38" s="1"/>
  <c r="P288" i="38"/>
  <c r="M27" i="30"/>
  <c r="Q10" i="30" s="1"/>
  <c r="P290" i="38"/>
  <c r="P289" i="38"/>
  <c r="V289" i="38"/>
  <c r="W289" i="38" s="1"/>
  <c r="V290" i="38"/>
  <c r="W290" i="38" s="1"/>
  <c r="Q8" i="3"/>
  <c r="Q3" i="3"/>
  <c r="Q6" i="3" s="1"/>
  <c r="V288" i="38"/>
  <c r="W288" i="38" s="1"/>
  <c r="P287" i="38"/>
  <c r="P285" i="38"/>
  <c r="P286" i="38"/>
  <c r="V285" i="38"/>
  <c r="W285" i="38" s="1"/>
  <c r="V286" i="38"/>
  <c r="W286" i="38" s="1"/>
  <c r="V287" i="38"/>
  <c r="W287" i="38" s="1"/>
  <c r="P284" i="38"/>
  <c r="Q8" i="56"/>
  <c r="Q7" i="56" s="1"/>
  <c r="Q9" i="56"/>
  <c r="Q8" i="30"/>
  <c r="Q3" i="66"/>
  <c r="Q6" i="66" s="1"/>
  <c r="Q9" i="66" s="1"/>
  <c r="Q3" i="56"/>
  <c r="Q6" i="56" s="1"/>
  <c r="Q5" i="66"/>
  <c r="Q3" i="51"/>
  <c r="Q6" i="51" s="1"/>
  <c r="Q3" i="41"/>
  <c r="Q6" i="41" s="1"/>
  <c r="N240" i="38"/>
  <c r="Q9" i="41"/>
  <c r="V284" i="38"/>
  <c r="W284" i="38" s="1"/>
  <c r="Q8" i="41"/>
  <c r="M67" i="53"/>
  <c r="Q10" i="53" s="1"/>
  <c r="P283" i="38"/>
  <c r="P282" i="38"/>
  <c r="V283" i="38"/>
  <c r="W283" i="38" s="1"/>
  <c r="V104" i="38"/>
  <c r="W104" i="38" s="1"/>
  <c r="V130" i="38"/>
  <c r="W130" i="38" s="1"/>
  <c r="V142" i="38"/>
  <c r="W142" i="38" s="1"/>
  <c r="V174" i="38"/>
  <c r="W174" i="38" s="1"/>
  <c r="V210" i="38"/>
  <c r="W210" i="38" s="1"/>
  <c r="Q5" i="15"/>
  <c r="V149" i="38"/>
  <c r="W149" i="38" s="1"/>
  <c r="V121" i="38"/>
  <c r="W121" i="38" s="1"/>
  <c r="V91" i="38"/>
  <c r="W91" i="38" s="1"/>
  <c r="V154" i="38"/>
  <c r="W154" i="38" s="1"/>
  <c r="V219" i="38"/>
  <c r="W219" i="38" s="1"/>
  <c r="V133" i="38"/>
  <c r="W133" i="38" s="1"/>
  <c r="V88" i="38"/>
  <c r="W88" i="38" s="1"/>
  <c r="V224" i="38"/>
  <c r="W224" i="38" s="1"/>
  <c r="V99" i="38"/>
  <c r="W99" i="38" s="1"/>
  <c r="V170" i="38"/>
  <c r="W170" i="38" s="1"/>
  <c r="V180" i="38"/>
  <c r="W180" i="38" s="1"/>
  <c r="V145" i="38"/>
  <c r="W145" i="38" s="1"/>
  <c r="M39" i="33"/>
  <c r="Q10" i="33" s="1"/>
  <c r="V92" i="38"/>
  <c r="W92" i="38" s="1"/>
  <c r="V126" i="38"/>
  <c r="W126" i="38" s="1"/>
  <c r="V103" i="38"/>
  <c r="W103" i="38" s="1"/>
  <c r="V200" i="38"/>
  <c r="W200" i="38" s="1"/>
  <c r="V196" i="38"/>
  <c r="W196" i="38" s="1"/>
  <c r="V155" i="38"/>
  <c r="W155" i="38" s="1"/>
  <c r="V96" i="38"/>
  <c r="W96" i="38" s="1"/>
  <c r="V165" i="38"/>
  <c r="W165" i="38" s="1"/>
  <c r="V107" i="38"/>
  <c r="W107" i="38" s="1"/>
  <c r="V208" i="38"/>
  <c r="W208" i="38" s="1"/>
  <c r="V161" i="38"/>
  <c r="W161" i="38" s="1"/>
  <c r="V216" i="38"/>
  <c r="W216" i="38" s="1"/>
  <c r="V125" i="38"/>
  <c r="W125" i="38" s="1"/>
  <c r="V100" i="38"/>
  <c r="W100" i="38" s="1"/>
  <c r="V115" i="38"/>
  <c r="W115" i="38" s="1"/>
  <c r="V215" i="38"/>
  <c r="W215" i="38" s="1"/>
  <c r="V177" i="38"/>
  <c r="W177" i="38" s="1"/>
  <c r="V184" i="38"/>
  <c r="W184" i="38" s="1"/>
  <c r="V282" i="38"/>
  <c r="W282" i="38" s="1"/>
  <c r="Q9" i="15"/>
  <c r="Q3" i="13"/>
  <c r="Q6" i="13" s="1"/>
  <c r="M36" i="32"/>
  <c r="Q10" i="32" s="1"/>
  <c r="M32" i="15"/>
  <c r="Q10" i="15" s="1"/>
  <c r="Q7" i="15" s="1"/>
  <c r="Q7" i="67"/>
  <c r="Q3" i="15"/>
  <c r="Q6" i="15" s="1"/>
  <c r="M45" i="5"/>
  <c r="Q10" i="5" s="1"/>
  <c r="Q9" i="13"/>
  <c r="Q8" i="49"/>
  <c r="Q7" i="49" s="1"/>
  <c r="Q8" i="46"/>
  <c r="N204" i="1"/>
  <c r="O204" i="1" s="1"/>
  <c r="Q3" i="54"/>
  <c r="Q6" i="54" s="1"/>
  <c r="Q9" i="46"/>
  <c r="Q9" i="59"/>
  <c r="Q5" i="59"/>
  <c r="V128" i="38"/>
  <c r="W128" i="38" s="1"/>
  <c r="V98" i="38"/>
  <c r="W98" i="38" s="1"/>
  <c r="V114" i="38"/>
  <c r="W114" i="38" s="1"/>
  <c r="V119" i="38"/>
  <c r="W119" i="38" s="1"/>
  <c r="V85" i="38"/>
  <c r="V101" i="38"/>
  <c r="W101" i="38" s="1"/>
  <c r="V124" i="38"/>
  <c r="W124" i="38" s="1"/>
  <c r="V197" i="38"/>
  <c r="W197" i="38" s="1"/>
  <c r="V204" i="38"/>
  <c r="W204" i="38" s="1"/>
  <c r="V140" i="38"/>
  <c r="W140" i="38" s="1"/>
  <c r="V183" i="38"/>
  <c r="W183" i="38" s="1"/>
  <c r="V172" i="38"/>
  <c r="W172" i="38" s="1"/>
  <c r="V223" i="38"/>
  <c r="W223" i="38" s="1"/>
  <c r="V166" i="38"/>
  <c r="W166" i="38" s="1"/>
  <c r="V127" i="38"/>
  <c r="W127" i="38" s="1"/>
  <c r="V143" i="38"/>
  <c r="W143" i="38" s="1"/>
  <c r="V195" i="38"/>
  <c r="W195" i="38" s="1"/>
  <c r="V220" i="38"/>
  <c r="W220" i="38" s="1"/>
  <c r="N230" i="1"/>
  <c r="O230" i="1" s="1"/>
  <c r="Q8" i="53"/>
  <c r="P281" i="38"/>
  <c r="V86" i="38"/>
  <c r="W86" i="38" s="1"/>
  <c r="V102" i="38"/>
  <c r="W102" i="38" s="1"/>
  <c r="V123" i="38"/>
  <c r="W123" i="38" s="1"/>
  <c r="V157" i="38"/>
  <c r="W157" i="38" s="1"/>
  <c r="V89" i="38"/>
  <c r="W89" i="38" s="1"/>
  <c r="V105" i="38"/>
  <c r="W105" i="38" s="1"/>
  <c r="V160" i="38"/>
  <c r="W160" i="38" s="1"/>
  <c r="V162" i="38"/>
  <c r="W162" i="38" s="1"/>
  <c r="V213" i="38"/>
  <c r="W213" i="38" s="1"/>
  <c r="V144" i="38"/>
  <c r="W144" i="38" s="1"/>
  <c r="V217" i="38"/>
  <c r="W217" i="38" s="1"/>
  <c r="V188" i="38"/>
  <c r="W188" i="38" s="1"/>
  <c r="V169" i="38"/>
  <c r="W169" i="38" s="1"/>
  <c r="V182" i="38"/>
  <c r="W182" i="38" s="1"/>
  <c r="V131" i="38"/>
  <c r="W131" i="38" s="1"/>
  <c r="V147" i="38"/>
  <c r="W147" i="38" s="1"/>
  <c r="V176" i="38"/>
  <c r="W176" i="38" s="1"/>
  <c r="V214" i="38"/>
  <c r="W214" i="38" s="1"/>
  <c r="M61" i="41"/>
  <c r="V90" i="38"/>
  <c r="W90" i="38" s="1"/>
  <c r="V106" i="38"/>
  <c r="W106" i="38" s="1"/>
  <c r="V132" i="38"/>
  <c r="W132" i="38" s="1"/>
  <c r="V93" i="38"/>
  <c r="W93" i="38" s="1"/>
  <c r="V109" i="38"/>
  <c r="W109" i="38" s="1"/>
  <c r="V211" i="38"/>
  <c r="W211" i="38" s="1"/>
  <c r="V178" i="38"/>
  <c r="W178" i="38" s="1"/>
  <c r="V227" i="38"/>
  <c r="V151" i="38"/>
  <c r="W151" i="38" s="1"/>
  <c r="V225" i="38"/>
  <c r="W225" i="38" s="1"/>
  <c r="V199" i="38"/>
  <c r="W199" i="38" s="1"/>
  <c r="V185" i="38"/>
  <c r="W185" i="38" s="1"/>
  <c r="V198" i="38"/>
  <c r="W198" i="38" s="1"/>
  <c r="V135" i="38"/>
  <c r="W135" i="38" s="1"/>
  <c r="V163" i="38"/>
  <c r="W163" i="38" s="1"/>
  <c r="V192" i="38"/>
  <c r="W192" i="38" s="1"/>
  <c r="V222" i="38"/>
  <c r="W222" i="38" s="1"/>
  <c r="M35" i="16"/>
  <c r="Q10" i="16" s="1"/>
  <c r="N16" i="1"/>
  <c r="O16" i="1" s="1"/>
  <c r="Q8" i="59"/>
  <c r="Q7" i="59" s="1"/>
  <c r="W85" i="38"/>
  <c r="V108" i="38"/>
  <c r="W108" i="38" s="1"/>
  <c r="V173" i="38"/>
  <c r="W173" i="38" s="1"/>
  <c r="V95" i="38"/>
  <c r="W95" i="38" s="1"/>
  <c r="V111" i="38"/>
  <c r="W111" i="38" s="1"/>
  <c r="V122" i="38"/>
  <c r="W122" i="38" s="1"/>
  <c r="V186" i="38"/>
  <c r="W186" i="38" s="1"/>
  <c r="V134" i="38"/>
  <c r="W134" i="38" s="1"/>
  <c r="V159" i="38"/>
  <c r="W159" i="38" s="1"/>
  <c r="V148" i="38"/>
  <c r="W148" i="38" s="1"/>
  <c r="V203" i="38"/>
  <c r="W203" i="38" s="1"/>
  <c r="V193" i="38"/>
  <c r="W193" i="38" s="1"/>
  <c r="V202" i="38"/>
  <c r="W202" i="38" s="1"/>
  <c r="V137" i="38"/>
  <c r="W137" i="38" s="1"/>
  <c r="V171" i="38"/>
  <c r="W171" i="38" s="1"/>
  <c r="V201" i="38"/>
  <c r="W201" i="38" s="1"/>
  <c r="V226" i="38"/>
  <c r="W226" i="38" s="1"/>
  <c r="V94" i="38"/>
  <c r="W94" i="38" s="1"/>
  <c r="V110" i="38"/>
  <c r="W110" i="38" s="1"/>
  <c r="V189" i="38"/>
  <c r="W189" i="38" s="1"/>
  <c r="V117" i="38"/>
  <c r="W117" i="38" s="1"/>
  <c r="V97" i="38"/>
  <c r="W97" i="38" s="1"/>
  <c r="V113" i="38"/>
  <c r="W113" i="38" s="1"/>
  <c r="V153" i="38"/>
  <c r="W153" i="38" s="1"/>
  <c r="V194" i="38"/>
  <c r="W194" i="38" s="1"/>
  <c r="V136" i="38"/>
  <c r="W136" i="38" s="1"/>
  <c r="V167" i="38"/>
  <c r="W167" i="38" s="1"/>
  <c r="V156" i="38"/>
  <c r="W156" i="38" s="1"/>
  <c r="V207" i="38"/>
  <c r="W207" i="38" s="1"/>
  <c r="V150" i="38"/>
  <c r="W150" i="38" s="1"/>
  <c r="V206" i="38"/>
  <c r="W206" i="38" s="1"/>
  <c r="V139" i="38"/>
  <c r="W139" i="38" s="1"/>
  <c r="V179" i="38"/>
  <c r="W179" i="38" s="1"/>
  <c r="V205" i="38"/>
  <c r="W205" i="38" s="1"/>
  <c r="V138" i="38"/>
  <c r="W138" i="38" s="1"/>
  <c r="V175" i="38"/>
  <c r="W175" i="38" s="1"/>
  <c r="V164" i="38"/>
  <c r="W164" i="38" s="1"/>
  <c r="V221" i="38"/>
  <c r="W221" i="38" s="1"/>
  <c r="V158" i="38"/>
  <c r="W158" i="38" s="1"/>
  <c r="V212" i="38"/>
  <c r="W212" i="38" s="1"/>
  <c r="V141" i="38"/>
  <c r="W141" i="38" s="1"/>
  <c r="V187" i="38"/>
  <c r="W187" i="38" s="1"/>
  <c r="V209" i="38"/>
  <c r="W209" i="38" s="1"/>
  <c r="Q5" i="44"/>
  <c r="Q9" i="29"/>
  <c r="Q8" i="63"/>
  <c r="Q9" i="63"/>
  <c r="Q8" i="13"/>
  <c r="Q8" i="29"/>
  <c r="Q9" i="44"/>
  <c r="Q5" i="50"/>
  <c r="V281" i="38"/>
  <c r="W281" i="38" s="1"/>
  <c r="V279" i="38"/>
  <c r="W279" i="38" s="1"/>
  <c r="M36" i="46"/>
  <c r="Q10" i="46" s="1"/>
  <c r="M33" i="26"/>
  <c r="Q10" i="26" s="1"/>
  <c r="Q7" i="26" s="1"/>
  <c r="V280" i="38"/>
  <c r="W280" i="38" s="1"/>
  <c r="Q3" i="16"/>
  <c r="Q6" i="16" s="1"/>
  <c r="Q9" i="32"/>
  <c r="Q5" i="32"/>
  <c r="P277" i="38"/>
  <c r="Q8" i="64"/>
  <c r="Q7" i="64" s="1"/>
  <c r="P279" i="38"/>
  <c r="Q5" i="16"/>
  <c r="P280" i="38"/>
  <c r="Q3" i="49"/>
  <c r="Q6" i="49" s="1"/>
  <c r="Q9" i="49" s="1"/>
  <c r="V278" i="38"/>
  <c r="W278" i="38" s="1"/>
  <c r="P278" i="38"/>
  <c r="Q8" i="62"/>
  <c r="Q7" i="62" s="1"/>
  <c r="Q3" i="53"/>
  <c r="Q6" i="53" s="1"/>
  <c r="Q5" i="53"/>
  <c r="Q5" i="47"/>
  <c r="Q3" i="47"/>
  <c r="Q6" i="47" s="1"/>
  <c r="Q5" i="64"/>
  <c r="Q3" i="64"/>
  <c r="Q6" i="64" s="1"/>
  <c r="Q3" i="58"/>
  <c r="Q6" i="58" s="1"/>
  <c r="N27" i="1"/>
  <c r="O27" i="1" s="1"/>
  <c r="Q8" i="28"/>
  <c r="Q7" i="28" s="1"/>
  <c r="Q8" i="43"/>
  <c r="Q7" i="43" s="1"/>
  <c r="Q8" i="16"/>
  <c r="V277" i="38"/>
  <c r="W277" i="38" s="1"/>
  <c r="Q5" i="65"/>
  <c r="Q7" i="60"/>
  <c r="Q5" i="43"/>
  <c r="Q3" i="65"/>
  <c r="Q6" i="65" s="1"/>
  <c r="Q9" i="65" s="1"/>
  <c r="Q9" i="55"/>
  <c r="Q3" i="52"/>
  <c r="Q6" i="52" s="1"/>
  <c r="V230" i="38"/>
  <c r="W230" i="38" s="1"/>
  <c r="Q8" i="52"/>
  <c r="Q5" i="52"/>
  <c r="Q3" i="55"/>
  <c r="Q6" i="55" s="1"/>
  <c r="Q3" i="45"/>
  <c r="Q6" i="45" s="1"/>
  <c r="Q5" i="45"/>
  <c r="N215" i="1"/>
  <c r="O215" i="1" s="1"/>
  <c r="Q8" i="55"/>
  <c r="P42" i="38"/>
  <c r="Q8" i="44"/>
  <c r="Q7" i="44" s="1"/>
  <c r="Q3" i="17"/>
  <c r="Q6" i="17" s="1"/>
  <c r="M55" i="55"/>
  <c r="Q10" i="55" s="1"/>
  <c r="N172" i="1"/>
  <c r="O172" i="1" s="1"/>
  <c r="Q7" i="48"/>
  <c r="M68" i="40"/>
  <c r="Q10" i="40" s="1"/>
  <c r="Q3" i="31"/>
  <c r="Q6" i="31" s="1"/>
  <c r="M40" i="22"/>
  <c r="Q10" i="22" s="1"/>
  <c r="Q7" i="22" s="1"/>
  <c r="N237" i="1"/>
  <c r="O237" i="1" s="1"/>
  <c r="N166" i="1"/>
  <c r="O166" i="1" s="1"/>
  <c r="Q3" i="34"/>
  <c r="Q6" i="34" s="1"/>
  <c r="P275" i="38"/>
  <c r="V275" i="38"/>
  <c r="W275" i="38" s="1"/>
  <c r="Q8" i="61"/>
  <c r="Q7" i="61" s="1"/>
  <c r="N58" i="1"/>
  <c r="O58" i="1" s="1"/>
  <c r="N6" i="1"/>
  <c r="O6" i="1" s="1"/>
  <c r="M46" i="63"/>
  <c r="Q10" i="63" s="1"/>
  <c r="M48" i="41"/>
  <c r="V276" i="38"/>
  <c r="W276" i="38" s="1"/>
  <c r="P90" i="38"/>
  <c r="N139" i="1"/>
  <c r="O139" i="1" s="1"/>
  <c r="Q8" i="17"/>
  <c r="Q7" i="17" s="1"/>
  <c r="N107" i="1"/>
  <c r="O107" i="1" s="1"/>
  <c r="P276" i="38"/>
  <c r="Q8" i="25"/>
  <c r="Q7" i="25" s="1"/>
  <c r="Q3" i="62"/>
  <c r="Q6" i="62" s="1"/>
  <c r="Q9" i="62" s="1"/>
  <c r="P108" i="38"/>
  <c r="P106" i="38"/>
  <c r="V229" i="38"/>
  <c r="W229" i="38" s="1"/>
  <c r="Q3" i="61"/>
  <c r="Q6" i="61" s="1"/>
  <c r="Q3" i="7"/>
  <c r="Q6" i="7" s="1"/>
  <c r="P92" i="38"/>
  <c r="V228" i="38"/>
  <c r="W228" i="38" s="1"/>
  <c r="P268" i="38"/>
  <c r="V232" i="38"/>
  <c r="W232" i="38" s="1"/>
  <c r="Q8" i="50"/>
  <c r="Q8" i="34"/>
  <c r="Q7" i="34" s="1"/>
  <c r="P16" i="38"/>
  <c r="P104" i="38"/>
  <c r="V231" i="38"/>
  <c r="W231" i="38" s="1"/>
  <c r="Q8" i="31"/>
  <c r="P68" i="38"/>
  <c r="M34" i="20"/>
  <c r="Q10" i="20" s="1"/>
  <c r="T227" i="38"/>
  <c r="N227" i="38"/>
  <c r="M75" i="10"/>
  <c r="Q10" i="10" s="1"/>
  <c r="P29" i="38"/>
  <c r="P28" i="38"/>
  <c r="P50" i="38"/>
  <c r="P64" i="38"/>
  <c r="P62" i="38"/>
  <c r="P21" i="38"/>
  <c r="V269" i="38"/>
  <c r="W269" i="38" s="1"/>
  <c r="V239" i="38"/>
  <c r="W239" i="38" s="1"/>
  <c r="V238" i="38"/>
  <c r="W238" i="38" s="1"/>
  <c r="V260" i="38"/>
  <c r="W260" i="38" s="1"/>
  <c r="P129" i="38"/>
  <c r="P188" i="38"/>
  <c r="P57" i="38"/>
  <c r="P73" i="38"/>
  <c r="P248" i="38"/>
  <c r="P99" i="38"/>
  <c r="P115" i="38"/>
  <c r="P159" i="38"/>
  <c r="P148" i="38"/>
  <c r="P80" i="38"/>
  <c r="P221" i="38"/>
  <c r="P202" i="38"/>
  <c r="P190" i="38"/>
  <c r="P163" i="38"/>
  <c r="P218" i="38"/>
  <c r="P149" i="38"/>
  <c r="P204" i="38"/>
  <c r="P178" i="38"/>
  <c r="P175" i="38"/>
  <c r="P240" i="38"/>
  <c r="P250" i="38"/>
  <c r="P267" i="38"/>
  <c r="P266" i="38"/>
  <c r="P259" i="38"/>
  <c r="Q8" i="7"/>
  <c r="P56" i="38"/>
  <c r="P23" i="38"/>
  <c r="P26" i="38"/>
  <c r="P3" i="38"/>
  <c r="P110" i="38"/>
  <c r="P6" i="38"/>
  <c r="P44" i="38"/>
  <c r="P33" i="38"/>
  <c r="P17" i="38"/>
  <c r="P12" i="38"/>
  <c r="P18" i="38"/>
  <c r="P13" i="38"/>
  <c r="P11" i="38"/>
  <c r="P9" i="38"/>
  <c r="P7" i="38"/>
  <c r="P5" i="38"/>
  <c r="P58" i="38"/>
  <c r="P14" i="38"/>
  <c r="P8" i="38"/>
  <c r="P4" i="38"/>
  <c r="P94" i="38"/>
  <c r="P38" i="38"/>
  <c r="P10" i="38"/>
  <c r="P31" i="38"/>
  <c r="V255" i="38"/>
  <c r="W255" i="38" s="1"/>
  <c r="V254" i="38"/>
  <c r="W254" i="38" s="1"/>
  <c r="V237" i="38"/>
  <c r="W237" i="38" s="1"/>
  <c r="V263" i="38"/>
  <c r="W263" i="38" s="1"/>
  <c r="P137" i="38"/>
  <c r="P43" i="38"/>
  <c r="P59" i="38"/>
  <c r="P75" i="38"/>
  <c r="P85" i="38"/>
  <c r="P101" i="38"/>
  <c r="P124" i="38"/>
  <c r="P167" i="38"/>
  <c r="P180" i="38"/>
  <c r="P82" i="38"/>
  <c r="P223" i="38"/>
  <c r="P206" i="38"/>
  <c r="P198" i="38"/>
  <c r="P171" i="38"/>
  <c r="P226" i="38"/>
  <c r="P157" i="38"/>
  <c r="P208" i="38"/>
  <c r="P186" i="38"/>
  <c r="P183" i="38"/>
  <c r="P212" i="38"/>
  <c r="P258" i="38"/>
  <c r="P270" i="38"/>
  <c r="P269" i="38"/>
  <c r="P262" i="38"/>
  <c r="P271" i="38"/>
  <c r="P142" i="38"/>
  <c r="P39" i="38"/>
  <c r="P54" i="38"/>
  <c r="P52" i="38"/>
  <c r="P19" i="38"/>
  <c r="V233" i="38"/>
  <c r="V243" i="38"/>
  <c r="W243" i="38" s="1"/>
  <c r="V235" i="38"/>
  <c r="W235" i="38" s="1"/>
  <c r="V262" i="38"/>
  <c r="W262" i="38" s="1"/>
  <c r="V261" i="38"/>
  <c r="W261" i="38" s="1"/>
  <c r="V253" i="38"/>
  <c r="W253" i="38" s="1"/>
  <c r="V273" i="38"/>
  <c r="W273" i="38" s="1"/>
  <c r="P144" i="38"/>
  <c r="P45" i="38"/>
  <c r="P61" i="38"/>
  <c r="P77" i="38"/>
  <c r="P87" i="38"/>
  <c r="P103" i="38"/>
  <c r="P130" i="38"/>
  <c r="P122" i="38"/>
  <c r="P196" i="38"/>
  <c r="P84" i="38"/>
  <c r="P153" i="38"/>
  <c r="P210" i="38"/>
  <c r="P214" i="38"/>
  <c r="P179" i="38"/>
  <c r="P160" i="38"/>
  <c r="P165" i="38"/>
  <c r="P211" i="38"/>
  <c r="P194" i="38"/>
  <c r="P191" i="38"/>
  <c r="P216" i="38"/>
  <c r="P264" i="38"/>
  <c r="P260" i="38"/>
  <c r="P272" i="38"/>
  <c r="P265" i="38"/>
  <c r="P112" i="38"/>
  <c r="Q8" i="51"/>
  <c r="P22" i="38"/>
  <c r="P41" i="38"/>
  <c r="P123" i="38"/>
  <c r="P48" i="38"/>
  <c r="P46" i="38"/>
  <c r="P15" i="38"/>
  <c r="V242" i="38"/>
  <c r="W242" i="38" s="1"/>
  <c r="V246" i="38"/>
  <c r="W246" i="38" s="1"/>
  <c r="V240" i="38"/>
  <c r="V265" i="38"/>
  <c r="W265" i="38" s="1"/>
  <c r="V250" i="38"/>
  <c r="W250" i="38" s="1"/>
  <c r="V257" i="38"/>
  <c r="W257" i="38" s="1"/>
  <c r="P121" i="38"/>
  <c r="P145" i="38"/>
  <c r="P47" i="38"/>
  <c r="P63" i="38"/>
  <c r="P79" i="38"/>
  <c r="P89" i="38"/>
  <c r="P105" i="38"/>
  <c r="P133" i="38"/>
  <c r="P127" i="38"/>
  <c r="P245" i="38"/>
  <c r="P118" i="38"/>
  <c r="P161" i="38"/>
  <c r="P150" i="38"/>
  <c r="P229" i="38"/>
  <c r="P187" i="38"/>
  <c r="P168" i="38"/>
  <c r="P173" i="38"/>
  <c r="P235" i="38"/>
  <c r="P213" i="38"/>
  <c r="P199" i="38"/>
  <c r="P220" i="38"/>
  <c r="P228" i="38"/>
  <c r="P227" i="38"/>
  <c r="P274" i="38"/>
  <c r="P225" i="38"/>
  <c r="P96" i="38"/>
  <c r="M33" i="13"/>
  <c r="Q10" i="13" s="1"/>
  <c r="P102" i="38"/>
  <c r="P24" i="38"/>
  <c r="N233" i="38"/>
  <c r="T233" i="38"/>
  <c r="V274" i="38"/>
  <c r="W274" i="38" s="1"/>
  <c r="V252" i="38"/>
  <c r="W252" i="38" s="1"/>
  <c r="V244" i="38"/>
  <c r="W244" i="38" s="1"/>
  <c r="V271" i="38"/>
  <c r="W271" i="38" s="1"/>
  <c r="V258" i="38"/>
  <c r="V270" i="38"/>
  <c r="W270" i="38" s="1"/>
  <c r="P132" i="38"/>
  <c r="P151" i="38"/>
  <c r="P49" i="38"/>
  <c r="P65" i="38"/>
  <c r="P81" i="38"/>
  <c r="P91" i="38"/>
  <c r="P107" i="38"/>
  <c r="P138" i="38"/>
  <c r="P120" i="38"/>
  <c r="P72" i="38"/>
  <c r="P125" i="38"/>
  <c r="P169" i="38"/>
  <c r="P158" i="38"/>
  <c r="P238" i="38"/>
  <c r="P195" i="38"/>
  <c r="P176" i="38"/>
  <c r="P181" i="38"/>
  <c r="P254" i="38"/>
  <c r="P215" i="38"/>
  <c r="P203" i="38"/>
  <c r="P224" i="38"/>
  <c r="P232" i="38"/>
  <c r="P231" i="38"/>
  <c r="P230" i="38"/>
  <c r="P234" i="38"/>
  <c r="P60" i="38"/>
  <c r="P27" i="38"/>
  <c r="P86" i="38"/>
  <c r="P34" i="38"/>
  <c r="V272" i="38"/>
  <c r="W272" i="38" s="1"/>
  <c r="V248" i="38"/>
  <c r="W248" i="38" s="1"/>
  <c r="V251" i="38"/>
  <c r="W251" i="38" s="1"/>
  <c r="V264" i="38"/>
  <c r="W264" i="38" s="1"/>
  <c r="V241" i="38"/>
  <c r="W241" i="38" s="1"/>
  <c r="P136" i="38"/>
  <c r="P156" i="38"/>
  <c r="P51" i="38"/>
  <c r="P67" i="38"/>
  <c r="P83" i="38"/>
  <c r="P93" i="38"/>
  <c r="P109" i="38"/>
  <c r="P139" i="38"/>
  <c r="P134" i="38"/>
  <c r="P74" i="38"/>
  <c r="P128" i="38"/>
  <c r="P177" i="38"/>
  <c r="P166" i="38"/>
  <c r="P249" i="38"/>
  <c r="P201" i="38"/>
  <c r="P184" i="38"/>
  <c r="P189" i="38"/>
  <c r="P154" i="38"/>
  <c r="P241" i="38"/>
  <c r="P207" i="38"/>
  <c r="P233" i="38"/>
  <c r="P237" i="38"/>
  <c r="P236" i="38"/>
  <c r="P239" i="38"/>
  <c r="P243" i="38"/>
  <c r="P143" i="38"/>
  <c r="N258" i="38"/>
  <c r="T258" i="38"/>
  <c r="P37" i="38"/>
  <c r="P88" i="38"/>
  <c r="P36" i="38"/>
  <c r="P66" i="38"/>
  <c r="P116" i="38"/>
  <c r="P40" i="38"/>
  <c r="P114" i="38"/>
  <c r="P30" i="38"/>
  <c r="V247" i="38"/>
  <c r="W247" i="38" s="1"/>
  <c r="V236" i="38"/>
  <c r="W236" i="38" s="1"/>
  <c r="V234" i="38"/>
  <c r="W234" i="38" s="1"/>
  <c r="V259" i="38"/>
  <c r="W259" i="38" s="1"/>
  <c r="V268" i="38"/>
  <c r="W268" i="38" s="1"/>
  <c r="V267" i="38"/>
  <c r="W267" i="38" s="1"/>
  <c r="V245" i="38"/>
  <c r="W245" i="38" s="1"/>
  <c r="P119" i="38"/>
  <c r="P164" i="38"/>
  <c r="P53" i="38"/>
  <c r="P69" i="38"/>
  <c r="P117" i="38"/>
  <c r="P95" i="38"/>
  <c r="P111" i="38"/>
  <c r="P146" i="38"/>
  <c r="P140" i="38"/>
  <c r="P76" i="38"/>
  <c r="P131" i="38"/>
  <c r="P185" i="38"/>
  <c r="P174" i="38"/>
  <c r="P261" i="38"/>
  <c r="P205" i="38"/>
  <c r="P192" i="38"/>
  <c r="P197" i="38"/>
  <c r="P162" i="38"/>
  <c r="P244" i="38"/>
  <c r="P217" i="38"/>
  <c r="P242" i="38"/>
  <c r="P253" i="38"/>
  <c r="P256" i="38"/>
  <c r="P252" i="38"/>
  <c r="P247" i="38"/>
  <c r="P20" i="38"/>
  <c r="M42" i="3"/>
  <c r="Q10" i="3" s="1"/>
  <c r="Q8" i="54"/>
  <c r="P32" i="38"/>
  <c r="P70" i="38"/>
  <c r="P25" i="38"/>
  <c r="P100" i="38"/>
  <c r="P35" i="38"/>
  <c r="P98" i="38"/>
  <c r="V256" i="38"/>
  <c r="W256" i="38" s="1"/>
  <c r="V266" i="38"/>
  <c r="W266" i="38" s="1"/>
  <c r="V249" i="38"/>
  <c r="W249" i="38" s="1"/>
  <c r="P126" i="38"/>
  <c r="P172" i="38"/>
  <c r="P55" i="38"/>
  <c r="P71" i="38"/>
  <c r="P152" i="38"/>
  <c r="P97" i="38"/>
  <c r="P113" i="38"/>
  <c r="P147" i="38"/>
  <c r="P141" i="38"/>
  <c r="P78" i="38"/>
  <c r="P135" i="38"/>
  <c r="P193" i="38"/>
  <c r="P182" i="38"/>
  <c r="P155" i="38"/>
  <c r="P209" i="38"/>
  <c r="P222" i="38"/>
  <c r="P200" i="38"/>
  <c r="P170" i="38"/>
  <c r="P273" i="38"/>
  <c r="P219" i="38"/>
  <c r="P246" i="38"/>
  <c r="P257" i="38"/>
  <c r="P263" i="38"/>
  <c r="P255" i="38"/>
  <c r="P251" i="38"/>
  <c r="Q7" i="40" l="1"/>
  <c r="Q9" i="45"/>
  <c r="Q7" i="45"/>
  <c r="Q7" i="5"/>
  <c r="Q9" i="40"/>
  <c r="Q9" i="69"/>
  <c r="Q7" i="24"/>
  <c r="Q7" i="52"/>
  <c r="Q7" i="29"/>
  <c r="Q7" i="32"/>
  <c r="W240" i="38"/>
  <c r="Q7" i="50"/>
  <c r="Q7" i="30"/>
  <c r="Q7" i="33"/>
  <c r="Q7" i="10"/>
  <c r="Q7" i="20"/>
  <c r="Q9" i="58"/>
  <c r="Q7" i="3"/>
  <c r="W233" i="38"/>
  <c r="W227" i="38"/>
  <c r="Q7" i="53"/>
  <c r="Q10" i="41"/>
  <c r="Q7" i="41" s="1"/>
  <c r="Q7" i="16"/>
  <c r="W258" i="38"/>
  <c r="Q7" i="13"/>
  <c r="Q9" i="53"/>
  <c r="Q7" i="46"/>
  <c r="Q7" i="63"/>
  <c r="Q9" i="64"/>
  <c r="N243" i="1"/>
  <c r="N247" i="1" s="1"/>
  <c r="N251" i="1" s="1"/>
  <c r="Q7" i="55"/>
  <c r="Q9" i="43"/>
  <c r="Q9" i="50"/>
  <c r="Q9" i="61"/>
  <c r="Q9" i="17"/>
  <c r="Q9" i="25"/>
  <c r="Q9" i="31"/>
  <c r="Q7" i="31"/>
  <c r="Q9" i="34"/>
  <c r="Q7" i="54"/>
  <c r="Q9" i="54"/>
  <c r="Q9" i="7"/>
  <c r="Q7" i="7"/>
  <c r="Q9" i="51"/>
  <c r="Q7" i="51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saveData="1">
    <webPr sourceData="1" parsePre="1" consecutive="1" xl2000="1" url="http://finance.yahoo.com/q/hp?s=AAPL" htmlTables="1">
      <tables count="1">
        <x v="15"/>
      </tables>
    </webPr>
  </connection>
  <connection id="4" name="Connection100" type="4" refreshedVersion="5" saveData="1">
    <webPr sourceData="1" parsePre="1" consecutive="1" xl2000="1" url="http://finance.yahoo.com/q?s=swhc" htmlTables="1">
      <tables count="2">
        <s v="table1"/>
        <s v="table2"/>
      </tables>
    </webPr>
  </connection>
  <connection id="5" name="Connection101" type="4" refreshedVersion="5" saveData="1">
    <webPr sourceData="1" parsePre="1" consecutive="1" xl2000="1" url="http://finance.yahoo.com/q?s=BMY" htmlTables="1">
      <tables count="2">
        <s v="table1"/>
        <s v="table2"/>
      </tables>
    </webPr>
  </connection>
  <connection id="6" name="Connection102" type="4" refreshedVersion="5" saveData="1">
    <webPr sourceData="1" parsePre="1" consecutive="1" xl2000="1" url="http://finance.yahoo.com/q?s=ew" htmlTables="1">
      <tables count="2">
        <s v="table1"/>
        <s v="table2"/>
      </tables>
    </webPr>
  </connection>
  <connection id="7" name="Connection103" type="4" refreshedVersion="5" saveData="1">
    <webPr sourceData="1" parsePre="1" consecutive="1" xl2000="1" url="http://finance.yahoo.com/q/hp?s=ew+Historical+Prices" htmlTables="1">
      <tables count="1">
        <x v="15"/>
      </tables>
    </webPr>
  </connection>
  <connection id="8" name="Connection104" type="4" refreshedVersion="5" saveData="1">
    <webPr sourceData="1" parsePre="1" consecutive="1" xl2000="1" url="http://finance.yahoo.com/q?s=cce" htmlTables="1">
      <tables count="2">
        <s v="table1"/>
        <s v="table2"/>
      </tables>
    </webPr>
  </connection>
  <connection id="9" name="Connection105" type="4" refreshedVersion="5" saveData="1">
    <webPr sourceData="1" parsePre="1" consecutive="1" xl2000="1" url="http://finance.yahoo.com/q/hp?s=cce" htmlTables="1">
      <tables count="1">
        <x v="15"/>
      </tables>
    </webPr>
  </connection>
  <connection id="10" name="Connection106" type="4" refreshedVersion="5" saveData="1">
    <webPr sourceData="1" parsePre="1" consecutive="1" xl2000="1" url="http://finance.yahoo.com/q/hp?s=teva" htmlTables="1">
      <tables count="1">
        <x v="15"/>
      </tables>
    </webPr>
  </connection>
  <connection id="11" name="Connection107" type="4" refreshedVersion="5" saveData="1">
    <webPr sourceData="1" parsePre="1" consecutive="1" xl2000="1" url="http://finance.yahoo.com/q?s=teva" htmlTables="1">
      <tables count="2">
        <s v="table1"/>
        <s v="table2"/>
      </tables>
    </webPr>
  </connection>
  <connection id="12" name="Connection108" type="4" refreshedVersion="5" saveData="1">
    <webPr sourceData="1" parsePre="1" consecutive="1" xl2000="1" url="http://finance.yahoo.com/q?s=tgt" htmlTables="1">
      <tables count="2">
        <s v="table1"/>
        <s v="table2"/>
      </tables>
    </webPr>
  </connection>
  <connection id="13" name="Connection109" type="4" refreshedVersion="5" saveData="1">
    <webPr sourceData="1" parsePre="1" consecutive="1" xl2000="1" url="http://finance.yahoo.com/q/hp?s=tgt" htmlTables="1">
      <tables count="1">
        <x v="15"/>
      </tables>
    </webPr>
  </connection>
  <connection id="14" name="Connection11" type="4" refreshedVersion="5" saveData="1">
    <webPr sourceData="1" parsePre="1" consecutive="1" xl2000="1" url="http://finance.yahoo.com/q/hp?s=MRO" htmlTables="1">
      <tables count="1">
        <x v="15"/>
      </tables>
    </webPr>
  </connection>
  <connection id="15" name="Connection12" type="4" refreshedVersion="5" saveData="1">
    <webPr sourceData="1" parsePre="1" consecutive="1" xl2000="1" url="http://finance.yahoo.com/q/hp?s=MU" htmlTables="1">
      <tables count="1">
        <x v="15"/>
      </tables>
    </webPr>
  </connection>
  <connection id="16" name="Connection13" type="4" refreshedVersion="5" saveData="1">
    <webPr sourceData="1" parsePre="1" consecutive="1" xl2000="1" url="http://finance.yahoo.com/q/hp?s=SIG" htmlTables="1">
      <tables count="1">
        <x v="15"/>
      </tables>
    </webPr>
  </connection>
  <connection id="17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8" name="Connection15" type="4" refreshedVersion="5" saveData="1">
    <webPr sourceData="1" parsePre="1" consecutive="1" xl2000="1" url="http://finance.yahoo.com/q/hp?s=UNP" htmlTables="1">
      <tables count="1">
        <x v="15"/>
      </tables>
    </webPr>
  </connection>
  <connection id="19" name="Connection16" type="4" refreshedVersion="5" saveData="1">
    <webPr sourceData="1" parsePre="1" consecutive="1" xl2000="1" url="http://finance.yahoo.com/q?s=NKE" htmlTables="1">
      <tables count="2">
        <s v="table1"/>
        <s v="table2"/>
      </tables>
    </webPr>
  </connection>
  <connection id="20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21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22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23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24" name="Connection20" type="4" refreshedVersion="5" saveData="1">
    <webPr sourceData="1" parsePre="1" consecutive="1" xl2000="1" url="http://finance.yahoo.com/q?s=BIIB" htmlTables="1">
      <tables count="2">
        <s v="table1"/>
        <s v="table2"/>
      </tables>
    </webPr>
  </connection>
  <connection id="25" name="Connection21" type="4" refreshedVersion="5" saveData="1">
    <webPr sourceData="1" parsePre="1" consecutive="1" xl2000="1" url="http://finance.yahoo.com/q/hp?s=BIIB" htmlTables="1">
      <tables count="1">
        <x v="15"/>
      </tables>
    </webPr>
  </connection>
  <connection id="26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27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28" name="Connection24" type="4" refreshedVersion="5" saveData="1">
    <webPr sourceData="1" parsePre="1" consecutive="1" xl2000="1" url="http://finance.yahoo.com/q?s=KR" htmlTables="1">
      <tables count="2">
        <s v="table1"/>
        <s v="table2"/>
      </tables>
    </webPr>
  </connection>
  <connection id="29" name="Connection25" type="4" refreshedVersion="5" saveData="1">
    <webPr sourceData="1" parsePre="1" consecutive="1" xl2000="1" url="http://finance.yahoo.com/q/hp?s=KR" htmlTables="1">
      <tables count="1">
        <x v="15"/>
      </tables>
    </webPr>
  </connection>
  <connection id="30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31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32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33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34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35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36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37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38" name="Connection33" type="4" refreshedVersion="5" saveData="1">
    <webPr sourceData="1" parsePre="1" consecutive="1" xl2000="1" url="http://finance.yahoo.com/q/hp?s=GILD" htmlTables="1">
      <tables count="1">
        <x v="15"/>
      </tables>
    </webPr>
  </connection>
  <connection id="39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40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41" name="Connection36" type="4" refreshedVersion="5" saveData="1">
    <webPr sourceData="1" parsePre="1" consecutive="1" xl2000="1" url="http://finance.yahoo.com/q?s=KATE" htmlTables="1">
      <tables count="2">
        <s v="table1"/>
        <s v="table2"/>
      </tables>
    </webPr>
  </connection>
  <connection id="42" name="Connection37" type="4" refreshedVersion="5" saveData="1">
    <webPr sourceData="1" parsePre="1" consecutive="1" xl2000="1" url="http://finance.yahoo.com/q/hp?s=KATE" htmlTables="1">
      <tables count="1">
        <x v="15"/>
      </tables>
    </webPr>
  </connection>
  <connection id="43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44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45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46" name="Connection40" type="4" refreshedVersion="5" saveData="1">
    <webPr sourceData="1" parsePre="1" consecutive="1" xl2000="1" url="http://finance.yahoo.com/q/hp?s=CAH" htmlTables="1">
      <tables count="1">
        <x v="15"/>
      </tables>
    </webPr>
  </connection>
  <connection id="47" name="Connection41" type="4" refreshedVersion="5" saveData="1">
    <webPr sourceData="1" parsePre="1" consecutive="1" xl2000="1" url="http://finance.yahoo.com/q?s=CAH" htmlTables="1">
      <tables count="2">
        <s v="table1"/>
        <s v="table2"/>
      </tables>
    </webPr>
  </connection>
  <connection id="48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49" name="Connection43" type="4" refreshedVersion="5" saveData="1">
    <webPr sourceData="1" parsePre="1" consecutive="1" xl2000="1" url="http://finance.yahoo.com/q?s=MOS" htmlTables="1">
      <tables count="2">
        <s v="table1"/>
        <s v="table2"/>
      </tables>
    </webPr>
  </connection>
  <connection id="50" name="Connection432" type="4" refreshedVersion="5" saveData="1">
    <webPr sourceData="1" parsePre="1" consecutive="1" xl2000="1" url="https://ca.finance.yahoo.com/q?s=CF" htmlTables="1">
      <tables count="2">
        <s v="table1"/>
        <s v="table2"/>
      </tables>
    </webPr>
  </connection>
  <connection id="51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52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53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54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55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56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57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58" name="Connection50" type="4" refreshedVersion="5" saveData="1">
    <webPr sourceData="1" parsePre="1" consecutive="1" xl2000="1" url="http://finance.yahoo.com/q/hp?s=FTR" htmlTables="1">
      <tables count="1">
        <x v="15"/>
      </tables>
    </webPr>
  </connection>
  <connection id="59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60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61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62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63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64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65" name="Connection57" type="4" refreshedVersion="5" saveData="1">
    <webPr sourceData="1" parsePre="1" consecutive="1" xl2000="1" url="http://finance.yahoo.com/q/hp?s=DAL" htmlTables="1">
      <tables count="1">
        <x v="15"/>
      </tables>
    </webPr>
  </connection>
  <connection id="66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67" name="Connection59" type="4" refreshedVersion="5" saveData="1">
    <webPr sourceData="1" parsePre="1" consecutive="1" xl2000="1" url="http://finance.yahoo.com/q/hp?s=NWL" htmlTables="1">
      <tables count="1">
        <x v="15"/>
      </tables>
    </webPr>
  </connection>
  <connection id="68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69" name="Connection60" type="4" refreshedVersion="5" saveData="1">
    <webPr sourceData="1" parsePre="1" consecutive="1" xl2000="1" url="http://finance.yahoo.com/q?s=NWL" htmlTables="1">
      <tables count="2">
        <s v="table1"/>
        <s v="table2"/>
      </tables>
    </webPr>
  </connection>
  <connection id="70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71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72" name="Connection63" type="4" refreshedVersion="5" saveData="1">
    <webPr sourceData="1" parsePre="1" consecutive="1" xl2000="1" url="http://finance.yahoo.com/q/hp?s=WFC" htmlTables="1">
      <tables count="1">
        <x v="15"/>
      </tables>
    </webPr>
  </connection>
  <connection id="73" name="Connection64" type="4" refreshedVersion="5" saveData="1">
    <webPr sourceData="1" parsePre="1" consecutive="1" xl2000="1" url="http://finance.yahoo.com/q?s=WFC" htmlTables="1">
      <tables count="2">
        <s v="table1"/>
        <s v="table2"/>
      </tables>
    </webPr>
  </connection>
  <connection id="74" name="Connection65" type="4" refreshedVersion="5" saveData="1">
    <webPr sourceData="1" parsePre="1" consecutive="1" xl2000="1" url="http://finance.yahoo.com/q?s=DAL" htmlTables="1">
      <tables count="2">
        <s v="table1"/>
        <s v="table2"/>
      </tables>
    </webPr>
  </connection>
  <connection id="75" name="Connection66" type="4" refreshedVersion="5" saveData="1">
    <webPr sourceData="1" parsePre="1" consecutive="1" xl2000="1" url="http://finance.yahoo.com/q/hp?s=F" htmlTables="1">
      <tables count="1">
        <x v="15"/>
      </tables>
    </webPr>
  </connection>
  <connection id="76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77" name="Connection68" type="4" refreshedVersion="5" saveData="1">
    <webPr sourceData="1" parsePre="1" consecutive="1" xl2000="1" url="https://finance.yahoo.com/q/hp?s=SPY+Historical+Prices" htmlTables="1">
      <tables count="1">
        <x v="15"/>
      </tables>
    </webPr>
  </connection>
  <connection id="78" name="Connection69" type="4" refreshedVersion="5" background="1" saveData="1">
    <webPr sourceData="1" parsePre="1" consecutive="1" xl2000="1" url="http://finance.yahoo.com/q/hp?s=GIS" htmlTables="1">
      <tables count="1">
        <x v="15"/>
      </tables>
    </webPr>
  </connection>
  <connection id="79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80" name="Connection70" type="4" refreshedVersion="5" saveData="1">
    <webPr sourceData="1" parsePre="1" consecutive="1" xl2000="1" url="http://finance.yahoo.com/q/hp?s=MOS+Historical+Prices" htmlTables="1">
      <tables count="1">
        <x v="15"/>
      </tables>
    </webPr>
  </connection>
  <connection id="81" name="Connection71" type="4" refreshedVersion="5" saveData="1">
    <webPr sourceData="1" parsePre="1" consecutive="1" xl2000="1" url="http://finance.yahoo.com/q?s=AXP" htmlTables="1">
      <tables count="2">
        <s v="table1"/>
        <s v="table2"/>
      </tables>
    </webPr>
  </connection>
  <connection id="82" name="Connection72" type="4" refreshedVersion="5" saveData="1">
    <webPr sourceData="1" parsePre="1" consecutive="1" xl2000="1" url="http://finance.yahoo.com/q?s=MU" htmlTables="1">
      <tables count="2">
        <s v="table1"/>
        <s v="table2"/>
      </tables>
    </webPr>
  </connection>
  <connection id="83" name="Connection73" type="4" refreshedVersion="5" saveData="1">
    <webPr sourceData="1" parsePre="1" consecutive="1" xl2000="1" url="http://finance.yahoo.com/q?s=GIS" htmlTables="1">
      <tables count="2">
        <s v="table1"/>
        <s v="table2"/>
      </tables>
    </webPr>
  </connection>
  <connection id="84" name="Connection74" type="4" refreshedVersion="5" saveData="1">
    <webPr sourceData="1" parsePre="1" consecutive="1" xl2000="1" url="http://finance.yahoo.com/q?s=SPY" htmlTables="1">
      <tables count="2">
        <s v="table1"/>
        <s v="table2"/>
      </tables>
    </webPr>
  </connection>
  <connection id="85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86" name="Connection76" type="4" refreshedVersion="5" saveData="1">
    <webPr sourceData="1" parsePre="1" consecutive="1" xl2000="1" url="http://finance.yahoo.com/q?s=MYL" htmlTables="1">
      <tables count="2">
        <s v="table1"/>
        <s v="table2"/>
      </tables>
    </webPr>
  </connection>
  <connection id="87" name="Connection77" type="4" refreshedVersion="5" saveData="1">
    <webPr sourceData="1" parsePre="1" consecutive="1" xl2000="1" url="http://finance.yahoo.com/q/hp?s=CF" htmlTables="1">
      <tables count="1">
        <x v="15"/>
      </tables>
    </webPr>
  </connection>
  <connection id="88" name="Connection78" type="4" refreshedVersion="5" saveData="1">
    <webPr sourceData="1" parsePre="1" consecutive="1" xl2000="1" url="http://finance.yahoo.com/q/hp?s=vgk" htmlTables="1">
      <tables count="1">
        <x v="15"/>
      </tables>
    </webPr>
  </connection>
  <connection id="89" name="Connection781" type="4" refreshedVersion="5" saveData="1">
    <webPr sourceData="1" parsePre="1" consecutive="1" xl2000="1" url="http://finance.yahoo.com/q/hp?s=vgk" htmlTables="1">
      <tables count="1">
        <x v="15"/>
      </tables>
    </webPr>
  </connection>
  <connection id="90" name="Connection79" type="4" refreshedVersion="5" saveData="1">
    <webPr sourceData="1" parsePre="1" consecutive="1" xl2000="1" url="http://finance.yahoo.com/q?s=vgk" htmlTables="1">
      <tables count="2">
        <s v="table1"/>
        <s v="table2"/>
      </tables>
    </webPr>
  </connection>
  <connection id="91" name="Connection791" type="4" refreshedVersion="5" saveData="1">
    <webPr sourceData="1" parsePre="1" consecutive="1" xl2000="1" url="http://finance.yahoo.com/q?s=vgk" htmlTables="1">
      <tables count="2">
        <s v="table1"/>
        <s v="table2"/>
      </tables>
    </webPr>
  </connection>
  <connection id="92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93" name="Connection80" type="4" refreshedVersion="5" saveData="1">
    <webPr sourceData="1" parsePre="1" consecutive="1" xl2000="1" url="http://finance.yahoo.com/q?s=AAPL" htmlTables="1">
      <tables count="2">
        <s v="table1"/>
        <s v="table2"/>
      </tables>
    </webPr>
  </connection>
  <connection id="94" name="Connection81" type="4" refreshedVersion="5" saveData="1">
    <webPr sourceData="1" parsePre="1" consecutive="1" xl2000="1" url="http://finance.yahoo.com/q/hp?s=LUV" htmlTables="1">
      <tables count="1">
        <x v="15"/>
      </tables>
    </webPr>
  </connection>
  <connection id="95" name="Connection82" type="4" refreshedVersion="5" saveData="1">
    <webPr sourceData="1" parsePre="1" consecutive="1" xl2000="1" url="http://finance.yahoo.com/q?s=luv&amp;ql=1" htmlTables="1">
      <tables count="2">
        <s v="table1"/>
        <s v="table2"/>
      </tables>
    </webPr>
  </connection>
  <connection id="96" name="Connection83" type="4" refreshedVersion="5" saveData="1">
    <webPr sourceData="1" parsePre="1" consecutive="1" xl2000="1" url="http://finance.yahoo.com/q/hp?s=AKAM+Historical+Prices" htmlTables="1">
      <tables count="1">
        <x v="15"/>
      </tables>
    </webPr>
  </connection>
  <connection id="97" name="Connection831" type="4" refreshedVersion="5" saveData="1">
    <webPr sourceData="1" parsePre="1" consecutive="1" xl2000="1" url="http://finance.yahoo.com/q/hp?s=BMY+Historical+Prices" htmlTables="1">
      <tables count="1">
        <x v="15"/>
      </tables>
    </webPr>
  </connection>
  <connection id="98" name="Connection84" type="4" refreshedVersion="5" saveData="1">
    <webPr sourceData="1" parsePre="1" consecutive="1" xl2000="1" url="http://finance.yahoo.com/q?s=AKAM" htmlTables="1">
      <tables count="2">
        <s v="table1"/>
        <s v="table2"/>
      </tables>
    </webPr>
  </connection>
  <connection id="99" name="Connection85" type="4" refreshedVersion="5" saveData="1">
    <webPr parsePre="1" consecutive="1" textDates="1" xl2000="1" url="http://finance.yahoo.com/q?s=SIG" htmlTables="1">
      <tables count="2">
        <s v="table1"/>
        <s v="table2"/>
      </tables>
    </webPr>
  </connection>
  <connection id="100" name="Connection86" type="4" refreshedVersion="5" saveData="1">
    <webPr sourceData="1" parsePre="1" consecutive="1" xl2000="1" url="http://finance.yahoo.com/q?s=mro" htmlTables="1">
      <tables count="2">
        <s v="table1"/>
        <s v="table2"/>
      </tables>
    </webPr>
  </connection>
  <connection id="101" name="Connection87" type="4" refreshedVersion="5" saveData="1">
    <webPr sourceData="1" parsePre="1" consecutive="1" xl2000="1" url="http://finance.yahoo.com/q?s=dg" htmlTables="1">
      <tables count="2">
        <s v="table1"/>
        <s v="table2"/>
      </tables>
    </webPr>
  </connection>
  <connection id="102" name="Connection88" type="4" refreshedVersion="5" saveData="1">
    <webPr sourceData="1" parsePre="1" consecutive="1" xl2000="1" url="http://finance.yahoo.com/q/hp?s=dg" htmlTables="1">
      <tables count="1">
        <x v="15"/>
      </tables>
    </webPr>
  </connection>
  <connection id="103" name="Connection89" type="4" refreshedVersion="5" saveData="1">
    <webPr sourceData="1" parsePre="1" consecutive="1" xl2000="1" url="http://finance.yahoo.com/q/hp?s=foxa" htmlTables="1">
      <tables count="1">
        <x v="15"/>
      </tables>
    </webPr>
  </connection>
  <connection id="104" name="Connection9" type="4" refreshedVersion="5" saveData="1">
    <webPr sourceData="1" parsePre="1" consecutive="1" xl2000="1" url="http://finance.yahoo.com/q/hp?s=HES" htmlTables="1">
      <tables count="1">
        <x v="15"/>
      </tables>
    </webPr>
  </connection>
  <connection id="105" name="Connection90" type="4" refreshedVersion="5" saveData="1">
    <webPr sourceData="1" parsePre="1" consecutive="1" xl2000="1" url="http://finance.yahoo.com/q?s=foxa" htmlTables="1">
      <tables count="2">
        <s v="table1"/>
        <s v="table2"/>
      </tables>
    </webPr>
  </connection>
  <connection id="106" name="Connection91" type="4" refreshedVersion="5" saveData="1">
    <webPr sourceData="1" parsePre="1" consecutive="1" xl2000="1" url="http://finance.yahoo.com/q/hp?s=pinc" htmlTables="1">
      <tables count="1">
        <x v="15"/>
      </tables>
    </webPr>
  </connection>
  <connection id="107" name="Connection92" type="4" refreshedVersion="5" saveData="1">
    <webPr sourceData="1" parsePre="1" consecutive="1" xl2000="1" url="http://finance.yahoo.com/q?s=pinc" htmlTables="1">
      <tables count="2">
        <s v="table1"/>
        <s v="table2"/>
      </tables>
    </webPr>
  </connection>
  <connection id="108" name="Connection93" type="4" refreshedVersion="5" saveData="1">
    <webPr sourceData="1" parsePre="1" consecutive="1" xl2000="1" url="http://finance.yahoo.com/q/hp?s=nclh" htmlTables="1">
      <tables count="1">
        <x v="15"/>
      </tables>
    </webPr>
  </connection>
  <connection id="109" name="Connection94" type="4" refreshedVersion="5" saveData="1">
    <webPr sourceData="1" parsePre="1" consecutive="1" xl2000="1" url="http://finance.yahoo.com/q?s=nclh" htmlTables="1">
      <tables count="2">
        <s v="table1"/>
        <s v="table2"/>
      </tables>
    </webPr>
  </connection>
  <connection id="110" name="Connection95" type="4" refreshedVersion="5" saveData="1">
    <webPr sourceData="1" parsePre="1" consecutive="1" xl2000="1" url="http://finance.yahoo.com/q/hp?s=jnj" htmlTables="1">
      <tables count="1">
        <x v="15"/>
      </tables>
    </webPr>
  </connection>
  <connection id="111" name="Connection96" type="4" refreshedVersion="5" saveData="1">
    <webPr sourceData="1" parsePre="1" consecutive="1" xl2000="1" url="http://finance.yahoo.com/q?s=JNJ" htmlTables="1">
      <tables count="2">
        <s v="table1"/>
        <s v="table2"/>
      </tables>
    </webPr>
  </connection>
  <connection id="112" name="Connection97" type="4" refreshedVersion="5" saveData="1">
    <webPr sourceData="1" parsePre="1" consecutive="1" xl2000="1" url="http://finance.yahoo.com/q/hp?s=cvs" htmlTables="1">
      <tables count="1">
        <x v="15"/>
      </tables>
    </webPr>
  </connection>
  <connection id="113" name="Connection98" type="4" refreshedVersion="5" saveData="1">
    <webPr sourceData="1" parsePre="1" consecutive="1" xl2000="1" url="http://finance.yahoo.com/q?s=cvs" htmlTables="1">
      <tables count="2">
        <s v="table1"/>
        <s v="table2"/>
      </tables>
    </webPr>
  </connection>
  <connection id="114" name="Connection99" type="4" refreshedVersion="5" saveData="1">
    <webPr sourceData="1" parsePre="1" consecutive="1" xl2000="1" url="http://finance.yahoo.com/q/hp?s=swhc" htmlTables="1">
      <tables count="1">
        <x v="15"/>
      </tables>
    </webPr>
  </connection>
</connections>
</file>

<file path=xl/sharedStrings.xml><?xml version="1.0" encoding="utf-8"?>
<sst xmlns="http://schemas.openxmlformats.org/spreadsheetml/2006/main" count="5472" uniqueCount="691">
  <si>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</si>
  <si>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</si>
  <si>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</si>
  <si>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</si>
  <si>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</si>
  <si>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</si>
  <si>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</si>
  <si>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</si>
  <si>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</si>
  <si>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</si>
  <si>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</si>
  <si>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</si>
  <si>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</si>
  <si>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</si>
  <si>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</si>
  <si>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</si>
  <si>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</si>
  <si>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</si>
  <si>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</si>
  <si>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</si>
  <si>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</si>
  <si>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</si>
  <si>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</si>
  <si>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</si>
  <si>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</si>
  <si>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</si>
  <si>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</si>
  <si>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</si>
  <si>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</si>
  <si>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</si>
  <si>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</si>
  <si>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</si>
  <si>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</si>
  <si>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</si>
  <si>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</si>
  <si>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</si>
  <si>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</si>
  <si>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</si>
  <si>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</si>
  <si>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</si>
  <si>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</si>
  <si>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</si>
  <si>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</si>
  <si>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</si>
  <si>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</si>
  <si>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</si>
  <si>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</si>
  <si>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</si>
  <si>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</si>
  <si>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</si>
  <si>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</si>
  <si>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</si>
  <si>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</si>
  <si>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</si>
  <si>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</si>
  <si>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</si>
  <si>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</si>
  <si>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</si>
  <si>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</si>
  <si>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</si>
  <si>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</si>
  <si>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</si>
  <si>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</si>
  <si>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</si>
  <si>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</si>
  <si>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</si>
  <si>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</si>
  <si>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</si>
  <si>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</si>
  <si>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</si>
  <si>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</si>
  <si>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</si>
  <si>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</si>
  <si>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</si>
  <si>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</si>
  <si>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</si>
  <si>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</si>
  <si>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</si>
  <si>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</si>
  <si>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</si>
  <si>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</si>
  <si>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</si>
  <si>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</si>
  <si>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</si>
  <si>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</si>
  <si>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</si>
  <si>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</si>
  <si>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</si>
  <si>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</si>
  <si>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</si>
  <si>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</si>
  <si>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</si>
  <si>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</si>
  <si>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</si>
  <si>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</si>
  <si>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</si>
  <si>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</si>
  <si>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ER/E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</si>
  <si>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</si>
  <si>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</si>
  <si>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</si>
  <si>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</si>
  <si>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</si>
  <si>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</si>
  <si>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</si>
  <si>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</si>
  <si>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</si>
  <si>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</si>
  <si>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</si>
  <si>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</si>
  <si>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</si>
  <si>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</si>
  <si>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</si>
  <si>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</si>
  <si>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</si>
  <si>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</si>
  <si>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</si>
  <si>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</si>
  <si>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</si>
  <si>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</si>
  <si>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</si>
  <si>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</si>
  <si>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</si>
  <si>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</si>
  <si>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</si>
  <si>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</si>
  <si>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</si>
  <si>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</si>
  <si>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</si>
  <si>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</si>
  <si>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</si>
  <si>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</si>
  <si>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</si>
  <si>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</si>
  <si>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</si>
  <si>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</si>
  <si>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</si>
  <si>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</si>
  <si>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</si>
  <si>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0.26 Dividend</t>
  </si>
  <si>
    <t>7-Oct average @16.25 3078</t>
  </si>
  <si>
    <t>Cumu SPX%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</si>
  <si>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</si>
  <si>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</si>
  <si>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</si>
  <si>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</si>
  <si>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</si>
  <si>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</si>
  <si>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</si>
  <si>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</si>
  <si>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</si>
  <si>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</si>
  <si>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</si>
  <si>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</si>
  <si>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</si>
  <si>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</si>
  <si>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</si>
  <si>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</si>
  <si>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</si>
  <si>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</si>
  <si>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</si>
  <si>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</si>
  <si>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</si>
  <si>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</si>
  <si>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</si>
  <si>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</si>
  <si>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</si>
  <si>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</si>
  <si>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</si>
  <si>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</si>
  <si>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16-Dec, average 50.07</t>
  </si>
  <si>
    <t>0.105 Dividend</t>
  </si>
  <si>
    <t>SWKS</t>
  </si>
  <si>
    <t>GIS</t>
  </si>
  <si>
    <t>IP</t>
  </si>
  <si>
    <t>WFC</t>
  </si>
  <si>
    <t>NWL</t>
  </si>
  <si>
    <t>SPY</t>
  </si>
  <si>
    <t>%Div</t>
  </si>
  <si>
    <t>0.15 Dividend</t>
  </si>
  <si>
    <t>0.19 Dividend</t>
  </si>
  <si>
    <t>Total P/L</t>
  </si>
  <si>
    <t>18-Feb  7.38</t>
  </si>
  <si>
    <t>0.11 Dividend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</si>
  <si>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</si>
  <si>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</si>
  <si>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</si>
  <si>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</si>
  <si>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</si>
  <si>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</si>
  <si>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</si>
  <si>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Beat Ratio</t>
  </si>
  <si>
    <t>Investment</t>
  </si>
  <si>
    <t>Cash</t>
  </si>
  <si>
    <t>4K,  240</t>
  </si>
  <si>
    <t>Minor Correction</t>
  </si>
  <si>
    <t>85k, 15.75</t>
  </si>
  <si>
    <t>23-Mar,   2000      @10.7</t>
  </si>
  <si>
    <t>SumbyColor</t>
  </si>
  <si>
    <t>NKE</t>
  </si>
  <si>
    <t>KR</t>
  </si>
  <si>
    <t>F</t>
  </si>
  <si>
    <t>3000 @ 13.99</t>
  </si>
  <si>
    <t>ER sequence: CAH, MCK, ABC</t>
  </si>
  <si>
    <t>CEO 5/2 Ed Bastian</t>
  </si>
  <si>
    <t>1240 @ 10.18</t>
  </si>
  <si>
    <t>2000 @ 12.42</t>
  </si>
  <si>
    <t>AAPL</t>
  </si>
  <si>
    <t>MYL</t>
  </si>
  <si>
    <t>1500 @ 12.31</t>
  </si>
  <si>
    <t>0.57 Dividend</t>
  </si>
  <si>
    <t>Div Rate</t>
  </si>
  <si>
    <t>Current %P/L</t>
  </si>
  <si>
    <t>Past P/L</t>
  </si>
  <si>
    <t>Curent %P/L</t>
  </si>
  <si>
    <t>past P/L</t>
  </si>
  <si>
    <t>75@</t>
  </si>
  <si>
    <t>0.66 Dividend</t>
  </si>
  <si>
    <t>P/L &gt; 400</t>
  </si>
  <si>
    <t>SIG</t>
  </si>
  <si>
    <t>Top3 Loss</t>
  </si>
  <si>
    <t>Rest P/L</t>
  </si>
  <si>
    <t>Interest</t>
  </si>
  <si>
    <t>0.33 Dividend</t>
  </si>
  <si>
    <t>16.K, 16.53</t>
  </si>
  <si>
    <t>0.47 Dividend</t>
  </si>
  <si>
    <t>20-Jun 1600  @14.31</t>
  </si>
  <si>
    <t>SPX vol</t>
  </si>
  <si>
    <t>My vol</t>
  </si>
  <si>
    <t>Corrections</t>
  </si>
  <si>
    <t>CF</t>
  </si>
  <si>
    <t>VGK</t>
  </si>
  <si>
    <t>AXP</t>
  </si>
  <si>
    <t>MOS</t>
  </si>
  <si>
    <t>ER, AH -7%</t>
  </si>
  <si>
    <t>up 3.8%</t>
  </si>
  <si>
    <t>0.449 Dividend</t>
  </si>
  <si>
    <t>1-Jul,      2178  @15.63</t>
  </si>
  <si>
    <t>-9% AH after ER</t>
  </si>
  <si>
    <t>Sellable</t>
  </si>
  <si>
    <t>0.48 Dividend</t>
  </si>
  <si>
    <t>AH ER beat, +3.8%</t>
  </si>
  <si>
    <t>AH ER, 0.15 vs 0.09, 5.3B vs 5.2B</t>
  </si>
  <si>
    <t>insider sold shares@ 14.75</t>
  </si>
  <si>
    <t>1.47 vs 1.42, 10.45B vs 10.48B</t>
  </si>
  <si>
    <t>1.01 vs 1.00, 22.5B vs 22.2B, g 1.02</t>
  </si>
  <si>
    <t>ER, -2.51%</t>
  </si>
  <si>
    <t>ex 9/1 e</t>
  </si>
  <si>
    <t>ex 9/26 e</t>
  </si>
  <si>
    <t>largest U.S. producer of potash and phosphate fertilizer</t>
  </si>
  <si>
    <t>fixed income conference</t>
  </si>
  <si>
    <t>9% SI among floating</t>
  </si>
  <si>
    <t>SI 13%</t>
  </si>
  <si>
    <t>insider buy 65K@30 in May</t>
  </si>
  <si>
    <t>SI 11%</t>
  </si>
  <si>
    <t>SI 6.5%</t>
  </si>
  <si>
    <t>SI 2.5%</t>
  </si>
  <si>
    <t>2.61$ beat 0.04, 9.4B, beat 20M -5.1%YoY</t>
  </si>
  <si>
    <t>ER, AH (62.68 - 66.17)</t>
  </si>
  <si>
    <t>2.10$ beats 0.15, 8.24B miss 160M</t>
  </si>
  <si>
    <t>AH -4%</t>
  </si>
  <si>
    <t>AH -4% (84-100)</t>
  </si>
  <si>
    <t>AKAM</t>
  </si>
  <si>
    <t>AH -9%</t>
  </si>
  <si>
    <t>AH +7%</t>
  </si>
  <si>
    <t>AH +2% due to apple, 67.8</t>
  </si>
  <si>
    <t>sold 30 at loss</t>
  </si>
  <si>
    <t>ER, -8%</t>
  </si>
  <si>
    <t>margin</t>
  </si>
  <si>
    <t>223.02 - 333.65</t>
  </si>
  <si>
    <t>0.203 Dividend</t>
  </si>
  <si>
    <t>缺两天</t>
  </si>
  <si>
    <t>33.26 - 55.45</t>
  </si>
  <si>
    <t>2000 @ 14.94</t>
  </si>
  <si>
    <t>8/18/2016 1678@    16.43</t>
  </si>
  <si>
    <t>conf</t>
  </si>
  <si>
    <t>Achieved, 16.35</t>
  </si>
  <si>
    <t>Achieved, 16.25</t>
  </si>
  <si>
    <t>system down</t>
  </si>
  <si>
    <t>div, 36.50</t>
  </si>
  <si>
    <t>Achieved, 15.75</t>
  </si>
  <si>
    <t>div, 12.00</t>
  </si>
  <si>
    <t>sep. sale</t>
  </si>
  <si>
    <t>investor day</t>
  </si>
  <si>
    <t>DG</t>
  </si>
  <si>
    <t>FOXA</t>
  </si>
  <si>
    <t>NCLH</t>
  </si>
  <si>
    <t>1220 @ 16.55</t>
  </si>
  <si>
    <t>JNJ</t>
  </si>
  <si>
    <t>0.80 Dividend</t>
  </si>
  <si>
    <t>fertizer conf</t>
  </si>
  <si>
    <t>0.18 Dividend</t>
  </si>
  <si>
    <t>div, 16.35</t>
  </si>
  <si>
    <t>16.53 ---&gt; 16.00</t>
  </si>
  <si>
    <t>CVS</t>
  </si>
  <si>
    <t>12.00 ---&gt; 11.70</t>
  </si>
  <si>
    <t>19.75 --&gt; 19.50</t>
  </si>
  <si>
    <t>1800 @ 14.59</t>
  </si>
  <si>
    <t>Daily change</t>
  </si>
  <si>
    <t>cumu NDX%</t>
  </si>
  <si>
    <t>Daily NDX%</t>
  </si>
  <si>
    <t>Sharpe</t>
  </si>
  <si>
    <t>SWHC</t>
  </si>
  <si>
    <t>22.00 ---&gt; 21.50</t>
  </si>
  <si>
    <t>21.50 ---&gt; 21.00</t>
  </si>
  <si>
    <t>https://en.wikipedia.org/wiki/21st_Century_Fox</t>
  </si>
  <si>
    <t>119.75 - 160.68</t>
  </si>
  <si>
    <t>16.00 ---&gt; 15.80</t>
  </si>
  <si>
    <t>16.25 ----&gt; 15.75</t>
  </si>
  <si>
    <t>AH -5%</t>
  </si>
  <si>
    <t>Note</t>
  </si>
  <si>
    <t>17.00 ---&gt; 16.80</t>
  </si>
  <si>
    <t>16.35  ---&gt; 15.70</t>
  </si>
  <si>
    <t>0.32 Dividend</t>
  </si>
  <si>
    <t>2000 @ 15.83</t>
  </si>
  <si>
    <t>&gt;$200, 4.00</t>
  </si>
  <si>
    <t>19.50  ---&gt; 19.25</t>
  </si>
  <si>
    <t>缺几天</t>
  </si>
  <si>
    <t>7/29, 22.39</t>
  </si>
  <si>
    <t>18.00  ---&gt; 17.75</t>
  </si>
  <si>
    <t>9/28, 20.207</t>
  </si>
  <si>
    <t>BMY</t>
  </si>
  <si>
    <t>16.80 ---&gt; 16.48</t>
  </si>
  <si>
    <t>4.00 --&gt; 3.90</t>
  </si>
  <si>
    <t>0.09 Dividend</t>
  </si>
  <si>
    <t>0.36 (1.25%)</t>
  </si>
  <si>
    <t>3.10 - 5.85</t>
  </si>
  <si>
    <t>15.70 ---&gt; 15.25</t>
  </si>
  <si>
    <t>83.00 ---&gt; 82.00</t>
  </si>
  <si>
    <t>19.25 ---&gt; 19.00</t>
  </si>
  <si>
    <t>缺三周</t>
  </si>
  <si>
    <t>0.463 Dividend</t>
  </si>
  <si>
    <t>23-Feb-17KATE Earnings announcement</t>
  </si>
  <si>
    <t>Feb 21 - Feb 27 (Est.)</t>
  </si>
  <si>
    <t>Feb 8 - Feb 13 (Est.)</t>
  </si>
  <si>
    <t>69.30 - 106.67</t>
  </si>
  <si>
    <t>15.75 ---&gt; 15.45</t>
  </si>
  <si>
    <t>EW</t>
  </si>
  <si>
    <t>21.00 ---&gt; 16.00</t>
  </si>
  <si>
    <t>2-Mar-17KR Earnings announcement</t>
  </si>
  <si>
    <t>66.50 - 96.88</t>
  </si>
  <si>
    <t>Mar 1 - Mar 6 (Est.)</t>
  </si>
  <si>
    <t>19.18 - 31.19</t>
  </si>
  <si>
    <t>0.605 Dividend</t>
  </si>
  <si>
    <t>12/7/2016   800 @ 20.20</t>
  </si>
  <si>
    <t>Mar 8 - Mar 13 (Est.)</t>
  </si>
  <si>
    <t>0.10 Dividend</t>
  </si>
  <si>
    <t>0.282 Dividend</t>
  </si>
  <si>
    <t>43.55 - 58.02</t>
  </si>
  <si>
    <t>0.78 Dividend</t>
  </si>
  <si>
    <t>6.52 - 19.28</t>
  </si>
  <si>
    <t>0.275 Dividend</t>
  </si>
  <si>
    <t>0.28 Dividend</t>
  </si>
  <si>
    <t>82.00 ---&gt; 81.00</t>
  </si>
  <si>
    <t>CCE</t>
  </si>
  <si>
    <t>30.55 - 54.54</t>
  </si>
  <si>
    <t>1.07 (3.42%)</t>
  </si>
  <si>
    <t>NAV¹:</t>
  </si>
  <si>
    <t>Net Assets²:</t>
  </si>
  <si>
    <t>YTD Return (Mkt)²:</t>
  </si>
  <si>
    <t>P/E (ttm)²:</t>
  </si>
  <si>
    <t>Yield (ttm)²:</t>
  </si>
  <si>
    <t>1.329 Dividend</t>
  </si>
  <si>
    <t>1.02 Dividend</t>
  </si>
  <si>
    <t>32.60 - 52.76</t>
  </si>
  <si>
    <t>37.41 - 76.80</t>
  </si>
  <si>
    <t>Mar 20 - Mar 24 (Est.)</t>
  </si>
  <si>
    <t>49.01 - 65.44</t>
  </si>
  <si>
    <t>2-Feb-17IP Earnings announcement</t>
  </si>
  <si>
    <t>0.59 Dividend</t>
  </si>
  <si>
    <t>0.226 Dividend</t>
  </si>
  <si>
    <t>1.14 (1.67%)</t>
  </si>
  <si>
    <t>14.02 - 26.46</t>
  </si>
  <si>
    <t>Mar 21 - Mar 27 (Est.)</t>
  </si>
  <si>
    <t>27-Feb-17FTR Earnings announcement</t>
  </si>
  <si>
    <t>25.00 ---&gt; 24.50</t>
  </si>
  <si>
    <t>ISTPDR61</t>
  </si>
  <si>
    <t>Mar 28 - Apr 3 (Est.)</t>
  </si>
  <si>
    <t>GCFPURGB</t>
  </si>
  <si>
    <t>N/A - N/A</t>
  </si>
  <si>
    <t>1.19B</t>
  </si>
  <si>
    <t>0.178 Dividend</t>
  </si>
  <si>
    <t>42.73 - 50.70</t>
  </si>
  <si>
    <t>AOBC</t>
  </si>
  <si>
    <t>62.70 - 87.85</t>
  </si>
  <si>
    <t>9-Mar-17SIG Earnings announcement</t>
  </si>
  <si>
    <t>20.77 - 37.72</t>
  </si>
  <si>
    <t>0.39 Dividend</t>
  </si>
  <si>
    <t>7-Feb-17AKAM Earnings announcement</t>
  </si>
  <si>
    <t>9-Feb-17CVS Earnings announcement</t>
  </si>
  <si>
    <t>15.59B</t>
  </si>
  <si>
    <t>224.82B</t>
  </si>
  <si>
    <t>7-Feb-17CAH Earnings announcement</t>
  </si>
  <si>
    <t>7-Feb-17GILD Earnings announcement</t>
  </si>
  <si>
    <t>28.27 - 35.11</t>
  </si>
  <si>
    <t>7-Feb-17GM Earnings announcement</t>
  </si>
  <si>
    <t>TEVA</t>
  </si>
  <si>
    <t>0.34 Dividend</t>
  </si>
  <si>
    <t>39.43 - 71.64</t>
  </si>
  <si>
    <t>28.71 - 40.91</t>
  </si>
  <si>
    <t>72.65 - 125.45</t>
  </si>
  <si>
    <t>34.16 - 55.59</t>
  </si>
  <si>
    <t>Apr 12 - Apr 17 (Est.)</t>
  </si>
  <si>
    <t>6-Feb-17FOXA Earnings announcement</t>
  </si>
  <si>
    <t>13-Apr-17WFC Earnings announcement</t>
  </si>
  <si>
    <t>108.83 - 164.00</t>
  </si>
  <si>
    <t>7-Feb-17MOS Earnings announcement</t>
  </si>
  <si>
    <t>34.53 x 200</t>
  </si>
  <si>
    <t>0.20 Dividend</t>
  </si>
  <si>
    <t>7-Feb-17KORS Earnings announcement</t>
  </si>
  <si>
    <t>7-Feb-17DIS Earnings announcement</t>
  </si>
  <si>
    <t>42.01 - 71.46</t>
  </si>
  <si>
    <t>83.85 - 112.83</t>
  </si>
  <si>
    <t>6000,  3000</t>
  </si>
  <si>
    <t>&gt;$1000</t>
  </si>
  <si>
    <t>2000, 2000</t>
  </si>
  <si>
    <t>25,  0</t>
  </si>
  <si>
    <t>20,  20</t>
  </si>
  <si>
    <t>?</t>
  </si>
  <si>
    <t>400,  200</t>
  </si>
  <si>
    <t>120,   40</t>
  </si>
  <si>
    <t>600,   200</t>
  </si>
  <si>
    <t>100,   0</t>
  </si>
  <si>
    <t>300,  150</t>
  </si>
  <si>
    <t>TGT</t>
  </si>
  <si>
    <t>Apr 18 - Apr 24 (Est.)</t>
  </si>
  <si>
    <t>0.50 Dividend</t>
  </si>
  <si>
    <t>0.30 Dividend</t>
  </si>
  <si>
    <t>6-Feb-17NWL Earnings announcement</t>
  </si>
  <si>
    <t>28-Feb-17TGT Earnings announcement</t>
  </si>
  <si>
    <t>0.60 Dividend</t>
  </si>
  <si>
    <t>50,    0</t>
  </si>
  <si>
    <t>1550,   1200</t>
  </si>
  <si>
    <t>100,  20</t>
  </si>
  <si>
    <t>50,   50</t>
  </si>
  <si>
    <t>1500,  1100</t>
  </si>
  <si>
    <t>https://fred.stlouisfed.org/series/CPIFABSL</t>
  </si>
  <si>
    <t>20,   20</t>
  </si>
  <si>
    <t>100,  0</t>
  </si>
  <si>
    <t>80,   0</t>
  </si>
  <si>
    <t>1350,  1000</t>
  </si>
  <si>
    <t>1550, 1000</t>
  </si>
  <si>
    <t>10-Feb-17CPN Earnings announcement</t>
  </si>
  <si>
    <t>69.78 - 103.10</t>
  </si>
  <si>
    <t>64.50 x 1000</t>
  </si>
  <si>
    <t>1550,   400</t>
  </si>
  <si>
    <t>1800,  1100</t>
  </si>
  <si>
    <t>1400,  700</t>
  </si>
  <si>
    <t>50.27 - 78.02</t>
  </si>
  <si>
    <t>6-Feb-17PINC Earnings announcement</t>
  </si>
  <si>
    <t>0.05 Dividend</t>
  </si>
  <si>
    <t>18-Apr-17JNJ Earnings announcement</t>
  </si>
  <si>
    <t>99.78 - 126.07</t>
  </si>
  <si>
    <t>20.00 - 38.94</t>
  </si>
  <si>
    <t>Apr 17 - Apr 21 (Est.)</t>
  </si>
  <si>
    <t>26.69 - 38.38</t>
  </si>
  <si>
    <t>2000,  2000</t>
  </si>
  <si>
    <t>250,  100</t>
  </si>
  <si>
    <t>30,   15</t>
  </si>
  <si>
    <t>40,  0</t>
  </si>
  <si>
    <t>120,  20</t>
  </si>
  <si>
    <t>6000,  2000</t>
  </si>
  <si>
    <t>50,  0</t>
  </si>
  <si>
    <t>46.01 - 77.12</t>
  </si>
  <si>
    <t>0.12 Dividend</t>
  </si>
  <si>
    <t>75.29 - 121.75</t>
  </si>
  <si>
    <t>36.95 - 65.56</t>
  </si>
  <si>
    <t>181.09 - 229.71</t>
  </si>
  <si>
    <t>54.84 - 72.95</t>
  </si>
  <si>
    <t>6100,  2000</t>
  </si>
  <si>
    <t>500,  200</t>
  </si>
  <si>
    <t>600,   300</t>
  </si>
  <si>
    <t>140,     40</t>
  </si>
  <si>
    <t>Apr 19 - Apr 24 (Est.)</t>
  </si>
  <si>
    <t>27-Apr-17LUV Earnings announcement</t>
  </si>
  <si>
    <t>33.96 - 54.18</t>
  </si>
  <si>
    <t>Apr 26 - May 1 (Est.)</t>
  </si>
  <si>
    <t>15-Feb-17MRO Earnings announcement</t>
  </si>
  <si>
    <t>27-Apr-17F Earnings announcement</t>
  </si>
  <si>
    <t>32.86 - 58.86</t>
  </si>
  <si>
    <t>27.68 - 38.45</t>
  </si>
  <si>
    <t>Apr 25 - May 1 (Est.)</t>
  </si>
  <si>
    <t>15-Feb-17CF Earnings announcement</t>
  </si>
  <si>
    <t>62.94 - 84.14</t>
  </si>
  <si>
    <t>114.25 - 205.79</t>
  </si>
  <si>
    <t>79.00 ---&gt; 78.50</t>
  </si>
  <si>
    <t>1350,   0</t>
  </si>
  <si>
    <t>2200,  2000</t>
  </si>
  <si>
    <t>6900,   4000</t>
  </si>
  <si>
    <t>900 @ 16.70</t>
  </si>
  <si>
    <t>6900,  3700</t>
  </si>
  <si>
    <t>10,  10</t>
  </si>
  <si>
    <t>400,  100</t>
  </si>
  <si>
    <t>40,  20</t>
  </si>
  <si>
    <t>2000,  1800</t>
  </si>
  <si>
    <t>75,   0</t>
  </si>
  <si>
    <t>6500,  2100</t>
  </si>
  <si>
    <t>10,  0</t>
  </si>
  <si>
    <t>80,  0</t>
  </si>
  <si>
    <t>MJN</t>
  </si>
  <si>
    <t>1.04 (1.31%)</t>
  </si>
  <si>
    <t>89.47 - 130.49</t>
  </si>
  <si>
    <t>22.66 - 31.75</t>
  </si>
  <si>
    <t>0.36 (1.15%)</t>
  </si>
  <si>
    <t>0.40 (0.76%)</t>
  </si>
  <si>
    <t>66.59 x 100</t>
  </si>
  <si>
    <t>2.00 (2.54%)</t>
  </si>
  <si>
    <t>0.48 (1.43%)</t>
  </si>
  <si>
    <t>0.60 (4.85%)</t>
  </si>
  <si>
    <t>3.20 (2.83%)</t>
  </si>
  <si>
    <t>0.72 (1.36%)</t>
  </si>
  <si>
    <t>22.20 - 33.99</t>
  </si>
  <si>
    <t>1.85 (3.25%)</t>
  </si>
  <si>
    <t>1.00 (1.85%)</t>
  </si>
  <si>
    <t>51.90 x 100</t>
  </si>
  <si>
    <t>54.50 - 94.49</t>
  </si>
  <si>
    <t>2.40 (3.74%)</t>
  </si>
  <si>
    <t>22.89B</t>
  </si>
  <si>
    <t>40.36 - 59.49</t>
  </si>
  <si>
    <t>86.25 - 111.99</t>
  </si>
  <si>
    <t>1.56 (1.41%)</t>
  </si>
  <si>
    <t>0.42 (12.03%)</t>
  </si>
  <si>
    <t>1.92 (3.07%)</t>
  </si>
  <si>
    <t>2.50 (1.54%)</t>
  </si>
  <si>
    <t>6000,    900</t>
  </si>
  <si>
    <t>180,    40</t>
  </si>
  <si>
    <t>120,   20</t>
  </si>
  <si>
    <t>500,   100</t>
  </si>
  <si>
    <t>261.20 x 300</t>
  </si>
  <si>
    <t>264.00 x 2100</t>
  </si>
  <si>
    <t>260.50 - 264.52</t>
  </si>
  <si>
    <t>57.05B</t>
  </si>
  <si>
    <t>36.50 x 100</t>
  </si>
  <si>
    <t>39.00 x 100</t>
  </si>
  <si>
    <t>38.16 - 39.35</t>
  </si>
  <si>
    <t>33.60 - 52.91</t>
  </si>
  <si>
    <t>20.87B</t>
  </si>
  <si>
    <t>75.77 - 77.25</t>
  </si>
  <si>
    <t>5.30B</t>
  </si>
  <si>
    <t>128.02 x 200</t>
  </si>
  <si>
    <t>128.35 x 400</t>
  </si>
  <si>
    <t>Apr 24 - Apr 28 (Est.)</t>
  </si>
  <si>
    <t>127.78 - 129.39</t>
  </si>
  <si>
    <t>675.79B</t>
  </si>
  <si>
    <t>2.28 (1.77%)</t>
  </si>
  <si>
    <t>76.06 - 76.89</t>
  </si>
  <si>
    <t>70.03B</t>
  </si>
  <si>
    <t>1.28 (1.68%)</t>
  </si>
  <si>
    <t>73.22 - 74.18</t>
  </si>
  <si>
    <t>20.31B</t>
  </si>
  <si>
    <t>1.00 (1.35%)</t>
  </si>
  <si>
    <t>24.15 x 100</t>
  </si>
  <si>
    <t>31.37 - 31.83</t>
  </si>
  <si>
    <t>4.50B</t>
  </si>
  <si>
    <t>22.22 x 100</t>
  </si>
  <si>
    <t>31.29 - 31.59</t>
  </si>
  <si>
    <t>58.04B</t>
  </si>
  <si>
    <t>52.18 - 53.31</t>
  </si>
  <si>
    <t>32.54B</t>
  </si>
  <si>
    <t>34.67 - 35.11</t>
  </si>
  <si>
    <t>17.12B</t>
  </si>
  <si>
    <t>49.27 - 50.89</t>
  </si>
  <si>
    <t>84.40B</t>
  </si>
  <si>
    <t>1.56 (3.17%)</t>
  </si>
  <si>
    <t>70.33 x 100</t>
  </si>
  <si>
    <t>67.83 - 69.67</t>
  </si>
  <si>
    <t>12.03B</t>
  </si>
  <si>
    <t>74.05 - 76.35</t>
  </si>
  <si>
    <t>79.77B</t>
  </si>
  <si>
    <t>16.29 - 16.77</t>
  </si>
  <si>
    <t>14.13B</t>
  </si>
  <si>
    <t>0.20 (1.19%)</t>
  </si>
  <si>
    <t>33.71 - 34.16</t>
  </si>
  <si>
    <t>31.99B</t>
  </si>
  <si>
    <t>12.23 - 12.37</t>
  </si>
  <si>
    <t>11.07 - 14.22</t>
  </si>
  <si>
    <t>48.80B</t>
  </si>
  <si>
    <t>112.77 - 113.62</t>
  </si>
  <si>
    <t>308.97B</t>
  </si>
  <si>
    <t>11.31 - 11.60</t>
  </si>
  <si>
    <t>10.39 - 16.07</t>
  </si>
  <si>
    <t>4.13B</t>
  </si>
  <si>
    <t>86.55 - 92.19</t>
  </si>
  <si>
    <t>19.44B</t>
  </si>
  <si>
    <t>52.48 - 53.01</t>
  </si>
  <si>
    <t>87.36B</t>
  </si>
  <si>
    <t>30.76 - 31.68</t>
  </si>
  <si>
    <t>11.02B</t>
  </si>
  <si>
    <t>1.10 (3.51%)</t>
  </si>
  <si>
    <t>49.36 - 49.65</t>
  </si>
  <si>
    <t>24.66 x 300</t>
  </si>
  <si>
    <t>24.79 x 2500</t>
  </si>
  <si>
    <t>24.46 - 25.31</t>
  </si>
  <si>
    <t>9.35 - 25.31</t>
  </si>
  <si>
    <t>27.33B</t>
  </si>
  <si>
    <t>52.30 - 55.78</t>
  </si>
  <si>
    <t>21.94B</t>
  </si>
  <si>
    <t>36.62 x 100</t>
  </si>
  <si>
    <t>36.70 x 300</t>
  </si>
  <si>
    <t>36.20 - 36.70</t>
  </si>
  <si>
    <t>173.83B</t>
  </si>
  <si>
    <t>1.04 (2.82%)</t>
  </si>
  <si>
    <t>52.94 - 54.29</t>
  </si>
  <si>
    <t>16.93B</t>
  </si>
  <si>
    <t>117.61 - 120.00</t>
  </si>
  <si>
    <t>68.56 - 122.17</t>
  </si>
  <si>
    <t>34.70B</t>
  </si>
  <si>
    <t>2.44 (2.08%)</t>
  </si>
  <si>
    <t>35.01 x 100</t>
  </si>
  <si>
    <t>47.55 - 48.50</t>
  </si>
  <si>
    <t>10.83B</t>
  </si>
  <si>
    <t>226.82 - 228.10</t>
  </si>
  <si>
    <t>90.60 x 200</t>
  </si>
  <si>
    <t>90.98 x 200</t>
  </si>
  <si>
    <t>90.06 - 91.54</t>
  </si>
  <si>
    <t>1.12 (1.22%)</t>
  </si>
  <si>
    <t>68.59 - 69.31</t>
  </si>
  <si>
    <t>52.38 - 71.57</t>
  </si>
  <si>
    <t>51.90B</t>
  </si>
  <si>
    <t>55.40 - 55.96</t>
  </si>
  <si>
    <t>279.64B</t>
  </si>
  <si>
    <t>1.52 (2.70%)</t>
  </si>
  <si>
    <t>36.63 - 38.37</t>
  </si>
  <si>
    <t>6.89B</t>
  </si>
  <si>
    <t>18.14 - 18.55</t>
  </si>
  <si>
    <t>2.33B</t>
  </si>
  <si>
    <t>35.31 - 36.41</t>
  </si>
  <si>
    <t>8.31B</t>
  </si>
  <si>
    <t>1.20 (3.40%)</t>
  </si>
  <si>
    <t>63.66 - 64.17</t>
  </si>
  <si>
    <t>35.77B</t>
  </si>
  <si>
    <t>47.08 - 47.97</t>
  </si>
  <si>
    <t>23.06B</t>
  </si>
  <si>
    <t>0.76 (1.61%)</t>
  </si>
  <si>
    <t>40.88 - 41.56</t>
  </si>
  <si>
    <t>6.72B</t>
  </si>
  <si>
    <t>76.38 - 78.12</t>
  </si>
  <si>
    <t>61.70 - 78.12</t>
  </si>
  <si>
    <t>28.50B</t>
  </si>
  <si>
    <t>1.32 (1.76%)</t>
  </si>
  <si>
    <t>0.61 Dividend</t>
  </si>
  <si>
    <t>203.01 x 200</t>
  </si>
  <si>
    <t>205.00 x 200</t>
  </si>
  <si>
    <t>201.00 - 205.03</t>
  </si>
  <si>
    <t>86.07B</t>
  </si>
  <si>
    <t>4.08 (2.05%)</t>
  </si>
  <si>
    <t>73.79 - 75.20</t>
  </si>
  <si>
    <t>23.83B</t>
  </si>
  <si>
    <t>1.80 (2.40%)</t>
  </si>
  <si>
    <t>46.48 - 47.66</t>
  </si>
  <si>
    <t>34.77B</t>
  </si>
  <si>
    <t>0.81 (1.71%)</t>
  </si>
  <si>
    <t>33.95 - 34.53</t>
  </si>
  <si>
    <t>32.11 - 60.34</t>
  </si>
  <si>
    <t>1.36 (4.07%)</t>
  </si>
  <si>
    <t>110.55 - 111.54</t>
  </si>
  <si>
    <t>175.19B</t>
  </si>
  <si>
    <t>3.33 x 500</t>
  </si>
  <si>
    <t>3.47 x 11600</t>
  </si>
  <si>
    <t>3.33 - 3.42</t>
  </si>
  <si>
    <t>3.95B</t>
  </si>
  <si>
    <t>72.35 x 3900</t>
  </si>
  <si>
    <t>72.50 x 200</t>
  </si>
  <si>
    <t>71.78 - 72.83</t>
  </si>
  <si>
    <t>95.19B</t>
  </si>
  <si>
    <t>1.88 (2.59%)</t>
  </si>
  <si>
    <t>68.25 - 69.37</t>
  </si>
  <si>
    <t>4.27B</t>
  </si>
  <si>
    <t>0.50 (0.72%)</t>
  </si>
  <si>
    <t>61.50 - 62.02</t>
  </si>
  <si>
    <t>35.80B</t>
  </si>
  <si>
    <t>35.47 - 36.14</t>
  </si>
  <si>
    <t>54.03B</t>
  </si>
  <si>
    <t>1.52 (4.15%)</t>
  </si>
  <si>
    <t>150.23 - 152.41</t>
  </si>
  <si>
    <t>59.91B</t>
  </si>
  <si>
    <t>0.60 (0.39%)</t>
  </si>
  <si>
    <t>9-Feb-17TKR Earnings announcement</t>
  </si>
  <si>
    <t>43.90 - 44.85</t>
  </si>
  <si>
    <t>27.63 - 45.60</t>
  </si>
  <si>
    <t>3.44B</t>
  </si>
  <si>
    <t>1.04 (2.34%)</t>
  </si>
  <si>
    <t>106.85 - 108.68</t>
  </si>
  <si>
    <t>89.22B</t>
  </si>
  <si>
    <t>2.64 (2.42%)</t>
  </si>
  <si>
    <t>160.26 - 163.25</t>
  </si>
  <si>
    <t>153.01B</t>
  </si>
  <si>
    <t>0.625 Dividend</t>
  </si>
  <si>
    <t>70.55 - 72.34</t>
  </si>
  <si>
    <t>1350,   250</t>
  </si>
  <si>
    <t>5300,    200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</si>
</sst>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0"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  <numFmt numFmtId="171" formatCode="0.00000"/>
    <numFmt numFmtId="172" formatCode="0.000000"/>
    <numFmt numFmtId="173" formatCode="0.0"/>
  </numFmts>
  <fonts count="36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1"/>
      <color rgb="FF00B0F0"/>
      <name val="Calibri"/>
      <family val="2"/>
      <scheme val="minor"/>
    </font>
    <font>
      <sz val="11"/>
      <color rgb="FF00206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1"/>
      <color rgb="FFFF0000"/>
      <name val="Arial"/>
      <family val="2"/>
    </font>
    <font>
      <sz val="11"/>
      <color rgb="FF252525"/>
      <name val="Arial"/>
      <family val="2"/>
    </font>
    <font>
      <b/>
      <sz val="11"/>
      <color rgb="FF00B050"/>
      <name val="Arial"/>
      <family val="2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</fonts>
  <fills count="2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rgb="FFED5C5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2F2F2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C000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  <xf numFmtId="0" fontId="34" fillId="21" borderId="10" applyNumberFormat="0" applyAlignment="0" applyProtection="0"/>
  </cellStyleXfs>
  <cellXfs count="665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0" fillId="0" borderId="0" xfId="0" applyNumberFormat="1" applyFill="1" applyBorder="1"/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4" fillId="3" borderId="0" xfId="0" applyNumberFormat="1" applyFont="1" applyFill="1"/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9" fontId="0" fillId="0" borderId="0" xfId="3" applyFont="1"/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15" fillId="7" borderId="4" xfId="2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0" fontId="15" fillId="7" borderId="4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 applyFill="1" applyAlignment="1">
      <alignment horizontal="left"/>
    </xf>
    <xf numFmtId="0" fontId="18" fillId="0" borderId="0" xfId="0" applyFont="1"/>
    <xf numFmtId="0" fontId="21" fillId="0" borderId="0" xfId="0" applyFont="1" applyFill="1" applyAlignment="1">
      <alignment horizontal="center"/>
    </xf>
    <xf numFmtId="2" fontId="21" fillId="0" borderId="0" xfId="0" applyNumberFormat="1" applyFont="1" applyFill="1" applyAlignment="1">
      <alignment horizontal="right"/>
    </xf>
    <xf numFmtId="0" fontId="21" fillId="0" borderId="0" xfId="0" applyFont="1" applyFill="1" applyAlignment="1">
      <alignment horizontal="right"/>
    </xf>
    <xf numFmtId="0" fontId="19" fillId="0" borderId="0" xfId="0" applyFont="1" applyAlignment="1"/>
    <xf numFmtId="14" fontId="20" fillId="2" borderId="7" xfId="0" applyNumberFormat="1" applyFont="1" applyFill="1" applyBorder="1" applyAlignment="1">
      <alignment horizontal="center"/>
    </xf>
    <xf numFmtId="2" fontId="21" fillId="2" borderId="7" xfId="0" applyNumberFormat="1" applyFont="1" applyFill="1" applyBorder="1" applyAlignment="1"/>
    <xf numFmtId="2" fontId="21" fillId="2" borderId="7" xfId="0" applyNumberFormat="1" applyFont="1" applyFill="1" applyBorder="1" applyAlignment="1">
      <alignment horizontal="right"/>
    </xf>
    <xf numFmtId="0" fontId="21" fillId="2" borderId="7" xfId="0" applyFont="1" applyFill="1" applyBorder="1" applyAlignment="1">
      <alignment horizontal="right"/>
    </xf>
    <xf numFmtId="10" fontId="21" fillId="2" borderId="7" xfId="3" applyNumberFormat="1" applyFont="1" applyFill="1" applyBorder="1" applyAlignment="1">
      <alignment horizontal="right"/>
    </xf>
    <xf numFmtId="14" fontId="20" fillId="0" borderId="7" xfId="0" applyNumberFormat="1" applyFont="1" applyFill="1" applyBorder="1" applyAlignment="1">
      <alignment horizontal="center"/>
    </xf>
    <xf numFmtId="2" fontId="21" fillId="0" borderId="7" xfId="0" applyNumberFormat="1" applyFont="1" applyFill="1" applyBorder="1" applyAlignment="1">
      <alignment horizontal="right"/>
    </xf>
    <xf numFmtId="2" fontId="21" fillId="0" borderId="7" xfId="0" applyNumberFormat="1" applyFont="1" applyFill="1" applyBorder="1" applyAlignment="1"/>
    <xf numFmtId="0" fontId="20" fillId="0" borderId="0" xfId="0" applyFont="1" applyFill="1" applyAlignment="1">
      <alignment horizontal="center"/>
    </xf>
    <xf numFmtId="2" fontId="19" fillId="2" borderId="7" xfId="0" applyNumberFormat="1" applyFont="1" applyFill="1" applyBorder="1" applyAlignment="1"/>
    <xf numFmtId="14" fontId="19" fillId="0" borderId="0" xfId="0" applyNumberFormat="1" applyFont="1" applyAlignment="1"/>
    <xf numFmtId="10" fontId="19" fillId="0" borderId="0" xfId="3" applyNumberFormat="1" applyFont="1" applyAlignment="1"/>
    <xf numFmtId="1" fontId="0" fillId="2" borderId="2" xfId="0" applyNumberFormat="1" applyFill="1" applyBorder="1"/>
    <xf numFmtId="0" fontId="0" fillId="0" borderId="0" xfId="0" applyAlignment="1">
      <alignment horizontal="left" vertical="top"/>
    </xf>
    <xf numFmtId="1" fontId="0" fillId="0" borderId="0" xfId="0" applyNumberFormat="1" applyFill="1"/>
    <xf numFmtId="14" fontId="19" fillId="0" borderId="7" xfId="0" applyNumberFormat="1" applyFont="1" applyBorder="1" applyAlignment="1">
      <alignment horizontal="center"/>
    </xf>
    <xf numFmtId="2" fontId="19" fillId="0" borderId="7" xfId="0" applyNumberFormat="1" applyFont="1" applyFill="1" applyBorder="1" applyAlignment="1"/>
    <xf numFmtId="10" fontId="21" fillId="2" borderId="7" xfId="0" applyNumberFormat="1" applyFont="1" applyFill="1" applyBorder="1" applyAlignment="1">
      <alignment horizontal="right"/>
    </xf>
    <xf numFmtId="10" fontId="21" fillId="0" borderId="7" xfId="0" applyNumberFormat="1" applyFont="1" applyFill="1" applyBorder="1" applyAlignment="1">
      <alignment horizontal="right"/>
    </xf>
    <xf numFmtId="0" fontId="19" fillId="0" borderId="0" xfId="0" applyFont="1" applyAlignment="1">
      <alignment horizontal="right"/>
    </xf>
    <xf numFmtId="0" fontId="22" fillId="7" borderId="0" xfId="0" applyFont="1" applyFill="1"/>
    <xf numFmtId="2" fontId="22" fillId="7" borderId="0" xfId="0" applyNumberFormat="1" applyFont="1" applyFill="1"/>
    <xf numFmtId="16" fontId="0" fillId="7" borderId="0" xfId="0" applyNumberFormat="1" applyFill="1"/>
    <xf numFmtId="2" fontId="22" fillId="7" borderId="0" xfId="0" applyNumberFormat="1" applyFont="1" applyFill="1" applyAlignment="1">
      <alignment horizontal="center"/>
    </xf>
    <xf numFmtId="2" fontId="22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2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23" fillId="2" borderId="7" xfId="0" applyNumberFormat="1" applyFont="1" applyFill="1" applyBorder="1" applyAlignment="1"/>
    <xf numFmtId="10" fontId="23" fillId="2" borderId="7" xfId="3" applyNumberFormat="1" applyFont="1" applyFill="1" applyBorder="1" applyAlignment="1"/>
    <xf numFmtId="2" fontId="23" fillId="2" borderId="7" xfId="0" applyNumberFormat="1" applyFont="1" applyFill="1" applyBorder="1" applyAlignment="1">
      <alignment horizontal="right"/>
    </xf>
    <xf numFmtId="10" fontId="23" fillId="2" borderId="7" xfId="3" applyNumberFormat="1" applyFont="1" applyFill="1" applyBorder="1" applyAlignment="1">
      <alignment horizontal="right"/>
    </xf>
    <xf numFmtId="2" fontId="23" fillId="0" borderId="7" xfId="0" applyNumberFormat="1" applyFont="1" applyFill="1" applyBorder="1" applyAlignment="1">
      <alignment horizontal="right"/>
    </xf>
    <xf numFmtId="10" fontId="23" fillId="0" borderId="7" xfId="3" applyNumberFormat="1" applyFont="1" applyFill="1" applyBorder="1" applyAlignment="1">
      <alignment horizontal="right"/>
    </xf>
    <xf numFmtId="0" fontId="23" fillId="2" borderId="7" xfId="0" applyFont="1" applyFill="1" applyBorder="1" applyAlignment="1"/>
    <xf numFmtId="0" fontId="23" fillId="0" borderId="7" xfId="0" applyFont="1" applyBorder="1" applyAlignment="1"/>
    <xf numFmtId="10" fontId="23" fillId="0" borderId="7" xfId="3" applyNumberFormat="1" applyFont="1" applyBorder="1" applyAlignment="1"/>
    <xf numFmtId="166" fontId="4" fillId="3" borderId="0" xfId="0" applyNumberFormat="1" applyFont="1" applyFill="1"/>
    <xf numFmtId="0" fontId="23" fillId="0" borderId="7" xfId="0" applyFont="1" applyFill="1" applyBorder="1" applyAlignment="1"/>
    <xf numFmtId="10" fontId="23" fillId="0" borderId="7" xfId="3" applyNumberFormat="1" applyFont="1" applyFill="1" applyBorder="1" applyAlignme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19" fillId="0" borderId="0" xfId="0" applyFont="1" applyFill="1" applyAlignment="1">
      <alignment horizontal="right"/>
    </xf>
    <xf numFmtId="2" fontId="19" fillId="0" borderId="0" xfId="0" applyNumberFormat="1" applyFont="1" applyAlignment="1"/>
    <xf numFmtId="10" fontId="20" fillId="10" borderId="0" xfId="0" applyNumberFormat="1" applyFont="1" applyFill="1" applyBorder="1" applyAlignment="1">
      <alignment horizontal="left"/>
    </xf>
    <xf numFmtId="2" fontId="23" fillId="0" borderId="7" xfId="0" applyNumberFormat="1" applyFont="1" applyFill="1" applyBorder="1" applyAlignment="1"/>
    <xf numFmtId="2" fontId="23" fillId="2" borderId="7" xfId="3" applyNumberFormat="1" applyFont="1" applyFill="1" applyBorder="1" applyAlignment="1"/>
    <xf numFmtId="2" fontId="23" fillId="2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/>
    <xf numFmtId="2" fontId="20" fillId="2" borderId="7" xfId="0" applyNumberFormat="1" applyFont="1" applyFill="1" applyBorder="1" applyAlignment="1"/>
    <xf numFmtId="2" fontId="20" fillId="0" borderId="7" xfId="0" applyNumberFormat="1" applyFont="1" applyFill="1" applyBorder="1" applyAlignment="1"/>
    <xf numFmtId="0" fontId="20" fillId="0" borderId="7" xfId="0" applyFont="1" applyFill="1" applyBorder="1" applyAlignment="1">
      <alignment horizontal="right"/>
    </xf>
    <xf numFmtId="0" fontId="26" fillId="0" borderId="0" xfId="0" applyFont="1" applyAlignment="1"/>
    <xf numFmtId="0" fontId="22" fillId="7" borderId="0" xfId="0" applyFont="1" applyFill="1" applyAlignment="1">
      <alignment horizontal="right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2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2" fontId="19" fillId="0" borderId="7" xfId="0" applyNumberFormat="1" applyFont="1" applyBorder="1" applyAlignment="1"/>
    <xf numFmtId="166" fontId="13" fillId="8" borderId="0" xfId="0" applyNumberFormat="1" applyFont="1" applyFill="1" applyAlignment="1">
      <alignment horizontal="center" vertical="center"/>
    </xf>
    <xf numFmtId="166" fontId="12" fillId="0" borderId="0" xfId="0" applyNumberFormat="1" applyFont="1"/>
    <xf numFmtId="14" fontId="20" fillId="12" borderId="7" xfId="0" applyNumberFormat="1" applyFont="1" applyFill="1" applyBorder="1" applyAlignment="1">
      <alignment horizontal="center"/>
    </xf>
    <xf numFmtId="0" fontId="23" fillId="12" borderId="7" xfId="0" applyFont="1" applyFill="1" applyBorder="1" applyAlignment="1"/>
    <xf numFmtId="10" fontId="23" fillId="12" borderId="7" xfId="3" applyNumberFormat="1" applyFont="1" applyFill="1" applyBorder="1" applyAlignment="1"/>
    <xf numFmtId="2" fontId="23" fillId="12" borderId="7" xfId="3" applyNumberFormat="1" applyFont="1" applyFill="1" applyBorder="1" applyAlignment="1"/>
    <xf numFmtId="10" fontId="23" fillId="12" borderId="7" xfId="3" applyNumberFormat="1" applyFont="1" applyFill="1" applyBorder="1" applyAlignment="1">
      <alignment horizontal="right"/>
    </xf>
    <xf numFmtId="2" fontId="20" fillId="12" borderId="7" xfId="0" applyNumberFormat="1" applyFont="1" applyFill="1" applyBorder="1" applyAlignment="1"/>
    <xf numFmtId="2" fontId="21" fillId="12" borderId="7" xfId="0" applyNumberFormat="1" applyFont="1" applyFill="1" applyBorder="1" applyAlignment="1">
      <alignment horizontal="right"/>
    </xf>
    <xf numFmtId="2" fontId="19" fillId="12" borderId="7" xfId="0" applyNumberFormat="1" applyFont="1" applyFill="1" applyBorder="1" applyAlignment="1"/>
    <xf numFmtId="10" fontId="21" fillId="12" borderId="7" xfId="0" applyNumberFormat="1" applyFont="1" applyFill="1" applyBorder="1" applyAlignment="1">
      <alignment horizontal="right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2" fillId="5" borderId="0" xfId="0" applyFont="1" applyFill="1"/>
    <xf numFmtId="2" fontId="22" fillId="5" borderId="0" xfId="0" applyNumberFormat="1" applyFont="1" applyFill="1"/>
    <xf numFmtId="2" fontId="22" fillId="5" borderId="0" xfId="0" applyNumberFormat="1" applyFont="1" applyFill="1" applyAlignment="1">
      <alignment horizontal="center"/>
    </xf>
    <xf numFmtId="2" fontId="22" fillId="5" borderId="0" xfId="0" applyNumberFormat="1" applyFont="1" applyFill="1" applyAlignment="1">
      <alignment horizontal="right"/>
    </xf>
    <xf numFmtId="0" fontId="22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28" fillId="13" borderId="8" xfId="1" applyFont="1" applyFill="1" applyBorder="1"/>
    <xf numFmtId="0" fontId="18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vertical="center"/>
    </xf>
    <xf numFmtId="16" fontId="29" fillId="13" borderId="8" xfId="0" applyNumberFormat="1" applyFont="1" applyFill="1" applyBorder="1" applyAlignment="1">
      <alignment horizontal="center" vertical="center"/>
    </xf>
    <xf numFmtId="0" fontId="29" fillId="13" borderId="8" xfId="0" applyFont="1" applyFill="1" applyBorder="1" applyAlignment="1">
      <alignment horizontal="right" vertical="center"/>
    </xf>
    <xf numFmtId="2" fontId="29" fillId="13" borderId="8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horizontal="center" vertical="center"/>
    </xf>
    <xf numFmtId="10" fontId="29" fillId="13" borderId="8" xfId="0" applyNumberFormat="1" applyFont="1" applyFill="1" applyBorder="1" applyAlignment="1">
      <alignment horizontal="right" vertical="center"/>
    </xf>
    <xf numFmtId="0" fontId="30" fillId="13" borderId="8" xfId="0" applyFont="1" applyFill="1" applyBorder="1" applyAlignment="1">
      <alignment horizontal="center" vertical="center"/>
    </xf>
    <xf numFmtId="0" fontId="30" fillId="13" borderId="8" xfId="0" applyFont="1" applyFill="1" applyBorder="1" applyAlignment="1">
      <alignment horizontal="right" vertical="center"/>
    </xf>
    <xf numFmtId="2" fontId="30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30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" fontId="12" fillId="0" borderId="0" xfId="0" applyNumberFormat="1" applyFont="1"/>
    <xf numFmtId="166" fontId="12" fillId="8" borderId="0" xfId="0" applyNumberFormat="1" applyFont="1" applyFill="1"/>
    <xf numFmtId="166" fontId="4" fillId="7" borderId="0" xfId="0" applyNumberFormat="1" applyFont="1" applyFill="1" applyAlignment="1">
      <alignment horizontal="right"/>
    </xf>
    <xf numFmtId="2" fontId="4" fillId="7" borderId="0" xfId="0" applyNumberFormat="1" applyFont="1" applyFill="1"/>
    <xf numFmtId="2" fontId="23" fillId="12" borderId="7" xfId="0" applyNumberFormat="1" applyFont="1" applyFill="1" applyBorder="1" applyAlignment="1"/>
    <xf numFmtId="2" fontId="21" fillId="10" borderId="0" xfId="0" applyNumberFormat="1" applyFont="1" applyFill="1" applyBorder="1" applyAlignment="1">
      <alignment horizontal="left"/>
    </xf>
    <xf numFmtId="169" fontId="19" fillId="0" borderId="0" xfId="3" applyNumberFormat="1" applyFont="1" applyFill="1" applyAlignment="1">
      <alignment horizontal="right"/>
    </xf>
    <xf numFmtId="10" fontId="21" fillId="2" borderId="0" xfId="0" applyNumberFormat="1" applyFont="1" applyFill="1" applyBorder="1" applyAlignment="1">
      <alignment horizontal="right"/>
    </xf>
    <xf numFmtId="10" fontId="21" fillId="0" borderId="0" xfId="0" applyNumberFormat="1" applyFont="1" applyFill="1" applyBorder="1" applyAlignment="1">
      <alignment horizontal="right"/>
    </xf>
    <xf numFmtId="10" fontId="21" fillId="12" borderId="0" xfId="0" applyNumberFormat="1" applyFont="1" applyFill="1" applyBorder="1" applyAlignment="1">
      <alignment horizontal="right"/>
    </xf>
    <xf numFmtId="0" fontId="20" fillId="4" borderId="0" xfId="0" applyFont="1" applyFill="1" applyAlignment="1">
      <alignment horizontal="center" vertical="center"/>
    </xf>
    <xf numFmtId="14" fontId="20" fillId="4" borderId="0" xfId="0" applyNumberFormat="1" applyFont="1" applyFill="1" applyAlignment="1">
      <alignment horizontal="center" vertical="center"/>
    </xf>
    <xf numFmtId="10" fontId="20" fillId="4" borderId="0" xfId="3" applyNumberFormat="1" applyFont="1" applyFill="1" applyAlignment="1">
      <alignment horizontal="center" vertical="center"/>
    </xf>
    <xf numFmtId="2" fontId="20" fillId="4" borderId="0" xfId="0" applyNumberFormat="1" applyFont="1" applyFill="1" applyAlignment="1">
      <alignment horizontal="center" vertical="center"/>
    </xf>
    <xf numFmtId="169" fontId="20" fillId="4" borderId="0" xfId="3" applyNumberFormat="1" applyFont="1" applyFill="1" applyAlignment="1">
      <alignment horizontal="center" vertical="center"/>
    </xf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/>
    <xf numFmtId="0" fontId="0" fillId="7" borderId="0" xfId="0" applyNumberFormat="1" applyFill="1" applyAlignment="1">
      <alignment horizontal="right"/>
    </xf>
    <xf numFmtId="2" fontId="18" fillId="7" borderId="0" xfId="0" applyNumberFormat="1" applyFont="1" applyFill="1"/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10" fontId="12" fillId="0" borderId="0" xfId="3" applyNumberFormat="1" applyFont="1"/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18" fillId="5" borderId="0" xfId="0" applyNumberFormat="1" applyFont="1" applyFill="1"/>
    <xf numFmtId="10" fontId="12" fillId="0" borderId="0" xfId="3" applyNumberFormat="1" applyFont="1" applyBorder="1"/>
    <xf numFmtId="2" fontId="5" fillId="0" borderId="0" xfId="1" applyNumberFormat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12" fillId="0" borderId="0" xfId="3" applyNumberFormat="1" applyFont="1"/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2" fontId="31" fillId="12" borderId="7" xfId="0" applyNumberFormat="1" applyFont="1" applyFill="1" applyBorder="1" applyAlignment="1"/>
    <xf numFmtId="2" fontId="31" fillId="0" borderId="7" xfId="0" applyNumberFormat="1" applyFont="1" applyFill="1" applyBorder="1" applyAlignment="1"/>
    <xf numFmtId="0" fontId="4" fillId="3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29" fillId="0" borderId="8" xfId="0" applyNumberFormat="1" applyFont="1" applyFill="1" applyBorder="1" applyAlignment="1">
      <alignment horizontal="right" vertical="center"/>
    </xf>
    <xf numFmtId="10" fontId="29" fillId="0" borderId="8" xfId="0" applyNumberFormat="1" applyFont="1" applyFill="1" applyBorder="1" applyAlignment="1">
      <alignment horizontal="right" vertical="center"/>
    </xf>
    <xf numFmtId="2" fontId="12" fillId="0" borderId="0" xfId="0" applyNumberFormat="1" applyFont="1" applyProtection="1">
      <protection locked="0"/>
    </xf>
    <xf numFmtId="0" fontId="4" fillId="10" borderId="0" xfId="0" applyFont="1" applyFill="1"/>
    <xf numFmtId="0" fontId="0" fillId="16" borderId="0" xfId="0" applyFill="1"/>
    <xf numFmtId="0" fontId="4" fillId="11" borderId="0" xfId="0" applyFont="1" applyFill="1"/>
    <xf numFmtId="166" fontId="0" fillId="3" borderId="0" xfId="0" applyNumberFormat="1" applyFill="1" applyAlignment="1">
      <alignment horizontal="right"/>
    </xf>
    <xf numFmtId="0" fontId="0" fillId="10" borderId="0" xfId="0" applyFill="1"/>
    <xf numFmtId="166" fontId="0" fillId="10" borderId="0" xfId="0" applyNumberFormat="1" applyFill="1"/>
    <xf numFmtId="2" fontId="0" fillId="10" borderId="0" xfId="0" applyNumberFormat="1" applyFill="1"/>
    <xf numFmtId="2" fontId="4" fillId="11" borderId="0" xfId="0" applyNumberFormat="1" applyFont="1" applyFill="1"/>
    <xf numFmtId="0" fontId="0" fillId="17" borderId="0" xfId="0" applyFill="1"/>
    <xf numFmtId="2" fontId="0" fillId="17" borderId="0" xfId="0" applyNumberFormat="1" applyFill="1"/>
    <xf numFmtId="2" fontId="12" fillId="0" borderId="0" xfId="0" applyNumberFormat="1" applyFont="1" applyAlignment="1">
      <alignment wrapText="1"/>
    </xf>
    <xf numFmtId="2" fontId="4" fillId="10" borderId="0" xfId="0" applyNumberFormat="1" applyFont="1" applyFill="1"/>
    <xf numFmtId="10" fontId="0" fillId="7" borderId="0" xfId="0" applyNumberFormat="1" applyFill="1" applyAlignment="1">
      <alignment horizontal="left"/>
    </xf>
    <xf numFmtId="2" fontId="7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1" fillId="0" borderId="0" xfId="0" applyNumberFormat="1" applyFont="1"/>
    <xf numFmtId="0" fontId="4" fillId="18" borderId="0" xfId="0" applyFont="1" applyFill="1"/>
    <xf numFmtId="166" fontId="4" fillId="18" borderId="0" xfId="0" applyNumberFormat="1" applyFont="1" applyFill="1"/>
    <xf numFmtId="0" fontId="0" fillId="4" borderId="0" xfId="0" applyFill="1"/>
    <xf numFmtId="16" fontId="0" fillId="4" borderId="0" xfId="0" applyNumberFormat="1" applyFill="1"/>
    <xf numFmtId="16" fontId="14" fillId="4" borderId="0" xfId="0" applyNumberFormat="1" applyFont="1" applyFill="1"/>
    <xf numFmtId="0" fontId="32" fillId="0" borderId="0" xfId="0" applyFont="1"/>
    <xf numFmtId="16" fontId="3" fillId="0" borderId="0" xfId="0" applyNumberFormat="1" applyFont="1" applyBorder="1"/>
    <xf numFmtId="2" fontId="4" fillId="18" borderId="0" xfId="0" applyNumberFormat="1" applyFont="1" applyFill="1"/>
    <xf numFmtId="0" fontId="4" fillId="7" borderId="0" xfId="0" applyNumberFormat="1" applyFont="1" applyFill="1" applyAlignment="1">
      <alignment horizontal="right"/>
    </xf>
    <xf numFmtId="16" fontId="0" fillId="5" borderId="0" xfId="0" applyNumberFormat="1" applyFill="1" applyAlignment="1">
      <alignment vertical="center" wrapText="1"/>
    </xf>
    <xf numFmtId="16" fontId="0" fillId="5" borderId="0" xfId="0" applyNumberFormat="1" applyFill="1" applyAlignment="1">
      <alignment vertical="center"/>
    </xf>
    <xf numFmtId="0" fontId="3" fillId="5" borderId="9" xfId="0" applyFont="1" applyFill="1" applyBorder="1"/>
    <xf numFmtId="0" fontId="0" fillId="5" borderId="9" xfId="0" applyFill="1" applyBorder="1"/>
    <xf numFmtId="0" fontId="4" fillId="5" borderId="9" xfId="0" applyFont="1" applyFill="1" applyBorder="1"/>
    <xf numFmtId="2" fontId="4" fillId="5" borderId="9" xfId="0" applyNumberFormat="1" applyFont="1" applyFill="1" applyBorder="1"/>
    <xf numFmtId="2" fontId="14" fillId="2" borderId="0" xfId="0" applyNumberFormat="1" applyFont="1" applyFill="1"/>
    <xf numFmtId="0" fontId="3" fillId="2" borderId="9" xfId="0" applyFont="1" applyFill="1" applyBorder="1"/>
    <xf numFmtId="0" fontId="0" fillId="2" borderId="9" xfId="0" applyFill="1" applyBorder="1"/>
    <xf numFmtId="0" fontId="4" fillId="2" borderId="9" xfId="0" applyFont="1" applyFill="1" applyBorder="1"/>
    <xf numFmtId="2" fontId="4" fillId="2" borderId="9" xfId="0" applyNumberFormat="1" applyFont="1" applyFill="1" applyBorder="1"/>
    <xf numFmtId="14" fontId="7" fillId="15" borderId="0" xfId="0" applyNumberFormat="1" applyFont="1" applyFill="1" applyAlignment="1">
      <alignment horizontal="center" vertical="center"/>
    </xf>
    <xf numFmtId="0" fontId="3" fillId="9" borderId="0" xfId="0" applyFont="1" applyFill="1"/>
    <xf numFmtId="2" fontId="3" fillId="9" borderId="0" xfId="0" applyNumberFormat="1" applyFont="1" applyFill="1"/>
    <xf numFmtId="0" fontId="1" fillId="9" borderId="0" xfId="0" applyFont="1" applyFill="1"/>
    <xf numFmtId="16" fontId="0" fillId="9" borderId="0" xfId="0" applyNumberFormat="1" applyFill="1"/>
    <xf numFmtId="0" fontId="0" fillId="9" borderId="0" xfId="0" applyFill="1"/>
    <xf numFmtId="2" fontId="0" fillId="9" borderId="0" xfId="0" applyNumberFormat="1" applyFill="1"/>
    <xf numFmtId="1" fontId="0" fillId="9" borderId="0" xfId="0" applyNumberFormat="1" applyFill="1"/>
    <xf numFmtId="0" fontId="5" fillId="9" borderId="0" xfId="1" applyFill="1"/>
    <xf numFmtId="0" fontId="3" fillId="9" borderId="9" xfId="0" applyFont="1" applyFill="1" applyBorder="1"/>
    <xf numFmtId="0" fontId="0" fillId="9" borderId="9" xfId="0" applyFill="1" applyBorder="1"/>
    <xf numFmtId="0" fontId="4" fillId="9" borderId="9" xfId="0" applyFont="1" applyFill="1" applyBorder="1"/>
    <xf numFmtId="2" fontId="4" fillId="9" borderId="9" xfId="0" applyNumberFormat="1" applyFont="1" applyFill="1" applyBorder="1"/>
    <xf numFmtId="2" fontId="33" fillId="12" borderId="7" xfId="0" applyNumberFormat="1" applyFont="1" applyFill="1" applyBorder="1" applyAlignment="1"/>
    <xf numFmtId="2" fontId="33" fillId="0" borderId="7" xfId="0" applyNumberFormat="1" applyFont="1" applyFill="1" applyBorder="1" applyAlignment="1"/>
    <xf numFmtId="2" fontId="31" fillId="2" borderId="7" xfId="0" applyNumberFormat="1" applyFont="1" applyFill="1" applyBorder="1" applyAlignment="1"/>
    <xf numFmtId="2" fontId="33" fillId="2" borderId="7" xfId="0" applyNumberFormat="1" applyFont="1" applyFill="1" applyBorder="1" applyAlignment="1"/>
    <xf numFmtId="0" fontId="0" fillId="18" borderId="0" xfId="0" applyFill="1"/>
    <xf numFmtId="16" fontId="7" fillId="14" borderId="0" xfId="0" applyNumberFormat="1" applyFont="1" applyFill="1" applyAlignment="1">
      <alignment horizontal="center" vertical="center"/>
    </xf>
    <xf numFmtId="171" fontId="0" fillId="0" borderId="0" xfId="0" applyNumberFormat="1"/>
    <xf numFmtId="2" fontId="0" fillId="18" borderId="0" xfId="0" applyNumberFormat="1" applyFill="1"/>
    <xf numFmtId="171" fontId="0" fillId="2" borderId="0" xfId="0" applyNumberFormat="1" applyFill="1" applyAlignment="1">
      <alignment wrapText="1"/>
    </xf>
    <xf numFmtId="2" fontId="3" fillId="5" borderId="1" xfId="0" applyNumberFormat="1" applyFont="1" applyFill="1" applyBorder="1"/>
    <xf numFmtId="0" fontId="0" fillId="0" borderId="0" xfId="0" applyFont="1" applyFill="1" applyAlignment="1">
      <alignment horizontal="right"/>
    </xf>
    <xf numFmtId="3" fontId="0" fillId="0" borderId="0" xfId="0" applyNumberFormat="1" applyFont="1" applyFill="1" applyAlignment="1">
      <alignment horizontal="right"/>
    </xf>
    <xf numFmtId="16" fontId="0" fillId="4" borderId="0" xfId="0" applyNumberFormat="1" applyFill="1" applyAlignment="1">
      <alignment vertical="center"/>
    </xf>
    <xf numFmtId="166" fontId="0" fillId="16" borderId="0" xfId="0" applyNumberFormat="1" applyFill="1"/>
    <xf numFmtId="16" fontId="0" fillId="19" borderId="0" xfId="0" applyNumberFormat="1" applyFill="1"/>
    <xf numFmtId="16" fontId="27" fillId="4" borderId="0" xfId="0" applyNumberFormat="1" applyFont="1" applyFill="1"/>
    <xf numFmtId="0" fontId="0" fillId="0" borderId="0" xfId="0" applyAlignment="1">
      <alignment wrapText="1"/>
    </xf>
    <xf numFmtId="14" fontId="0" fillId="4" borderId="0" xfId="0" applyNumberFormat="1" applyFill="1"/>
    <xf numFmtId="14" fontId="27" fillId="4" borderId="0" xfId="0" applyNumberFormat="1" applyFont="1" applyFill="1"/>
    <xf numFmtId="14" fontId="0" fillId="4" borderId="0" xfId="0" applyNumberFormat="1" applyFill="1" applyAlignment="1">
      <alignment vertical="center"/>
    </xf>
    <xf numFmtId="14" fontId="0" fillId="0" borderId="0" xfId="0" applyNumberFormat="1" applyFill="1"/>
    <xf numFmtId="14" fontId="0" fillId="19" borderId="0" xfId="0" applyNumberFormat="1" applyFill="1"/>
    <xf numFmtId="14" fontId="0" fillId="5" borderId="1" xfId="0" applyNumberFormat="1" applyFill="1" applyBorder="1"/>
    <xf numFmtId="14" fontId="0" fillId="3" borderId="9" xfId="0" applyNumberFormat="1" applyFill="1" applyBorder="1"/>
    <xf numFmtId="14" fontId="22" fillId="7" borderId="0" xfId="0" applyNumberFormat="1" applyFont="1" applyFill="1"/>
    <xf numFmtId="3" fontId="3" fillId="7" borderId="0" xfId="0" applyNumberFormat="1" applyFont="1" applyFill="1"/>
    <xf numFmtId="172" fontId="0" fillId="0" borderId="0" xfId="0" applyNumberFormat="1"/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16" fontId="4" fillId="0" borderId="0" xfId="0" applyNumberFormat="1" applyFont="1"/>
    <xf numFmtId="0" fontId="0" fillId="22" borderId="0" xfId="0" applyFill="1" applyAlignment="1">
      <alignment horizontal="center" vertical="center" wrapText="1"/>
    </xf>
    <xf numFmtId="0" fontId="22" fillId="2" borderId="0" xfId="0" applyFont="1" applyFill="1"/>
    <xf numFmtId="2" fontId="22" fillId="2" borderId="0" xfId="0" applyNumberFormat="1" applyFont="1" applyFill="1"/>
    <xf numFmtId="2" fontId="22" fillId="2" borderId="0" xfId="0" applyNumberFormat="1" applyFont="1" applyFill="1" applyAlignment="1">
      <alignment horizontal="center"/>
    </xf>
    <xf numFmtId="2" fontId="22" fillId="2" borderId="0" xfId="0" applyNumberFormat="1" applyFont="1" applyFill="1" applyAlignment="1">
      <alignment horizontal="right"/>
    </xf>
    <xf numFmtId="0" fontId="22" fillId="2" borderId="0" xfId="0" applyFont="1" applyFill="1" applyAlignment="1">
      <alignment horizontal="right"/>
    </xf>
    <xf numFmtId="2" fontId="0" fillId="2" borderId="0" xfId="0" applyNumberFormat="1" applyFill="1" applyAlignment="1">
      <alignment horizontal="right"/>
    </xf>
    <xf numFmtId="0" fontId="0" fillId="0" borderId="0" xfId="0" applyAlignment="1">
      <alignment horizontal="right" wrapText="1"/>
    </xf>
    <xf numFmtId="2" fontId="0" fillId="0" borderId="0" xfId="0" applyNumberFormat="1" applyAlignment="1">
      <alignment wrapText="1"/>
    </xf>
    <xf numFmtId="168" fontId="0" fillId="0" borderId="0" xfId="0" applyNumberFormat="1" applyAlignment="1">
      <alignment wrapText="1"/>
    </xf>
    <xf numFmtId="171" fontId="0" fillId="0" borderId="0" xfId="0" applyNumberFormat="1" applyAlignment="1">
      <alignment wrapText="1"/>
    </xf>
    <xf numFmtId="10" fontId="0" fillId="0" borderId="0" xfId="3" applyNumberFormat="1" applyFont="1" applyAlignment="1">
      <alignment wrapText="1"/>
    </xf>
    <xf numFmtId="10" fontId="0" fillId="0" borderId="0" xfId="0" applyNumberFormat="1" applyAlignment="1">
      <alignment wrapText="1"/>
    </xf>
    <xf numFmtId="0" fontId="22" fillId="23" borderId="0" xfId="0" applyFont="1" applyFill="1"/>
    <xf numFmtId="2" fontId="22" fillId="23" borderId="0" xfId="0" applyNumberFormat="1" applyFont="1" applyFill="1"/>
    <xf numFmtId="2" fontId="22" fillId="23" borderId="0" xfId="0" applyNumberFormat="1" applyFont="1" applyFill="1" applyAlignment="1">
      <alignment horizontal="center"/>
    </xf>
    <xf numFmtId="2" fontId="22" fillId="23" borderId="0" xfId="0" applyNumberFormat="1" applyFont="1" applyFill="1" applyAlignment="1">
      <alignment horizontal="right"/>
    </xf>
    <xf numFmtId="0" fontId="22" fillId="23" borderId="0" xfId="0" applyFont="1" applyFill="1" applyAlignment="1">
      <alignment horizontal="right"/>
    </xf>
    <xf numFmtId="16" fontId="0" fillId="23" borderId="0" xfId="0" applyNumberFormat="1" applyFill="1"/>
    <xf numFmtId="0" fontId="0" fillId="23" borderId="0" xfId="0" applyFill="1"/>
    <xf numFmtId="166" fontId="0" fillId="23" borderId="0" xfId="0" applyNumberFormat="1" applyFill="1"/>
    <xf numFmtId="2" fontId="0" fillId="23" borderId="0" xfId="0" applyNumberFormat="1" applyFill="1"/>
    <xf numFmtId="10" fontId="0" fillId="23" borderId="0" xfId="0" applyNumberFormat="1" applyFill="1" applyAlignment="1">
      <alignment horizontal="right"/>
    </xf>
    <xf numFmtId="0" fontId="14" fillId="5" borderId="0" xfId="0" applyFont="1" applyFill="1"/>
    <xf numFmtId="166" fontId="0" fillId="5" borderId="0" xfId="0" applyNumberFormat="1" applyFill="1"/>
    <xf numFmtId="16" fontId="22" fillId="7" borderId="0" xfId="0" applyNumberFormat="1" applyFont="1" applyFill="1"/>
    <xf numFmtId="10" fontId="22" fillId="7" borderId="0" xfId="0" applyNumberFormat="1" applyFont="1" applyFill="1"/>
    <xf numFmtId="0" fontId="7" fillId="15" borderId="0" xfId="0" applyFont="1" applyFill="1" applyAlignment="1">
      <alignment horizontal="right" vertical="center"/>
    </xf>
    <xf numFmtId="2" fontId="7" fillId="14" borderId="0" xfId="0" applyNumberFormat="1" applyFont="1" applyFill="1" applyAlignment="1">
      <alignment horizontal="right" vertical="center"/>
    </xf>
    <xf numFmtId="2" fontId="7" fillId="0" borderId="0" xfId="0" applyNumberFormat="1" applyFont="1" applyFill="1" applyAlignment="1">
      <alignment vertical="center"/>
    </xf>
    <xf numFmtId="2" fontId="0" fillId="10" borderId="0" xfId="0" applyNumberFormat="1" applyFill="1" applyAlignment="1">
      <alignment horizontal="right"/>
    </xf>
    <xf numFmtId="2" fontId="0" fillId="3" borderId="0" xfId="0" applyNumberFormat="1" applyFill="1" applyAlignment="1">
      <alignment horizontal="right"/>
    </xf>
    <xf numFmtId="2" fontId="0" fillId="11" borderId="0" xfId="0" applyNumberFormat="1" applyFill="1" applyAlignment="1">
      <alignment horizontal="right"/>
    </xf>
    <xf numFmtId="0" fontId="0" fillId="0" borderId="5" xfId="0" applyBorder="1"/>
    <xf numFmtId="166" fontId="4" fillId="2" borderId="0" xfId="0" applyNumberFormat="1" applyFont="1" applyFill="1"/>
    <xf numFmtId="0" fontId="3" fillId="23" borderId="0" xfId="0" applyFont="1" applyFill="1"/>
    <xf numFmtId="2" fontId="3" fillId="23" borderId="0" xfId="0" applyNumberFormat="1" applyFont="1" applyFill="1"/>
    <xf numFmtId="0" fontId="1" fillId="23" borderId="0" xfId="0" applyFont="1" applyFill="1"/>
    <xf numFmtId="1" fontId="0" fillId="23" borderId="0" xfId="0" applyNumberFormat="1" applyFill="1"/>
    <xf numFmtId="0" fontId="5" fillId="23" borderId="0" xfId="1" applyFill="1"/>
    <xf numFmtId="0" fontId="3" fillId="23" borderId="1" xfId="0" applyFont="1" applyFill="1" applyBorder="1"/>
    <xf numFmtId="0" fontId="0" fillId="23" borderId="1" xfId="0" applyFill="1" applyBorder="1"/>
    <xf numFmtId="2" fontId="0" fillId="23" borderId="1" xfId="0" applyNumberFormat="1" applyFill="1" applyBorder="1"/>
    <xf numFmtId="0" fontId="3" fillId="23" borderId="9" xfId="0" applyFont="1" applyFill="1" applyBorder="1"/>
    <xf numFmtId="0" fontId="0" fillId="23" borderId="9" xfId="0" applyFill="1" applyBorder="1"/>
    <xf numFmtId="0" fontId="4" fillId="23" borderId="9" xfId="0" applyFont="1" applyFill="1" applyBorder="1"/>
    <xf numFmtId="2" fontId="4" fillId="23" borderId="9" xfId="0" applyNumberFormat="1" applyFont="1" applyFill="1" applyBorder="1"/>
    <xf numFmtId="16" fontId="0" fillId="24" borderId="0" xfId="0" applyNumberFormat="1" applyFill="1"/>
    <xf numFmtId="2" fontId="0" fillId="17" borderId="0" xfId="0" applyNumberFormat="1" applyFill="1" applyAlignment="1">
      <alignment horizontal="right"/>
    </xf>
    <xf numFmtId="0" fontId="3" fillId="24" borderId="0" xfId="0" applyFont="1" applyFill="1"/>
    <xf numFmtId="2" fontId="3" fillId="24" borderId="0" xfId="0" applyNumberFormat="1" applyFont="1" applyFill="1"/>
    <xf numFmtId="0" fontId="1" fillId="24" borderId="0" xfId="0" applyFont="1" applyFill="1"/>
    <xf numFmtId="0" fontId="0" fillId="24" borderId="0" xfId="0" applyFill="1"/>
    <xf numFmtId="2" fontId="0" fillId="24" borderId="0" xfId="0" applyNumberFormat="1" applyFill="1"/>
    <xf numFmtId="1" fontId="0" fillId="24" borderId="0" xfId="0" applyNumberFormat="1" applyFill="1"/>
    <xf numFmtId="0" fontId="5" fillId="24" borderId="0" xfId="1" applyFill="1"/>
    <xf numFmtId="0" fontId="3" fillId="24" borderId="1" xfId="0" applyFont="1" applyFill="1" applyBorder="1"/>
    <xf numFmtId="0" fontId="0" fillId="24" borderId="1" xfId="0" applyFill="1" applyBorder="1"/>
    <xf numFmtId="2" fontId="0" fillId="24" borderId="1" xfId="0" applyNumberFormat="1" applyFill="1" applyBorder="1"/>
    <xf numFmtId="1" fontId="0" fillId="24" borderId="1" xfId="0" applyNumberFormat="1" applyFill="1" applyBorder="1"/>
    <xf numFmtId="0" fontId="3" fillId="24" borderId="9" xfId="0" applyFont="1" applyFill="1" applyBorder="1"/>
    <xf numFmtId="0" fontId="0" fillId="24" borderId="9" xfId="0" applyFill="1" applyBorder="1"/>
    <xf numFmtId="0" fontId="4" fillId="24" borderId="9" xfId="0" applyFont="1" applyFill="1" applyBorder="1"/>
    <xf numFmtId="2" fontId="4" fillId="24" borderId="9" xfId="0" applyNumberFormat="1" applyFont="1" applyFill="1" applyBorder="1"/>
    <xf numFmtId="1" fontId="0" fillId="23" borderId="1" xfId="0" applyNumberFormat="1" applyFill="1" applyBorder="1"/>
    <xf numFmtId="2" fontId="20" fillId="12" borderId="7" xfId="0" applyNumberFormat="1" applyFont="1" applyFill="1" applyBorder="1" applyAlignment="1">
      <alignment wrapText="1"/>
    </xf>
    <xf numFmtId="10" fontId="0" fillId="23" borderId="0" xfId="0" applyNumberFormat="1" applyFill="1"/>
    <xf numFmtId="0" fontId="0" fillId="0" borderId="0" xfId="0" applyFill="1" applyAlignment="1">
      <alignment vertical="center" wrapText="1"/>
    </xf>
    <xf numFmtId="0" fontId="0" fillId="7" borderId="5" xfId="0" applyFont="1" applyFill="1" applyBorder="1" applyAlignment="1">
      <alignment horizontal="right"/>
    </xf>
    <xf numFmtId="0" fontId="35" fillId="21" borderId="10" xfId="4" applyFont="1" applyAlignment="1"/>
    <xf numFmtId="1" fontId="0" fillId="9" borderId="1" xfId="0" applyNumberFormat="1" applyFill="1" applyBorder="1"/>
    <xf numFmtId="14" fontId="0" fillId="23" borderId="0" xfId="0" applyNumberFormat="1" applyFill="1"/>
    <xf numFmtId="14" fontId="3" fillId="5" borderId="0" xfId="0" applyNumberFormat="1" applyFont="1" applyFill="1"/>
    <xf numFmtId="14" fontId="0" fillId="5" borderId="0" xfId="0" applyNumberFormat="1" applyFill="1"/>
    <xf numFmtId="14" fontId="0" fillId="5" borderId="9" xfId="0" applyNumberFormat="1" applyFill="1" applyBorder="1"/>
    <xf numFmtId="2" fontId="14" fillId="23" borderId="0" xfId="0" applyNumberFormat="1" applyFont="1" applyFill="1"/>
    <xf numFmtId="2" fontId="14" fillId="5" borderId="0" xfId="0" applyNumberFormat="1" applyFont="1" applyFill="1"/>
    <xf numFmtId="2" fontId="14" fillId="5" borderId="0" xfId="0" quotePrefix="1" applyNumberFormat="1" applyFont="1" applyFill="1" applyAlignment="1">
      <alignment horizontal="right"/>
    </xf>
    <xf numFmtId="173" fontId="4" fillId="3" borderId="9" xfId="0" applyNumberFormat="1" applyFont="1" applyFill="1" applyBorder="1"/>
    <xf numFmtId="0" fontId="0" fillId="25" borderId="0" xfId="0" applyFill="1"/>
    <xf numFmtId="2" fontId="0" fillId="25" borderId="0" xfId="0" applyNumberFormat="1" applyFill="1" applyAlignment="1">
      <alignment horizontal="right"/>
    </xf>
    <xf numFmtId="2" fontId="0" fillId="0" borderId="0" xfId="0" applyNumberFormat="1" applyFill="1" applyAlignment="1">
      <alignment horizontal="right"/>
    </xf>
    <xf numFmtId="2" fontId="3" fillId="0" borderId="0" xfId="0" applyNumberFormat="1" applyFont="1" applyFill="1"/>
    <xf numFmtId="0" fontId="1" fillId="0" borderId="0" xfId="0" applyFont="1" applyFill="1"/>
    <xf numFmtId="0" fontId="5" fillId="0" borderId="0" xfId="1" applyFill="1"/>
    <xf numFmtId="166" fontId="4" fillId="10" borderId="0" xfId="0" applyNumberFormat="1" applyFont="1" applyFill="1"/>
    <xf numFmtId="0" fontId="15" fillId="7" borderId="4" xfId="2" applyFill="1" applyAlignment="1">
      <alignment horizontal="center"/>
    </xf>
    <xf numFmtId="16" fontId="0" fillId="19" borderId="0" xfId="0" applyNumberFormat="1" applyFill="1" applyAlignment="1">
      <alignment vertical="center" wrapText="1"/>
    </xf>
    <xf numFmtId="2" fontId="0" fillId="25" borderId="0" xfId="0" applyNumberFormat="1" applyFill="1"/>
    <xf numFmtId="0" fontId="4" fillId="0" borderId="0" xfId="0" applyFont="1" applyFill="1" applyAlignment="1">
      <alignment vertical="center" wrapText="1"/>
    </xf>
    <xf numFmtId="173" fontId="4" fillId="2" borderId="9" xfId="0" applyNumberFormat="1" applyFont="1" applyFill="1" applyBorder="1"/>
    <xf numFmtId="14" fontId="0" fillId="5" borderId="0" xfId="0" applyNumberFormat="1" applyFill="1" applyAlignment="1">
      <alignment horizontal="right" vertical="center"/>
    </xf>
    <xf numFmtId="14" fontId="0" fillId="0" borderId="0" xfId="0" applyNumberFormat="1" applyFill="1" applyAlignment="1">
      <alignment horizontal="right" vertical="center"/>
    </xf>
    <xf numFmtId="0" fontId="3" fillId="26" borderId="0" xfId="0" applyFont="1" applyFill="1"/>
    <xf numFmtId="14" fontId="3" fillId="26" borderId="0" xfId="0" applyNumberFormat="1" applyFont="1" applyFill="1"/>
    <xf numFmtId="2" fontId="3" fillId="26" borderId="0" xfId="0" applyNumberFormat="1" applyFont="1" applyFill="1"/>
    <xf numFmtId="0" fontId="1" fillId="26" borderId="0" xfId="0" applyFont="1" applyFill="1"/>
    <xf numFmtId="14" fontId="0" fillId="26" borderId="0" xfId="0" applyNumberFormat="1" applyFill="1"/>
    <xf numFmtId="0" fontId="0" fillId="26" borderId="0" xfId="0" applyFill="1"/>
    <xf numFmtId="2" fontId="0" fillId="26" borderId="0" xfId="0" applyNumberFormat="1" applyFill="1"/>
    <xf numFmtId="1" fontId="0" fillId="26" borderId="0" xfId="0" applyNumberFormat="1" applyFill="1"/>
    <xf numFmtId="16" fontId="0" fillId="26" borderId="0" xfId="0" applyNumberFormat="1" applyFill="1"/>
    <xf numFmtId="0" fontId="5" fillId="26" borderId="0" xfId="1" applyFill="1"/>
    <xf numFmtId="0" fontId="3" fillId="26" borderId="1" xfId="0" applyFont="1" applyFill="1" applyBorder="1"/>
    <xf numFmtId="14" fontId="0" fillId="26" borderId="1" xfId="0" applyNumberFormat="1" applyFill="1" applyBorder="1"/>
    <xf numFmtId="0" fontId="0" fillId="26" borderId="1" xfId="0" applyFill="1" applyBorder="1"/>
    <xf numFmtId="2" fontId="0" fillId="26" borderId="1" xfId="0" applyNumberFormat="1" applyFill="1" applyBorder="1"/>
    <xf numFmtId="0" fontId="3" fillId="26" borderId="9" xfId="0" applyFont="1" applyFill="1" applyBorder="1"/>
    <xf numFmtId="14" fontId="0" fillId="26" borderId="9" xfId="0" applyNumberFormat="1" applyFill="1" applyBorder="1"/>
    <xf numFmtId="0" fontId="4" fillId="26" borderId="9" xfId="0" applyFont="1" applyFill="1" applyBorder="1"/>
    <xf numFmtId="2" fontId="4" fillId="26" borderId="9" xfId="0" applyNumberFormat="1" applyFont="1" applyFill="1" applyBorder="1"/>
    <xf numFmtId="16" fontId="5" fillId="0" borderId="0" xfId="1" applyNumberFormat="1"/>
    <xf numFmtId="10" fontId="0" fillId="24" borderId="0" xfId="0" applyNumberFormat="1" applyFill="1"/>
    <xf numFmtId="166" fontId="0" fillId="11" borderId="0" xfId="0" applyNumberFormat="1" applyFill="1"/>
    <xf numFmtId="2" fontId="33" fillId="12" borderId="7" xfId="0" applyNumberFormat="1" applyFont="1" applyFill="1" applyBorder="1" applyAlignment="1">
      <alignment wrapText="1"/>
    </xf>
    <xf numFmtId="17" fontId="0" fillId="7" borderId="0" xfId="0" applyNumberFormat="1" applyFill="1"/>
    <xf numFmtId="16" fontId="4" fillId="4" borderId="0" xfId="0" applyNumberFormat="1" applyFont="1" applyFill="1"/>
    <xf numFmtId="2" fontId="21" fillId="12" borderId="7" xfId="0" applyNumberFormat="1" applyFont="1" applyFill="1" applyBorder="1" applyAlignment="1"/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0" fontId="0" fillId="27" borderId="0" xfId="0" applyFill="1" applyAlignment="1">
      <alignment horizontal="center" vertical="center" wrapText="1"/>
    </xf>
    <xf numFmtId="0" fontId="0" fillId="22" borderId="0" xfId="0" applyFill="1" applyAlignment="1">
      <alignment horizontal="center" vertical="center" wrapText="1"/>
    </xf>
    <xf numFmtId="16" fontId="0" fillId="4" borderId="0" xfId="0" applyNumberFormat="1" applyFill="1" applyAlignment="1">
      <alignment horizontal="right" vertical="center"/>
    </xf>
    <xf numFmtId="16" fontId="0" fillId="4" borderId="0" xfId="0" applyNumberFormat="1" applyFill="1" applyAlignment="1">
      <alignment horizontal="center" vertical="center" wrapText="1"/>
    </xf>
    <xf numFmtId="14" fontId="0" fillId="4" borderId="0" xfId="0" applyNumberFormat="1" applyFill="1" applyAlignment="1">
      <alignment horizontal="right" vertical="center"/>
    </xf>
    <xf numFmtId="14" fontId="0" fillId="4" borderId="3" xfId="0" applyNumberFormat="1" applyFill="1" applyBorder="1" applyAlignment="1">
      <alignment horizontal="right" vertical="center"/>
    </xf>
    <xf numFmtId="14" fontId="0" fillId="4" borderId="0" xfId="0" applyNumberFormat="1" applyFill="1" applyAlignment="1">
      <alignment horizontal="right" vertical="center" wrapText="1"/>
    </xf>
    <xf numFmtId="16" fontId="0" fillId="4" borderId="0" xfId="0" applyNumberFormat="1" applyFill="1" applyAlignment="1">
      <alignment horizontal="right" vertical="center" wrapText="1"/>
    </xf>
    <xf numFmtId="2" fontId="0" fillId="20" borderId="0" xfId="0" applyNumberFormat="1" applyFill="1" applyAlignment="1">
      <alignment horizontal="center" vertical="center" wrapText="1"/>
    </xf>
    <xf numFmtId="16" fontId="0" fillId="4" borderId="0" xfId="0" applyNumberFormat="1" applyFill="1" applyAlignment="1">
      <alignment horizontal="center" wrapText="1"/>
    </xf>
    <xf numFmtId="0" fontId="0" fillId="0" borderId="0" xfId="0" applyAlignment="1">
      <alignment horizontal="right" vertical="center" wrapText="1"/>
    </xf>
    <xf numFmtId="0" fontId="0" fillId="0" borderId="0" xfId="0" applyAlignment="1">
      <alignment horizontal="center" vertical="center" wrapText="1"/>
    </xf>
    <xf numFmtId="16" fontId="0" fillId="4" borderId="0" xfId="0" applyNumberFormat="1" applyFill="1" applyAlignment="1">
      <alignment horizontal="right" wrapText="1"/>
    </xf>
    <xf numFmtId="0" fontId="0" fillId="0" borderId="0" xfId="0" applyFill="1" applyAlignment="1">
      <alignment horizontal="center"/>
    </xf>
    <xf numFmtId="16" fontId="0" fillId="0" borderId="0" xfId="0" applyNumberFormat="1" applyFill="1" applyAlignment="1">
      <alignment horizontal="right" vertical="center"/>
    </xf>
    <xf numFmtId="14" fontId="0" fillId="0" borderId="0" xfId="0" applyNumberFormat="1" applyFill="1" applyAlignment="1">
      <alignment horizontal="right" vertical="center"/>
    </xf>
    <xf numFmtId="16" fontId="0" fillId="0" borderId="0" xfId="0" applyNumberFormat="1" applyFill="1" applyAlignment="1">
      <alignment horizontal="center" vertical="center" wrapText="1"/>
    </xf>
    <xf numFmtId="0" fontId="0" fillId="0" borderId="0" xfId="0" applyFill="1" applyAlignment="1">
      <alignment horizontal="center" wrapText="1"/>
    </xf>
    <xf numFmtId="0" fontId="0" fillId="5" borderId="0" xfId="0" applyFill="1" applyAlignment="1">
      <alignment horizontal="center" wrapText="1"/>
    </xf>
    <xf numFmtId="16" fontId="0" fillId="5" borderId="0" xfId="0" applyNumberFormat="1" applyFill="1" applyAlignment="1">
      <alignment horizontal="right" vertical="center"/>
    </xf>
    <xf numFmtId="16" fontId="0" fillId="5" borderId="0" xfId="0" applyNumberFormat="1" applyFill="1" applyAlignment="1">
      <alignment horizontal="center" vertical="center" wrapText="1"/>
    </xf>
    <xf numFmtId="14" fontId="0" fillId="5" borderId="0" xfId="0" applyNumberFormat="1" applyFill="1" applyAlignment="1">
      <alignment horizontal="right" vertical="center"/>
    </xf>
    <xf numFmtId="0" fontId="0" fillId="5" borderId="0" xfId="0" applyFill="1" applyAlignment="1">
      <alignment horizontal="center" vertical="center" wrapText="1"/>
    </xf>
    <xf numFmtId="16" fontId="0" fillId="0" borderId="0" xfId="0" applyNumberFormat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</cellXfs>
  <cellStyles count="5">
    <cellStyle name="Calculation" xfId="4" builtinId="22"/>
    <cellStyle name="Heading 1" xfId="2" builtinId="16"/>
    <cellStyle name="Hyperlink" xfId="1" builtinId="8"/>
    <cellStyle name="Normal" xfId="0" builtinId="0"/>
    <cellStyle name="Percent" xfId="3" builtinId="5"/>
  </cellStyles>
  <dxfs count="1096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095"/>
      <tableStyleElement type="headerRow" dxfId="1094"/>
    </tableStyle>
  </tableStyles>
  <colors>
    <mruColors>
      <color rgb="FFFF3300"/>
      <color rgb="FFFF7C5D"/>
      <color rgb="FFE7271D"/>
      <color rgb="FF00221A"/>
      <color rgb="FFED5C55"/>
      <color rgb="FFFBDBD9"/>
      <color rgb="FFF6F6DE"/>
      <color rgb="FFF9DEDB"/>
      <color rgb="FFFF3399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styles" Target="style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connections" Target="connection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61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64.xml.rels><?xml version="1.0" encoding="UTF-8" standalone="yes"?>
<Relationships xmlns="http://schemas.openxmlformats.org/package/2006/relationships"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Balance!$B$2:$B$441</c:f>
              <c:numCache>
                <c:formatCode>m/d/yyyy</c:formatCode>
                <c:ptCount val="44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</c:numCache>
            </c:numRef>
          </c:xVal>
          <c:yVal>
            <c:numRef>
              <c:f>Balance!$I$2:$I$443</c:f>
              <c:numCache>
                <c:formatCode>0.00</c:formatCode>
                <c:ptCount val="442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  <c:pt idx="221">
                  <c:v>358860.97</c:v>
                </c:pt>
                <c:pt idx="222">
                  <c:v>346939.19</c:v>
                </c:pt>
                <c:pt idx="223">
                  <c:v>347494.51</c:v>
                </c:pt>
                <c:pt idx="224">
                  <c:v>350011.84</c:v>
                </c:pt>
                <c:pt idx="225">
                  <c:v>356546.39999999997</c:v>
                </c:pt>
                <c:pt idx="226">
                  <c:v>356544.06</c:v>
                </c:pt>
                <c:pt idx="227">
                  <c:v>371135.11</c:v>
                </c:pt>
                <c:pt idx="228">
                  <c:v>368490.23999999999</c:v>
                </c:pt>
                <c:pt idx="229">
                  <c:v>370497.23</c:v>
                </c:pt>
                <c:pt idx="230">
                  <c:v>368347.44</c:v>
                </c:pt>
                <c:pt idx="231">
                  <c:v>369686.29000000004</c:v>
                </c:pt>
                <c:pt idx="232">
                  <c:v>364028.85</c:v>
                </c:pt>
                <c:pt idx="233">
                  <c:v>366983.12</c:v>
                </c:pt>
                <c:pt idx="234">
                  <c:v>360321.2</c:v>
                </c:pt>
                <c:pt idx="235">
                  <c:v>357414.17</c:v>
                </c:pt>
                <c:pt idx="236">
                  <c:v>355693.78</c:v>
                </c:pt>
                <c:pt idx="237">
                  <c:v>360934.05</c:v>
                </c:pt>
                <c:pt idx="238">
                  <c:v>351216.14999999997</c:v>
                </c:pt>
                <c:pt idx="239">
                  <c:v>351887.73</c:v>
                </c:pt>
                <c:pt idx="240">
                  <c:v>352850.19</c:v>
                </c:pt>
                <c:pt idx="241">
                  <c:v>345131.68</c:v>
                </c:pt>
                <c:pt idx="242">
                  <c:v>341216.81</c:v>
                </c:pt>
                <c:pt idx="243">
                  <c:v>347416.57</c:v>
                </c:pt>
                <c:pt idx="244">
                  <c:v>348668.66</c:v>
                </c:pt>
                <c:pt idx="245">
                  <c:v>357514.04</c:v>
                </c:pt>
                <c:pt idx="246">
                  <c:v>360717.48</c:v>
                </c:pt>
                <c:pt idx="247">
                  <c:v>360792.14</c:v>
                </c:pt>
                <c:pt idx="248">
                  <c:v>354430.79</c:v>
                </c:pt>
                <c:pt idx="249">
                  <c:v>368660.8</c:v>
                </c:pt>
                <c:pt idx="250">
                  <c:v>370923.19</c:v>
                </c:pt>
                <c:pt idx="251">
                  <c:v>375295.13</c:v>
                </c:pt>
                <c:pt idx="252">
                  <c:v>382262.83</c:v>
                </c:pt>
                <c:pt idx="253">
                  <c:v>382810.75</c:v>
                </c:pt>
                <c:pt idx="254">
                  <c:v>377083.42</c:v>
                </c:pt>
                <c:pt idx="255">
                  <c:v>383610.05</c:v>
                </c:pt>
                <c:pt idx="256">
                  <c:v>380008.25</c:v>
                </c:pt>
                <c:pt idx="257">
                  <c:v>380752.59</c:v>
                </c:pt>
                <c:pt idx="258">
                  <c:v>381100.52</c:v>
                </c:pt>
                <c:pt idx="259">
                  <c:v>382828.93</c:v>
                </c:pt>
                <c:pt idx="260">
                  <c:v>379406.56</c:v>
                </c:pt>
                <c:pt idx="261">
                  <c:v>375078.22</c:v>
                </c:pt>
                <c:pt idx="262">
                  <c:v>374158.47</c:v>
                </c:pt>
                <c:pt idx="263">
                  <c:v>379833.49</c:v>
                </c:pt>
                <c:pt idx="264">
                  <c:v>382927.8</c:v>
                </c:pt>
                <c:pt idx="265">
                  <c:v>386953.84</c:v>
                </c:pt>
                <c:pt idx="266">
                  <c:v>397118.13</c:v>
                </c:pt>
                <c:pt idx="267">
                  <c:v>386211.32</c:v>
                </c:pt>
                <c:pt idx="268">
                  <c:v>387052.15</c:v>
                </c:pt>
                <c:pt idx="269">
                  <c:v>374259.41</c:v>
                </c:pt>
                <c:pt idx="270">
                  <c:v>370693.02</c:v>
                </c:pt>
                <c:pt idx="271">
                  <c:v>375852.08</c:v>
                </c:pt>
                <c:pt idx="272">
                  <c:v>375872.83</c:v>
                </c:pt>
                <c:pt idx="273">
                  <c:v>373123.48</c:v>
                </c:pt>
                <c:pt idx="274">
                  <c:v>372718.71</c:v>
                </c:pt>
                <c:pt idx="275">
                  <c:v>382463.62</c:v>
                </c:pt>
                <c:pt idx="276">
                  <c:v>385198.84</c:v>
                </c:pt>
                <c:pt idx="277">
                  <c:v>381118.05</c:v>
                </c:pt>
                <c:pt idx="278">
                  <c:v>378419.42</c:v>
                </c:pt>
                <c:pt idx="279">
                  <c:v>375834.82</c:v>
                </c:pt>
                <c:pt idx="280">
                  <c:v>385764.92</c:v>
                </c:pt>
                <c:pt idx="281">
                  <c:v>389483.35</c:v>
                </c:pt>
                <c:pt idx="282">
                  <c:v>389657.79</c:v>
                </c:pt>
                <c:pt idx="283">
                  <c:v>389787.58</c:v>
                </c:pt>
                <c:pt idx="284">
                  <c:v>385233.03</c:v>
                </c:pt>
                <c:pt idx="285">
                  <c:v>390592.54</c:v>
                </c:pt>
                <c:pt idx="286">
                  <c:v>390871.84</c:v>
                </c:pt>
                <c:pt idx="287">
                  <c:v>386326.18</c:v>
                </c:pt>
                <c:pt idx="288">
                  <c:v>390200.44</c:v>
                </c:pt>
                <c:pt idx="289">
                  <c:v>374649.22</c:v>
                </c:pt>
                <c:pt idx="290">
                  <c:v>380216.65</c:v>
                </c:pt>
                <c:pt idx="291">
                  <c:v>381021.44</c:v>
                </c:pt>
                <c:pt idx="292">
                  <c:v>378995.29</c:v>
                </c:pt>
                <c:pt idx="293">
                  <c:v>378540.69</c:v>
                </c:pt>
                <c:pt idx="294">
                  <c:v>374243.66</c:v>
                </c:pt>
                <c:pt idx="295">
                  <c:v>374681.1</c:v>
                </c:pt>
                <c:pt idx="296">
                  <c:v>371125.09</c:v>
                </c:pt>
                <c:pt idx="297">
                  <c:v>366496.83</c:v>
                </c:pt>
                <c:pt idx="298">
                  <c:v>359986.87</c:v>
                </c:pt>
                <c:pt idx="299">
                  <c:v>360227.22</c:v>
                </c:pt>
                <c:pt idx="300">
                  <c:v>350822.36</c:v>
                </c:pt>
                <c:pt idx="301">
                  <c:v>366923.87</c:v>
                </c:pt>
                <c:pt idx="302">
                  <c:v>362921.09</c:v>
                </c:pt>
                <c:pt idx="303">
                  <c:v>407026.88</c:v>
                </c:pt>
                <c:pt idx="304">
                  <c:v>401105.48</c:v>
                </c:pt>
                <c:pt idx="305">
                  <c:v>393567.36</c:v>
                </c:pt>
                <c:pt idx="306">
                  <c:v>366163.6</c:v>
                </c:pt>
                <c:pt idx="307">
                  <c:v>361692.5</c:v>
                </c:pt>
                <c:pt idx="308">
                  <c:v>313669.12</c:v>
                </c:pt>
                <c:pt idx="309">
                  <c:v>315749.27</c:v>
                </c:pt>
                <c:pt idx="310">
                  <c:v>317812.25</c:v>
                </c:pt>
                <c:pt idx="311">
                  <c:v>321172.03999999998</c:v>
                </c:pt>
                <c:pt idx="312">
                  <c:v>322327.21999999997</c:v>
                </c:pt>
                <c:pt idx="313">
                  <c:v>323626.28000000003</c:v>
                </c:pt>
                <c:pt idx="314">
                  <c:v>324351.42</c:v>
                </c:pt>
                <c:pt idx="315">
                  <c:v>326932.27</c:v>
                </c:pt>
                <c:pt idx="316">
                  <c:v>323187.58</c:v>
                </c:pt>
                <c:pt idx="317">
                  <c:v>324820.98</c:v>
                </c:pt>
                <c:pt idx="318">
                  <c:v>327045.52</c:v>
                </c:pt>
                <c:pt idx="319">
                  <c:v>327054.27</c:v>
                </c:pt>
                <c:pt idx="320">
                  <c:v>325810.98</c:v>
                </c:pt>
                <c:pt idx="321">
                  <c:v>324443.28000000003</c:v>
                </c:pt>
                <c:pt idx="322">
                  <c:v>328249.78000000003</c:v>
                </c:pt>
                <c:pt idx="323">
                  <c:v>329298.48</c:v>
                </c:pt>
                <c:pt idx="324">
                  <c:v>330109.08</c:v>
                </c:pt>
                <c:pt idx="325">
                  <c:v>326202.98</c:v>
                </c:pt>
                <c:pt idx="326">
                  <c:v>324645.53000000003</c:v>
                </c:pt>
                <c:pt idx="327">
                  <c:v>322309.38</c:v>
                </c:pt>
                <c:pt idx="328">
                  <c:v>327489.65000000002</c:v>
                </c:pt>
                <c:pt idx="329">
                  <c:v>330177.02</c:v>
                </c:pt>
                <c:pt idx="330">
                  <c:v>330571.57</c:v>
                </c:pt>
                <c:pt idx="331">
                  <c:v>329655.77</c:v>
                </c:pt>
                <c:pt idx="332">
                  <c:v>326473.82</c:v>
                </c:pt>
                <c:pt idx="333">
                  <c:v>326978.32</c:v>
                </c:pt>
                <c:pt idx="334">
                  <c:v>329085.82</c:v>
                </c:pt>
                <c:pt idx="335">
                  <c:v>326943.46999999997</c:v>
                </c:pt>
                <c:pt idx="336">
                  <c:v>327247.34999999998</c:v>
                </c:pt>
                <c:pt idx="337">
                  <c:v>326901.49</c:v>
                </c:pt>
                <c:pt idx="338">
                  <c:v>326777.7</c:v>
                </c:pt>
                <c:pt idx="339">
                  <c:v>324862.34999999998</c:v>
                </c:pt>
                <c:pt idx="340">
                  <c:v>326822.08</c:v>
                </c:pt>
                <c:pt idx="341">
                  <c:v>324687.64</c:v>
                </c:pt>
                <c:pt idx="342">
                  <c:v>328611.7</c:v>
                </c:pt>
                <c:pt idx="343">
                  <c:v>331080.08</c:v>
                </c:pt>
                <c:pt idx="344">
                  <c:v>330371.86</c:v>
                </c:pt>
                <c:pt idx="345">
                  <c:v>328778.71999999997</c:v>
                </c:pt>
                <c:pt idx="346">
                  <c:v>323091.52</c:v>
                </c:pt>
                <c:pt idx="347">
                  <c:v>326440.17</c:v>
                </c:pt>
                <c:pt idx="348">
                  <c:v>325798.71999999997</c:v>
                </c:pt>
                <c:pt idx="349">
                  <c:v>326587.24</c:v>
                </c:pt>
                <c:pt idx="350">
                  <c:v>330217.57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1893224"/>
        <c:axId val="511892440"/>
      </c:scatterChart>
      <c:valAx>
        <c:axId val="511893224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892440"/>
        <c:crosses val="autoZero"/>
        <c:crossBetween val="midCat"/>
      </c:valAx>
      <c:valAx>
        <c:axId val="511892440"/>
        <c:scaling>
          <c:orientation val="minMax"/>
          <c:max val="410000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8932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7247188114582038E-2"/>
          <c:y val="0.10303256735765172"/>
          <c:w val="0.91335400661446786"/>
          <c:h val="0.85268376068376073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Balance!$B$2:$B$443</c:f>
              <c:numCache>
                <c:formatCode>m/d/yyyy</c:formatCode>
                <c:ptCount val="4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</c:numCache>
            </c:numRef>
          </c:xVal>
          <c:yVal>
            <c:numRef>
              <c:f>Balance!$M$2:$M$443</c:f>
              <c:numCache>
                <c:formatCode>0.00</c:formatCode>
                <c:ptCount val="442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  <c:pt idx="221">
                  <c:v>-41139.030000000028</c:v>
                </c:pt>
                <c:pt idx="222">
                  <c:v>-53060.81</c:v>
                </c:pt>
                <c:pt idx="223">
                  <c:v>-52505.489999999991</c:v>
                </c:pt>
                <c:pt idx="224">
                  <c:v>-49988.159999999974</c:v>
                </c:pt>
                <c:pt idx="225">
                  <c:v>-43453.600000000035</c:v>
                </c:pt>
                <c:pt idx="226">
                  <c:v>-43455.94</c:v>
                </c:pt>
                <c:pt idx="227">
                  <c:v>-28864.890000000014</c:v>
                </c:pt>
                <c:pt idx="228">
                  <c:v>-31509.760000000009</c:v>
                </c:pt>
                <c:pt idx="229">
                  <c:v>-29502.770000000019</c:v>
                </c:pt>
                <c:pt idx="230">
                  <c:v>-31652.559999999998</c:v>
                </c:pt>
                <c:pt idx="231">
                  <c:v>-30313.709999999963</c:v>
                </c:pt>
                <c:pt idx="232">
                  <c:v>-35971.150000000023</c:v>
                </c:pt>
                <c:pt idx="233">
                  <c:v>-33016.880000000005</c:v>
                </c:pt>
                <c:pt idx="234">
                  <c:v>-39678.799999999988</c:v>
                </c:pt>
                <c:pt idx="235">
                  <c:v>-42585.830000000016</c:v>
                </c:pt>
                <c:pt idx="236">
                  <c:v>-44306.219999999972</c:v>
                </c:pt>
                <c:pt idx="237">
                  <c:v>-39065.950000000012</c:v>
                </c:pt>
                <c:pt idx="238">
                  <c:v>-48783.850000000035</c:v>
                </c:pt>
                <c:pt idx="239">
                  <c:v>-48112.270000000019</c:v>
                </c:pt>
                <c:pt idx="240">
                  <c:v>-47149.81</c:v>
                </c:pt>
                <c:pt idx="241">
                  <c:v>-54868.320000000007</c:v>
                </c:pt>
                <c:pt idx="242">
                  <c:v>-58783.19</c:v>
                </c:pt>
                <c:pt idx="243">
                  <c:v>-52583.429999999993</c:v>
                </c:pt>
                <c:pt idx="244">
                  <c:v>-51331.340000000026</c:v>
                </c:pt>
                <c:pt idx="245">
                  <c:v>-42485.960000000021</c:v>
                </c:pt>
                <c:pt idx="246">
                  <c:v>-39282.520000000019</c:v>
                </c:pt>
                <c:pt idx="247">
                  <c:v>-39207.859999999986</c:v>
                </c:pt>
                <c:pt idx="248">
                  <c:v>-45569.210000000021</c:v>
                </c:pt>
                <c:pt idx="249">
                  <c:v>-31339.200000000012</c:v>
                </c:pt>
                <c:pt idx="250">
                  <c:v>-29076.809999999998</c:v>
                </c:pt>
                <c:pt idx="251">
                  <c:v>-24704.869999999995</c:v>
                </c:pt>
                <c:pt idx="252">
                  <c:v>-17737.169999999984</c:v>
                </c:pt>
                <c:pt idx="253">
                  <c:v>-17189.25</c:v>
                </c:pt>
                <c:pt idx="254">
                  <c:v>-22916.580000000016</c:v>
                </c:pt>
                <c:pt idx="255">
                  <c:v>-16389.950000000012</c:v>
                </c:pt>
                <c:pt idx="256">
                  <c:v>-19991.75</c:v>
                </c:pt>
                <c:pt idx="257">
                  <c:v>-19247.409999999974</c:v>
                </c:pt>
                <c:pt idx="258">
                  <c:v>-18899.479999999981</c:v>
                </c:pt>
                <c:pt idx="259">
                  <c:v>-17171.070000000007</c:v>
                </c:pt>
                <c:pt idx="260">
                  <c:v>-20593.440000000002</c:v>
                </c:pt>
                <c:pt idx="261">
                  <c:v>-24921.780000000028</c:v>
                </c:pt>
                <c:pt idx="262">
                  <c:v>-25841.530000000028</c:v>
                </c:pt>
                <c:pt idx="263">
                  <c:v>-20166.510000000009</c:v>
                </c:pt>
                <c:pt idx="264">
                  <c:v>-17072.200000000012</c:v>
                </c:pt>
                <c:pt idx="265">
                  <c:v>-13046.159999999974</c:v>
                </c:pt>
                <c:pt idx="266">
                  <c:v>-2881.8699999999953</c:v>
                </c:pt>
                <c:pt idx="267">
                  <c:v>-13788.679999999993</c:v>
                </c:pt>
                <c:pt idx="268">
                  <c:v>-12947.849999999977</c:v>
                </c:pt>
                <c:pt idx="269">
                  <c:v>-25740.590000000026</c:v>
                </c:pt>
                <c:pt idx="270">
                  <c:v>-29306.979999999981</c:v>
                </c:pt>
                <c:pt idx="271">
                  <c:v>-24147.919999999984</c:v>
                </c:pt>
                <c:pt idx="272">
                  <c:v>-24127.169999999984</c:v>
                </c:pt>
                <c:pt idx="273">
                  <c:v>-26876.520000000019</c:v>
                </c:pt>
                <c:pt idx="274">
                  <c:v>-27281.289999999979</c:v>
                </c:pt>
                <c:pt idx="275">
                  <c:v>-17536.380000000005</c:v>
                </c:pt>
                <c:pt idx="276">
                  <c:v>-14801.159999999974</c:v>
                </c:pt>
                <c:pt idx="277">
                  <c:v>-18881.950000000012</c:v>
                </c:pt>
                <c:pt idx="278">
                  <c:v>-21580.580000000016</c:v>
                </c:pt>
                <c:pt idx="279">
                  <c:v>-24165.179999999993</c:v>
                </c:pt>
                <c:pt idx="280">
                  <c:v>-14235.080000000016</c:v>
                </c:pt>
                <c:pt idx="281">
                  <c:v>-10516.650000000023</c:v>
                </c:pt>
                <c:pt idx="282">
                  <c:v>-10342.210000000021</c:v>
                </c:pt>
                <c:pt idx="283">
                  <c:v>-10212.419999999984</c:v>
                </c:pt>
                <c:pt idx="284">
                  <c:v>-14766.969999999972</c:v>
                </c:pt>
                <c:pt idx="285">
                  <c:v>-9407.460000000021</c:v>
                </c:pt>
                <c:pt idx="286">
                  <c:v>-9128.1599999999744</c:v>
                </c:pt>
                <c:pt idx="287">
                  <c:v>-13673.820000000007</c:v>
                </c:pt>
                <c:pt idx="288">
                  <c:v>-9799.5599999999977</c:v>
                </c:pt>
                <c:pt idx="289">
                  <c:v>-25350.780000000028</c:v>
                </c:pt>
                <c:pt idx="290">
                  <c:v>-19783.349999999977</c:v>
                </c:pt>
                <c:pt idx="291">
                  <c:v>-18978.559999999998</c:v>
                </c:pt>
                <c:pt idx="292">
                  <c:v>-21004.710000000021</c:v>
                </c:pt>
                <c:pt idx="293">
                  <c:v>-21459.309999999998</c:v>
                </c:pt>
                <c:pt idx="294">
                  <c:v>-25756.340000000026</c:v>
                </c:pt>
                <c:pt idx="295">
                  <c:v>-25318.900000000023</c:v>
                </c:pt>
                <c:pt idx="296">
                  <c:v>-28874.909999999974</c:v>
                </c:pt>
                <c:pt idx="297">
                  <c:v>-33503.169999999984</c:v>
                </c:pt>
                <c:pt idx="298">
                  <c:v>-40013.130000000005</c:v>
                </c:pt>
                <c:pt idx="299">
                  <c:v>-39772.780000000028</c:v>
                </c:pt>
                <c:pt idx="300">
                  <c:v>-49177.640000000014</c:v>
                </c:pt>
                <c:pt idx="301">
                  <c:v>-33076.130000000005</c:v>
                </c:pt>
                <c:pt idx="302">
                  <c:v>-37078.909999999974</c:v>
                </c:pt>
                <c:pt idx="303">
                  <c:v>7026.8800000000047</c:v>
                </c:pt>
                <c:pt idx="304">
                  <c:v>1105.4799999999814</c:v>
                </c:pt>
                <c:pt idx="305">
                  <c:v>-6432.640000000014</c:v>
                </c:pt>
                <c:pt idx="306">
                  <c:v>16163.599999999977</c:v>
                </c:pt>
                <c:pt idx="307">
                  <c:v>11692.5</c:v>
                </c:pt>
                <c:pt idx="308">
                  <c:v>13669.119999999995</c:v>
                </c:pt>
                <c:pt idx="309">
                  <c:v>15749.270000000019</c:v>
                </c:pt>
                <c:pt idx="310">
                  <c:v>17812.25</c:v>
                </c:pt>
                <c:pt idx="311">
                  <c:v>21172.039999999979</c:v>
                </c:pt>
                <c:pt idx="312">
                  <c:v>22327.219999999972</c:v>
                </c:pt>
                <c:pt idx="313">
                  <c:v>23626.280000000028</c:v>
                </c:pt>
                <c:pt idx="314">
                  <c:v>24351.419999999984</c:v>
                </c:pt>
                <c:pt idx="315">
                  <c:v>26932.270000000019</c:v>
                </c:pt>
                <c:pt idx="316">
                  <c:v>23187.580000000016</c:v>
                </c:pt>
                <c:pt idx="317">
                  <c:v>24820.979999999981</c:v>
                </c:pt>
                <c:pt idx="318">
                  <c:v>27045.520000000019</c:v>
                </c:pt>
                <c:pt idx="319">
                  <c:v>27054.270000000019</c:v>
                </c:pt>
                <c:pt idx="320">
                  <c:v>25810.979999999981</c:v>
                </c:pt>
                <c:pt idx="321">
                  <c:v>24443.280000000028</c:v>
                </c:pt>
                <c:pt idx="322">
                  <c:v>28249.780000000028</c:v>
                </c:pt>
                <c:pt idx="323">
                  <c:v>29298.479999999981</c:v>
                </c:pt>
                <c:pt idx="324">
                  <c:v>30109.080000000016</c:v>
                </c:pt>
                <c:pt idx="325">
                  <c:v>26202.979999999981</c:v>
                </c:pt>
                <c:pt idx="326">
                  <c:v>24645.530000000028</c:v>
                </c:pt>
                <c:pt idx="327">
                  <c:v>22309.380000000005</c:v>
                </c:pt>
                <c:pt idx="328">
                  <c:v>27489.650000000023</c:v>
                </c:pt>
                <c:pt idx="329">
                  <c:v>30177.020000000019</c:v>
                </c:pt>
                <c:pt idx="330">
                  <c:v>30571.570000000007</c:v>
                </c:pt>
                <c:pt idx="331">
                  <c:v>29655.770000000019</c:v>
                </c:pt>
                <c:pt idx="332">
                  <c:v>26473.820000000007</c:v>
                </c:pt>
                <c:pt idx="333">
                  <c:v>26978.320000000007</c:v>
                </c:pt>
                <c:pt idx="334">
                  <c:v>29085.820000000007</c:v>
                </c:pt>
                <c:pt idx="335">
                  <c:v>26943.469999999972</c:v>
                </c:pt>
                <c:pt idx="336">
                  <c:v>27247.349999999977</c:v>
                </c:pt>
                <c:pt idx="337">
                  <c:v>26901.489999999991</c:v>
                </c:pt>
                <c:pt idx="338">
                  <c:v>26777.700000000012</c:v>
                </c:pt>
                <c:pt idx="339">
                  <c:v>24862.349999999977</c:v>
                </c:pt>
                <c:pt idx="340">
                  <c:v>26822.080000000016</c:v>
                </c:pt>
                <c:pt idx="341">
                  <c:v>24687.640000000014</c:v>
                </c:pt>
                <c:pt idx="342">
                  <c:v>28611.700000000012</c:v>
                </c:pt>
                <c:pt idx="343">
                  <c:v>31080.080000000016</c:v>
                </c:pt>
                <c:pt idx="344">
                  <c:v>30371.859999999986</c:v>
                </c:pt>
                <c:pt idx="345">
                  <c:v>28778.719999999972</c:v>
                </c:pt>
                <c:pt idx="346">
                  <c:v>23091.520000000019</c:v>
                </c:pt>
                <c:pt idx="347">
                  <c:v>26440.169999999984</c:v>
                </c:pt>
                <c:pt idx="348">
                  <c:v>25798.719999999972</c:v>
                </c:pt>
                <c:pt idx="349">
                  <c:v>26587.239999999991</c:v>
                </c:pt>
                <c:pt idx="350">
                  <c:v>30217.570000000007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1894008"/>
        <c:axId val="511894400"/>
      </c:scatterChart>
      <c:valAx>
        <c:axId val="511894008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894400"/>
        <c:crosses val="autoZero"/>
        <c:crossBetween val="midCat"/>
      </c:valAx>
      <c:valAx>
        <c:axId val="511894400"/>
        <c:scaling>
          <c:orientation val="minMax"/>
          <c:max val="5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8940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Balance!$B$2:$B$433</c:f>
              <c:numCache>
                <c:formatCode>m/d/yyyy</c:formatCode>
                <c:ptCount val="43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</c:numCache>
            </c:numRef>
          </c:xVal>
          <c:yVal>
            <c:numRef>
              <c:f>Balance!$C$2:$C$435</c:f>
              <c:numCache>
                <c:formatCode>0.00</c:formatCode>
                <c:ptCount val="434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  <c:pt idx="221">
                  <c:v>2102.9499999999998</c:v>
                </c:pt>
                <c:pt idx="222" formatCode="General">
                  <c:v>2088.5500000000002</c:v>
                </c:pt>
                <c:pt idx="223" formatCode="General">
                  <c:v>2088.5500000000002</c:v>
                </c:pt>
                <c:pt idx="224" formatCode="General">
                  <c:v>2088.5500000000002</c:v>
                </c:pt>
                <c:pt idx="225" formatCode="General">
                  <c:v>2088.5500000000002</c:v>
                </c:pt>
                <c:pt idx="226">
                  <c:v>2137.16</c:v>
                </c:pt>
                <c:pt idx="227">
                  <c:v>2152.14</c:v>
                </c:pt>
                <c:pt idx="228">
                  <c:v>2152.4299999999998</c:v>
                </c:pt>
                <c:pt idx="229">
                  <c:v>2163.75</c:v>
                </c:pt>
                <c:pt idx="230">
                  <c:v>2161.7399999999998</c:v>
                </c:pt>
                <c:pt idx="231" formatCode="General">
                  <c:v>2166.89</c:v>
                </c:pt>
                <c:pt idx="232" formatCode="General">
                  <c:v>2163.7800000000002</c:v>
                </c:pt>
                <c:pt idx="233" formatCode="General">
                  <c:v>2173.02</c:v>
                </c:pt>
                <c:pt idx="234" formatCode="General">
                  <c:v>2165.17</c:v>
                </c:pt>
                <c:pt idx="235" formatCode="General">
                  <c:v>2175.0300000000002</c:v>
                </c:pt>
                <c:pt idx="236">
                  <c:v>2168.48</c:v>
                </c:pt>
                <c:pt idx="237">
                  <c:v>2169.1799999999998</c:v>
                </c:pt>
                <c:pt idx="238">
                  <c:v>2166.58</c:v>
                </c:pt>
                <c:pt idx="239">
                  <c:v>2170.06</c:v>
                </c:pt>
                <c:pt idx="240">
                  <c:v>2173.6</c:v>
                </c:pt>
                <c:pt idx="241" formatCode="General">
                  <c:v>2170.84</c:v>
                </c:pt>
                <c:pt idx="242" formatCode="General">
                  <c:v>2157.0300000000002</c:v>
                </c:pt>
                <c:pt idx="243" formatCode="General">
                  <c:v>2163.79</c:v>
                </c:pt>
                <c:pt idx="244" formatCode="General">
                  <c:v>2164.25</c:v>
                </c:pt>
                <c:pt idx="245" formatCode="General">
                  <c:v>2182.87</c:v>
                </c:pt>
                <c:pt idx="246">
                  <c:v>2180.89</c:v>
                </c:pt>
                <c:pt idx="247">
                  <c:v>2181.89</c:v>
                </c:pt>
                <c:pt idx="248">
                  <c:v>2175.4899999999998</c:v>
                </c:pt>
                <c:pt idx="249" formatCode="General">
                  <c:v>2190.15</c:v>
                </c:pt>
                <c:pt idx="250" formatCode="General">
                  <c:v>2178.15</c:v>
                </c:pt>
                <c:pt idx="251" formatCode="General">
                  <c:v>2182.2199999999998</c:v>
                </c:pt>
                <c:pt idx="252" formatCode="General">
                  <c:v>2187.02</c:v>
                </c:pt>
                <c:pt idx="253" formatCode="General">
                  <c:v>2183.87</c:v>
                </c:pt>
                <c:pt idx="254">
                  <c:v>2182.64</c:v>
                </c:pt>
                <c:pt idx="255">
                  <c:v>2186.9</c:v>
                </c:pt>
                <c:pt idx="256">
                  <c:v>2175.44</c:v>
                </c:pt>
                <c:pt idx="257">
                  <c:v>2172.4699999999998</c:v>
                </c:pt>
                <c:pt idx="258">
                  <c:v>2169.04</c:v>
                </c:pt>
                <c:pt idx="259" formatCode="General">
                  <c:v>2180.38</c:v>
                </c:pt>
                <c:pt idx="260" formatCode="General">
                  <c:v>2176.12</c:v>
                </c:pt>
                <c:pt idx="261" formatCode="General">
                  <c:v>2170.94</c:v>
                </c:pt>
                <c:pt idx="262" formatCode="General">
                  <c:v>2170.86</c:v>
                </c:pt>
                <c:pt idx="263" formatCode="General">
                  <c:v>2179.98</c:v>
                </c:pt>
                <c:pt idx="264">
                  <c:v>2186.48</c:v>
                </c:pt>
                <c:pt idx="265">
                  <c:v>2186.16</c:v>
                </c:pt>
                <c:pt idx="266">
                  <c:v>2181.3000000000002</c:v>
                </c:pt>
                <c:pt idx="267">
                  <c:v>2127.81</c:v>
                </c:pt>
                <c:pt idx="268" formatCode="General">
                  <c:v>2159.04</c:v>
                </c:pt>
                <c:pt idx="269" formatCode="General">
                  <c:v>2127.02</c:v>
                </c:pt>
                <c:pt idx="270" formatCode="General">
                  <c:v>2125.77</c:v>
                </c:pt>
                <c:pt idx="271" formatCode="General">
                  <c:v>2147.2600000000002</c:v>
                </c:pt>
                <c:pt idx="272" formatCode="General">
                  <c:v>2139.16</c:v>
                </c:pt>
                <c:pt idx="273">
                  <c:v>2139.12</c:v>
                </c:pt>
                <c:pt idx="274">
                  <c:v>2139.7600000000002</c:v>
                </c:pt>
                <c:pt idx="275">
                  <c:v>2163.12</c:v>
                </c:pt>
                <c:pt idx="276">
                  <c:v>2177.1799999999998</c:v>
                </c:pt>
                <c:pt idx="277">
                  <c:v>2164.69</c:v>
                </c:pt>
                <c:pt idx="278">
                  <c:v>2146.1</c:v>
                </c:pt>
                <c:pt idx="279">
                  <c:v>2159.9299999999998</c:v>
                </c:pt>
                <c:pt idx="280" formatCode="General">
                  <c:v>2171.37</c:v>
                </c:pt>
                <c:pt idx="281" formatCode="General">
                  <c:v>2151.13</c:v>
                </c:pt>
                <c:pt idx="282" formatCode="General">
                  <c:v>2168.27</c:v>
                </c:pt>
                <c:pt idx="283">
                  <c:v>2161.1999999999998</c:v>
                </c:pt>
                <c:pt idx="284">
                  <c:v>2150.4899999999998</c:v>
                </c:pt>
                <c:pt idx="285">
                  <c:v>2159.73</c:v>
                </c:pt>
                <c:pt idx="286">
                  <c:v>2160.77</c:v>
                </c:pt>
                <c:pt idx="287">
                  <c:v>2153.7399999999998</c:v>
                </c:pt>
                <c:pt idx="288" formatCode="General">
                  <c:v>2163.66</c:v>
                </c:pt>
                <c:pt idx="289">
                  <c:v>2139.6</c:v>
                </c:pt>
                <c:pt idx="290">
                  <c:v>2144.29</c:v>
                </c:pt>
                <c:pt idx="291">
                  <c:v>2141.34</c:v>
                </c:pt>
                <c:pt idx="292">
                  <c:v>2141.16</c:v>
                </c:pt>
                <c:pt idx="293" formatCode="General">
                  <c:v>2151.33</c:v>
                </c:pt>
                <c:pt idx="294" formatCode="General">
                  <c:v>2143.16</c:v>
                </c:pt>
                <c:pt idx="295" formatCode="General">
                  <c:v>2139.4299999999998</c:v>
                </c:pt>
                <c:pt idx="296" formatCode="General">
                  <c:v>2133.04</c:v>
                </c:pt>
                <c:pt idx="297" formatCode="General">
                  <c:v>2126.41</c:v>
                </c:pt>
                <c:pt idx="298">
                  <c:v>2126.15</c:v>
                </c:pt>
                <c:pt idx="299">
                  <c:v>2111.7199999999998</c:v>
                </c:pt>
                <c:pt idx="300">
                  <c:v>2097.94</c:v>
                </c:pt>
                <c:pt idx="301">
                  <c:v>2088.66</c:v>
                </c:pt>
                <c:pt idx="302">
                  <c:v>2085.1799999999998</c:v>
                </c:pt>
                <c:pt idx="303" formatCode="General">
                  <c:v>2213.35</c:v>
                </c:pt>
                <c:pt idx="304">
                  <c:v>2201.7199999999998</c:v>
                </c:pt>
                <c:pt idx="305">
                  <c:v>2204.66</c:v>
                </c:pt>
                <c:pt idx="306">
                  <c:v>2198.81</c:v>
                </c:pt>
                <c:pt idx="307">
                  <c:v>2191.08</c:v>
                </c:pt>
                <c:pt idx="308">
                  <c:v>2191.9499999999998</c:v>
                </c:pt>
                <c:pt idx="309" formatCode="General">
                  <c:v>2204.71</c:v>
                </c:pt>
                <c:pt idx="310" formatCode="General">
                  <c:v>2212.23</c:v>
                </c:pt>
                <c:pt idx="311" formatCode="General">
                  <c:v>2241.35</c:v>
                </c:pt>
                <c:pt idx="312" formatCode="General">
                  <c:v>2246.19</c:v>
                </c:pt>
                <c:pt idx="313" formatCode="General">
                  <c:v>2259.5300000000002</c:v>
                </c:pt>
                <c:pt idx="314">
                  <c:v>2256.96</c:v>
                </c:pt>
                <c:pt idx="315">
                  <c:v>2271.7199999999998</c:v>
                </c:pt>
                <c:pt idx="316">
                  <c:v>2253.2800000000002</c:v>
                </c:pt>
                <c:pt idx="317">
                  <c:v>2262.0300000000002</c:v>
                </c:pt>
                <c:pt idx="318">
                  <c:v>2258.0700000000002</c:v>
                </c:pt>
                <c:pt idx="319" formatCode="General">
                  <c:v>2262.5300000000002</c:v>
                </c:pt>
                <c:pt idx="320" formatCode="General">
                  <c:v>2270.7600000000002</c:v>
                </c:pt>
                <c:pt idx="321" formatCode="General">
                  <c:v>2265.1799999999998</c:v>
                </c:pt>
                <c:pt idx="322" formatCode="General">
                  <c:v>2260.96</c:v>
                </c:pt>
                <c:pt idx="323" formatCode="General">
                  <c:v>2263.79</c:v>
                </c:pt>
                <c:pt idx="324">
                  <c:v>2268.88</c:v>
                </c:pt>
                <c:pt idx="325">
                  <c:v>2249.92</c:v>
                </c:pt>
                <c:pt idx="326">
                  <c:v>2249.2600000000002</c:v>
                </c:pt>
                <c:pt idx="327">
                  <c:v>2238.83</c:v>
                </c:pt>
                <c:pt idx="328" formatCode="General">
                  <c:v>2257.83</c:v>
                </c:pt>
                <c:pt idx="329" formatCode="General">
                  <c:v>2270.75</c:v>
                </c:pt>
                <c:pt idx="330">
                  <c:v>2269</c:v>
                </c:pt>
                <c:pt idx="331">
                  <c:v>2276.98</c:v>
                </c:pt>
                <c:pt idx="332">
                  <c:v>2268.9</c:v>
                </c:pt>
                <c:pt idx="333">
                  <c:v>2268.9</c:v>
                </c:pt>
                <c:pt idx="334">
                  <c:v>2275.3200000000002</c:v>
                </c:pt>
                <c:pt idx="335">
                  <c:v>2270.44</c:v>
                </c:pt>
                <c:pt idx="336">
                  <c:v>2274.64</c:v>
                </c:pt>
                <c:pt idx="337">
                  <c:v>2267.89</c:v>
                </c:pt>
                <c:pt idx="338">
                  <c:v>2271.89</c:v>
                </c:pt>
                <c:pt idx="339">
                  <c:v>2263.69</c:v>
                </c:pt>
                <c:pt idx="340">
                  <c:v>2271.31</c:v>
                </c:pt>
                <c:pt idx="341">
                  <c:v>2265.1999999999998</c:v>
                </c:pt>
                <c:pt idx="342">
                  <c:v>2280.0700000000002</c:v>
                </c:pt>
                <c:pt idx="343">
                  <c:v>2298.37</c:v>
                </c:pt>
                <c:pt idx="344">
                  <c:v>2296.6799999999998</c:v>
                </c:pt>
                <c:pt idx="345">
                  <c:v>2294.69</c:v>
                </c:pt>
                <c:pt idx="346">
                  <c:v>2280.9</c:v>
                </c:pt>
                <c:pt idx="347">
                  <c:v>2278.87</c:v>
                </c:pt>
                <c:pt idx="348">
                  <c:v>2279.5500000000002</c:v>
                </c:pt>
                <c:pt idx="349">
                  <c:v>2280.85</c:v>
                </c:pt>
                <c:pt idx="350">
                  <c:v>2297.42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1895184"/>
        <c:axId val="511895576"/>
      </c:scatterChart>
      <c:valAx>
        <c:axId val="511895184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895576"/>
        <c:crosses val="autoZero"/>
        <c:crossBetween val="midCat"/>
      </c:valAx>
      <c:valAx>
        <c:axId val="511895576"/>
        <c:scaling>
          <c:orientation val="minMax"/>
          <c:min val="15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8951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Balance!$B$2:$B$443</c:f>
              <c:numCache>
                <c:formatCode>m/d/yyyy</c:formatCode>
                <c:ptCount val="4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</c:numCache>
            </c:numRef>
          </c:xVal>
          <c:yVal>
            <c:numRef>
              <c:f>Balance!$P$2:$P$446</c:f>
              <c:numCache>
                <c:formatCode>0.00%</c:formatCode>
                <c:ptCount val="4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  <c:pt idx="221">
                  <c:v>0.48648648648648651</c:v>
                </c:pt>
                <c:pt idx="222">
                  <c:v>0.48430493273542602</c:v>
                </c:pt>
                <c:pt idx="223">
                  <c:v>0.48660714285714285</c:v>
                </c:pt>
                <c:pt idx="224">
                  <c:v>0.48888888888888887</c:v>
                </c:pt>
                <c:pt idx="225">
                  <c:v>0.49115044247787609</c:v>
                </c:pt>
                <c:pt idx="226">
                  <c:v>0.48898678414096919</c:v>
                </c:pt>
                <c:pt idx="227">
                  <c:v>0.49122807017543857</c:v>
                </c:pt>
                <c:pt idx="228">
                  <c:v>0.48908296943231439</c:v>
                </c:pt>
                <c:pt idx="229">
                  <c:v>0.49130434782608695</c:v>
                </c:pt>
                <c:pt idx="230">
                  <c:v>0.48917748917748916</c:v>
                </c:pt>
                <c:pt idx="231">
                  <c:v>0.49137931034482757</c:v>
                </c:pt>
                <c:pt idx="232">
                  <c:v>0.48927038626609443</c:v>
                </c:pt>
                <c:pt idx="233">
                  <c:v>0.49145299145299143</c:v>
                </c:pt>
                <c:pt idx="234">
                  <c:v>0.48936170212765956</c:v>
                </c:pt>
                <c:pt idx="235">
                  <c:v>0.48728813559322032</c:v>
                </c:pt>
                <c:pt idx="236">
                  <c:v>0.48523206751054854</c:v>
                </c:pt>
                <c:pt idx="237">
                  <c:v>0.48739495798319327</c:v>
                </c:pt>
                <c:pt idx="238">
                  <c:v>0.48535564853556484</c:v>
                </c:pt>
                <c:pt idx="239">
                  <c:v>0.48749999999999999</c:v>
                </c:pt>
                <c:pt idx="240">
                  <c:v>0.48962655601659749</c:v>
                </c:pt>
                <c:pt idx="241">
                  <c:v>0.48760330578512395</c:v>
                </c:pt>
                <c:pt idx="242">
                  <c:v>0.48559670781893005</c:v>
                </c:pt>
                <c:pt idx="243">
                  <c:v>0.48770491803278687</c:v>
                </c:pt>
                <c:pt idx="244">
                  <c:v>0.48979591836734693</c:v>
                </c:pt>
                <c:pt idx="245">
                  <c:v>0.491869918699187</c:v>
                </c:pt>
                <c:pt idx="246">
                  <c:v>0.49392712550607287</c:v>
                </c:pt>
                <c:pt idx="247">
                  <c:v>0.49193548387096775</c:v>
                </c:pt>
                <c:pt idx="248">
                  <c:v>0.48995983935742971</c:v>
                </c:pt>
                <c:pt idx="249">
                  <c:v>0.49199999999999999</c:v>
                </c:pt>
                <c:pt idx="250">
                  <c:v>0.49402390438247012</c:v>
                </c:pt>
                <c:pt idx="251">
                  <c:v>0.49603174603174605</c:v>
                </c:pt>
                <c:pt idx="252">
                  <c:v>0.49802371541501977</c:v>
                </c:pt>
                <c:pt idx="253">
                  <c:v>0.5</c:v>
                </c:pt>
                <c:pt idx="254">
                  <c:v>0.49803921568627452</c:v>
                </c:pt>
                <c:pt idx="255">
                  <c:v>0.5</c:v>
                </c:pt>
                <c:pt idx="256">
                  <c:v>0.49805447470817121</c:v>
                </c:pt>
                <c:pt idx="257">
                  <c:v>0.5</c:v>
                </c:pt>
                <c:pt idx="258">
                  <c:v>0.50193050193050193</c:v>
                </c:pt>
                <c:pt idx="259">
                  <c:v>0.5</c:v>
                </c:pt>
                <c:pt idx="260">
                  <c:v>0.49808429118773945</c:v>
                </c:pt>
                <c:pt idx="261">
                  <c:v>0.49618320610687022</c:v>
                </c:pt>
                <c:pt idx="262">
                  <c:v>0.49429657794676807</c:v>
                </c:pt>
                <c:pt idx="263">
                  <c:v>0.49621212121212122</c:v>
                </c:pt>
                <c:pt idx="264">
                  <c:v>0.49811320754716981</c:v>
                </c:pt>
                <c:pt idx="265">
                  <c:v>0.5</c:v>
                </c:pt>
                <c:pt idx="266">
                  <c:v>0.50187265917602997</c:v>
                </c:pt>
                <c:pt idx="267">
                  <c:v>0.5</c:v>
                </c:pt>
                <c:pt idx="268">
                  <c:v>0.49814126394052044</c:v>
                </c:pt>
                <c:pt idx="269">
                  <c:v>0.49629629629629629</c:v>
                </c:pt>
                <c:pt idx="270">
                  <c:v>0.49446494464944651</c:v>
                </c:pt>
                <c:pt idx="271">
                  <c:v>0.49632352941176472</c:v>
                </c:pt>
                <c:pt idx="272">
                  <c:v>0.49816849816849818</c:v>
                </c:pt>
                <c:pt idx="273">
                  <c:v>0.49635036496350365</c:v>
                </c:pt>
                <c:pt idx="274">
                  <c:v>0.49454545454545457</c:v>
                </c:pt>
                <c:pt idx="275">
                  <c:v>0.49637681159420288</c:v>
                </c:pt>
                <c:pt idx="276">
                  <c:v>0.49819494584837543</c:v>
                </c:pt>
                <c:pt idx="277">
                  <c:v>0.49640287769784175</c:v>
                </c:pt>
                <c:pt idx="278">
                  <c:v>0.49820788530465948</c:v>
                </c:pt>
                <c:pt idx="279">
                  <c:v>0.49642857142857144</c:v>
                </c:pt>
                <c:pt idx="280">
                  <c:v>0.49822064056939502</c:v>
                </c:pt>
                <c:pt idx="281">
                  <c:v>0.5</c:v>
                </c:pt>
                <c:pt idx="282">
                  <c:v>0.49823321554770317</c:v>
                </c:pt>
                <c:pt idx="283">
                  <c:v>0.5</c:v>
                </c:pt>
                <c:pt idx="284">
                  <c:v>0.49824561403508771</c:v>
                </c:pt>
                <c:pt idx="285">
                  <c:v>0.5</c:v>
                </c:pt>
                <c:pt idx="286">
                  <c:v>0.50174216027874563</c:v>
                </c:pt>
                <c:pt idx="287">
                  <c:v>0.5</c:v>
                </c:pt>
                <c:pt idx="288">
                  <c:v>0.5017301038062284</c:v>
                </c:pt>
                <c:pt idx="289">
                  <c:v>0.5</c:v>
                </c:pt>
                <c:pt idx="290">
                  <c:v>0.50171821305841924</c:v>
                </c:pt>
                <c:pt idx="291">
                  <c:v>0.50342465753424659</c:v>
                </c:pt>
                <c:pt idx="292">
                  <c:v>0.50170648464163825</c:v>
                </c:pt>
                <c:pt idx="293">
                  <c:v>0.5</c:v>
                </c:pt>
                <c:pt idx="294">
                  <c:v>0.49830508474576274</c:v>
                </c:pt>
                <c:pt idx="295">
                  <c:v>0.5</c:v>
                </c:pt>
                <c:pt idx="296">
                  <c:v>0.49831649831649832</c:v>
                </c:pt>
                <c:pt idx="297">
                  <c:v>0.49664429530201343</c:v>
                </c:pt>
                <c:pt idx="298">
                  <c:v>0.49498327759197325</c:v>
                </c:pt>
                <c:pt idx="299">
                  <c:v>0.49666666666666665</c:v>
                </c:pt>
                <c:pt idx="300">
                  <c:v>0.49501661129568109</c:v>
                </c:pt>
                <c:pt idx="301">
                  <c:v>0.49668874172185429</c:v>
                </c:pt>
                <c:pt idx="302">
                  <c:v>0.49504950495049505</c:v>
                </c:pt>
                <c:pt idx="303">
                  <c:v>0.49671052631578949</c:v>
                </c:pt>
                <c:pt idx="304">
                  <c:v>0.49508196721311476</c:v>
                </c:pt>
                <c:pt idx="305">
                  <c:v>0.49346405228758172</c:v>
                </c:pt>
                <c:pt idx="306">
                  <c:v>0.49511400651465798</c:v>
                </c:pt>
                <c:pt idx="307">
                  <c:v>0.4935064935064935</c:v>
                </c:pt>
                <c:pt idx="308">
                  <c:v>0.49514563106796117</c:v>
                </c:pt>
                <c:pt idx="309">
                  <c:v>0.49677419354838709</c:v>
                </c:pt>
                <c:pt idx="310">
                  <c:v>0.49839228295819937</c:v>
                </c:pt>
                <c:pt idx="311">
                  <c:v>0.49679487179487181</c:v>
                </c:pt>
                <c:pt idx="312">
                  <c:v>0.49840255591054311</c:v>
                </c:pt>
                <c:pt idx="313">
                  <c:v>0.49681528662420382</c:v>
                </c:pt>
                <c:pt idx="314">
                  <c:v>0.49841269841269842</c:v>
                </c:pt>
                <c:pt idx="315">
                  <c:v>0.5</c:v>
                </c:pt>
                <c:pt idx="316">
                  <c:v>0.49842271293375395</c:v>
                </c:pt>
                <c:pt idx="317">
                  <c:v>0.5</c:v>
                </c:pt>
                <c:pt idx="318">
                  <c:v>0.50156739811912221</c:v>
                </c:pt>
                <c:pt idx="319">
                  <c:v>0.5</c:v>
                </c:pt>
                <c:pt idx="320">
                  <c:v>0.49844236760124611</c:v>
                </c:pt>
                <c:pt idx="321">
                  <c:v>0.49689440993788819</c:v>
                </c:pt>
                <c:pt idx="322">
                  <c:v>0.49845201238390091</c:v>
                </c:pt>
                <c:pt idx="323">
                  <c:v>0.5</c:v>
                </c:pt>
                <c:pt idx="324">
                  <c:v>0.50153846153846149</c:v>
                </c:pt>
                <c:pt idx="325">
                  <c:v>0.5</c:v>
                </c:pt>
                <c:pt idx="326">
                  <c:v>0.49847094801223241</c:v>
                </c:pt>
                <c:pt idx="327">
                  <c:v>0.49695121951219512</c:v>
                </c:pt>
                <c:pt idx="328">
                  <c:v>0.49848024316109424</c:v>
                </c:pt>
                <c:pt idx="329">
                  <c:v>0.5</c:v>
                </c:pt>
                <c:pt idx="330">
                  <c:v>0.50151057401812693</c:v>
                </c:pt>
                <c:pt idx="331">
                  <c:v>0.5</c:v>
                </c:pt>
                <c:pt idx="332">
                  <c:v>0.49849849849849848</c:v>
                </c:pt>
                <c:pt idx="333">
                  <c:v>0.5</c:v>
                </c:pt>
                <c:pt idx="334">
                  <c:v>0.5014925373134328</c:v>
                </c:pt>
                <c:pt idx="335">
                  <c:v>0.5</c:v>
                </c:pt>
                <c:pt idx="336">
                  <c:v>0.49851632047477745</c:v>
                </c:pt>
                <c:pt idx="337">
                  <c:v>0.5</c:v>
                </c:pt>
                <c:pt idx="338">
                  <c:v>0.49852507374631266</c:v>
                </c:pt>
                <c:pt idx="339">
                  <c:v>0.49705882352941178</c:v>
                </c:pt>
                <c:pt idx="340">
                  <c:v>0.49853372434017595</c:v>
                </c:pt>
                <c:pt idx="341">
                  <c:v>0.49707602339181284</c:v>
                </c:pt>
                <c:pt idx="342">
                  <c:v>0.49854227405247814</c:v>
                </c:pt>
                <c:pt idx="343">
                  <c:v>0.49709302325581395</c:v>
                </c:pt>
                <c:pt idx="344">
                  <c:v>0.4956521739130435</c:v>
                </c:pt>
                <c:pt idx="345">
                  <c:v>0.49421965317919075</c:v>
                </c:pt>
                <c:pt idx="346">
                  <c:v>0.49279538904899134</c:v>
                </c:pt>
                <c:pt idx="347">
                  <c:v>0.4942528735632184</c:v>
                </c:pt>
                <c:pt idx="348">
                  <c:v>0.49283667621776506</c:v>
                </c:pt>
                <c:pt idx="349">
                  <c:v>0.49428571428571427</c:v>
                </c:pt>
                <c:pt idx="350">
                  <c:v>0.49572649572649574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1897928"/>
        <c:axId val="511898320"/>
      </c:scatterChart>
      <c:valAx>
        <c:axId val="511897928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898320"/>
        <c:crosses val="autoZero"/>
        <c:crossBetween val="midCat"/>
      </c:valAx>
      <c:valAx>
        <c:axId val="511898320"/>
        <c:scaling>
          <c:orientation val="minMax"/>
          <c:min val="0.4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8979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Balance!$B$2:$B$343</c:f>
              <c:numCache>
                <c:formatCode>m/d/yyyy</c:formatCode>
                <c:ptCount val="3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</c:numCache>
            </c:numRef>
          </c:xVal>
          <c:yVal>
            <c:numRef>
              <c:f>Balance!$V$2:$V$427</c:f>
              <c:numCache>
                <c:formatCode>0.00%</c:formatCode>
                <c:ptCount val="426"/>
                <c:pt idx="2">
                  <c:v>0.19577179003677936</c:v>
                </c:pt>
                <c:pt idx="3">
                  <c:v>0.20008182112239786</c:v>
                </c:pt>
                <c:pt idx="4">
                  <c:v>0.16336924292253127</c:v>
                </c:pt>
                <c:pt idx="5">
                  <c:v>0.19389190476539761</c:v>
                </c:pt>
                <c:pt idx="6">
                  <c:v>0.17533735395795544</c:v>
                </c:pt>
                <c:pt idx="7">
                  <c:v>0.35891083910893234</c:v>
                </c:pt>
                <c:pt idx="8">
                  <c:v>0.52868202794227925</c:v>
                </c:pt>
                <c:pt idx="9">
                  <c:v>0.52303521027280186</c:v>
                </c:pt>
                <c:pt idx="10">
                  <c:v>0.49903486890486387</c:v>
                </c:pt>
                <c:pt idx="11">
                  <c:v>0.48831680410668976</c:v>
                </c:pt>
                <c:pt idx="12">
                  <c:v>0.47214016149480637</c:v>
                </c:pt>
                <c:pt idx="13">
                  <c:v>0.45448950679382538</c:v>
                </c:pt>
                <c:pt idx="14">
                  <c:v>0.43762621603032426</c:v>
                </c:pt>
                <c:pt idx="15">
                  <c:v>0.43324605788841486</c:v>
                </c:pt>
                <c:pt idx="16">
                  <c:v>0.43262248943141224</c:v>
                </c:pt>
                <c:pt idx="17">
                  <c:v>0.42023205119752755</c:v>
                </c:pt>
                <c:pt idx="18">
                  <c:v>0.40776589668846686</c:v>
                </c:pt>
                <c:pt idx="19">
                  <c:v>0.39882009643497413</c:v>
                </c:pt>
                <c:pt idx="20">
                  <c:v>0.38986525703766828</c:v>
                </c:pt>
                <c:pt idx="21">
                  <c:v>0.38411926521956707</c:v>
                </c:pt>
                <c:pt idx="22">
                  <c:v>0.37503116894241934</c:v>
                </c:pt>
                <c:pt idx="23">
                  <c:v>0.37697940519041084</c:v>
                </c:pt>
                <c:pt idx="24">
                  <c:v>0.36977509623053162</c:v>
                </c:pt>
                <c:pt idx="25">
                  <c:v>0.36891081336097858</c:v>
                </c:pt>
                <c:pt idx="26">
                  <c:v>0.36576166417456935</c:v>
                </c:pt>
                <c:pt idx="27">
                  <c:v>0.35959656379312804</c:v>
                </c:pt>
                <c:pt idx="28">
                  <c:v>0.35323644241397795</c:v>
                </c:pt>
                <c:pt idx="29">
                  <c:v>0.36074758156117998</c:v>
                </c:pt>
                <c:pt idx="30">
                  <c:v>0.35703191736213136</c:v>
                </c:pt>
                <c:pt idx="31">
                  <c:v>0.36241608593546876</c:v>
                </c:pt>
                <c:pt idx="32">
                  <c:v>0.35707118458821713</c:v>
                </c:pt>
                <c:pt idx="33">
                  <c:v>0.37502060427916972</c:v>
                </c:pt>
                <c:pt idx="34">
                  <c:v>0.38219304301343621</c:v>
                </c:pt>
                <c:pt idx="35">
                  <c:v>0.37670306697854899</c:v>
                </c:pt>
                <c:pt idx="36">
                  <c:v>0.37168118749449619</c:v>
                </c:pt>
                <c:pt idx="37">
                  <c:v>0.36708606132795213</c:v>
                </c:pt>
                <c:pt idx="38">
                  <c:v>0.36271772022566956</c:v>
                </c:pt>
                <c:pt idx="39">
                  <c:v>0.35850362464103236</c:v>
                </c:pt>
                <c:pt idx="40">
                  <c:v>0.35400225993009587</c:v>
                </c:pt>
                <c:pt idx="41">
                  <c:v>0.35017187352757795</c:v>
                </c:pt>
                <c:pt idx="42">
                  <c:v>0.34666743153233776</c:v>
                </c:pt>
                <c:pt idx="43">
                  <c:v>0.34273345139982825</c:v>
                </c:pt>
                <c:pt idx="44">
                  <c:v>0.33890448472804552</c:v>
                </c:pt>
                <c:pt idx="45">
                  <c:v>0.33783134123152347</c:v>
                </c:pt>
                <c:pt idx="46">
                  <c:v>0.33709966873657005</c:v>
                </c:pt>
                <c:pt idx="47">
                  <c:v>0.33420544036824928</c:v>
                </c:pt>
                <c:pt idx="48">
                  <c:v>0.33078274353135961</c:v>
                </c:pt>
                <c:pt idx="49">
                  <c:v>0.33116253966336157</c:v>
                </c:pt>
                <c:pt idx="50">
                  <c:v>0.32784098915228843</c:v>
                </c:pt>
                <c:pt idx="51">
                  <c:v>0.32865868284465172</c:v>
                </c:pt>
                <c:pt idx="52">
                  <c:v>0.32641026079746971</c:v>
                </c:pt>
                <c:pt idx="53">
                  <c:v>0.32355647040832186</c:v>
                </c:pt>
                <c:pt idx="54">
                  <c:v>0.32260027221647702</c:v>
                </c:pt>
                <c:pt idx="55">
                  <c:v>0.32122906847311467</c:v>
                </c:pt>
                <c:pt idx="56">
                  <c:v>0.31831780697519846</c:v>
                </c:pt>
                <c:pt idx="57">
                  <c:v>0.32078118980306136</c:v>
                </c:pt>
                <c:pt idx="58">
                  <c:v>0.31795506965896425</c:v>
                </c:pt>
                <c:pt idx="59">
                  <c:v>0.31620783635013966</c:v>
                </c:pt>
                <c:pt idx="60">
                  <c:v>0.31352177036879675</c:v>
                </c:pt>
                <c:pt idx="61">
                  <c:v>0.31221077177668255</c:v>
                </c:pt>
                <c:pt idx="62">
                  <c:v>0.311389828072407</c:v>
                </c:pt>
                <c:pt idx="63">
                  <c:v>0.30890912442956392</c:v>
                </c:pt>
                <c:pt idx="64">
                  <c:v>0.30942792293284299</c:v>
                </c:pt>
                <c:pt idx="65">
                  <c:v>0.30707902780871166</c:v>
                </c:pt>
                <c:pt idx="66">
                  <c:v>0.30856663188820815</c:v>
                </c:pt>
                <c:pt idx="67">
                  <c:v>0.30643952094821814</c:v>
                </c:pt>
                <c:pt idx="68">
                  <c:v>0.30426600271918647</c:v>
                </c:pt>
                <c:pt idx="69">
                  <c:v>0.30238621984250691</c:v>
                </c:pt>
                <c:pt idx="70">
                  <c:v>0.30126350583982381</c:v>
                </c:pt>
                <c:pt idx="71">
                  <c:v>0.29915075312421052</c:v>
                </c:pt>
                <c:pt idx="72">
                  <c:v>0.29731455796464418</c:v>
                </c:pt>
                <c:pt idx="73">
                  <c:v>0.29562170062555598</c:v>
                </c:pt>
                <c:pt idx="74">
                  <c:v>0.29400855496408335</c:v>
                </c:pt>
                <c:pt idx="75">
                  <c:v>0.29794414920309426</c:v>
                </c:pt>
                <c:pt idx="76">
                  <c:v>0.29712936975574017</c:v>
                </c:pt>
                <c:pt idx="77">
                  <c:v>0.29563649002359699</c:v>
                </c:pt>
                <c:pt idx="78">
                  <c:v>0.3074916653921197</c:v>
                </c:pt>
                <c:pt idx="79">
                  <c:v>0.3057577572819663</c:v>
                </c:pt>
                <c:pt idx="80">
                  <c:v>0.30386643217647319</c:v>
                </c:pt>
                <c:pt idx="81">
                  <c:v>0.30335650462124281</c:v>
                </c:pt>
                <c:pt idx="82">
                  <c:v>0.3052608066855817</c:v>
                </c:pt>
                <c:pt idx="83">
                  <c:v>0.30374972032355096</c:v>
                </c:pt>
                <c:pt idx="84">
                  <c:v>0.30203167512176549</c:v>
                </c:pt>
                <c:pt idx="85">
                  <c:v>0.30170012255410639</c:v>
                </c:pt>
                <c:pt idx="86">
                  <c:v>0.30100381031831397</c:v>
                </c:pt>
                <c:pt idx="87">
                  <c:v>0.29930992001467371</c:v>
                </c:pt>
                <c:pt idx="88">
                  <c:v>0.29920187088435746</c:v>
                </c:pt>
                <c:pt idx="89">
                  <c:v>0.29759929719842121</c:v>
                </c:pt>
                <c:pt idx="90">
                  <c:v>0.29978352577242878</c:v>
                </c:pt>
                <c:pt idx="91">
                  <c:v>0.29815917239051543</c:v>
                </c:pt>
                <c:pt idx="92">
                  <c:v>0.29842518034690152</c:v>
                </c:pt>
                <c:pt idx="93">
                  <c:v>0.29700566198828871</c:v>
                </c:pt>
                <c:pt idx="94">
                  <c:v>0.29803742324397353</c:v>
                </c:pt>
                <c:pt idx="95">
                  <c:v>0.29691114338787766</c:v>
                </c:pt>
                <c:pt idx="96">
                  <c:v>0.29579926006722401</c:v>
                </c:pt>
                <c:pt idx="97">
                  <c:v>0.29456352660323443</c:v>
                </c:pt>
                <c:pt idx="98">
                  <c:v>0.30696087260477756</c:v>
                </c:pt>
                <c:pt idx="99">
                  <c:v>0.3100263800011836</c:v>
                </c:pt>
                <c:pt idx="100">
                  <c:v>0.30926714125463156</c:v>
                </c:pt>
                <c:pt idx="101">
                  <c:v>0.31519307674971891</c:v>
                </c:pt>
                <c:pt idx="102">
                  <c:v>0.31518540993187888</c:v>
                </c:pt>
                <c:pt idx="103">
                  <c:v>0.32174542830097441</c:v>
                </c:pt>
                <c:pt idx="104">
                  <c:v>0.32453820781135018</c:v>
                </c:pt>
                <c:pt idx="105">
                  <c:v>0.33758588878684614</c:v>
                </c:pt>
                <c:pt idx="106">
                  <c:v>0.33863790038958375</c:v>
                </c:pt>
                <c:pt idx="107">
                  <c:v>0.33723365750596535</c:v>
                </c:pt>
                <c:pt idx="108">
                  <c:v>0.35256157198523613</c:v>
                </c:pt>
                <c:pt idx="109">
                  <c:v>0.35267737853182896</c:v>
                </c:pt>
                <c:pt idx="110">
                  <c:v>0.36554774877731538</c:v>
                </c:pt>
                <c:pt idx="111">
                  <c:v>0.36652123813825849</c:v>
                </c:pt>
                <c:pt idx="112">
                  <c:v>0.36580201811385399</c:v>
                </c:pt>
                <c:pt idx="113">
                  <c:v>0.36582687593251006</c:v>
                </c:pt>
                <c:pt idx="114">
                  <c:v>0.37665623164224904</c:v>
                </c:pt>
                <c:pt idx="115">
                  <c:v>0.37500277790793834</c:v>
                </c:pt>
                <c:pt idx="116">
                  <c:v>0.37987177172236325</c:v>
                </c:pt>
                <c:pt idx="117">
                  <c:v>0.38596402182857842</c:v>
                </c:pt>
                <c:pt idx="118">
                  <c:v>0.38442983265447928</c:v>
                </c:pt>
                <c:pt idx="119">
                  <c:v>0.38965360022711565</c:v>
                </c:pt>
                <c:pt idx="120">
                  <c:v>0.39455956732672759</c:v>
                </c:pt>
                <c:pt idx="121">
                  <c:v>0.39391134458203264</c:v>
                </c:pt>
                <c:pt idx="122">
                  <c:v>0.39255054022656277</c:v>
                </c:pt>
                <c:pt idx="123">
                  <c:v>0.39188934391979374</c:v>
                </c:pt>
                <c:pt idx="124">
                  <c:v>0.39280034902438915</c:v>
                </c:pt>
                <c:pt idx="125">
                  <c:v>0.39373317711022293</c:v>
                </c:pt>
                <c:pt idx="126">
                  <c:v>0.39391671411506929</c:v>
                </c:pt>
                <c:pt idx="127">
                  <c:v>0.39434419152440775</c:v>
                </c:pt>
                <c:pt idx="128">
                  <c:v>0.39378743351445816</c:v>
                </c:pt>
                <c:pt idx="129">
                  <c:v>0.39971891584326358</c:v>
                </c:pt>
                <c:pt idx="130">
                  <c:v>0.40132200578539856</c:v>
                </c:pt>
                <c:pt idx="131">
                  <c:v>0.40056518042041067</c:v>
                </c:pt>
                <c:pt idx="132">
                  <c:v>0.399347738080158</c:v>
                </c:pt>
                <c:pt idx="133">
                  <c:v>0.40040715107254371</c:v>
                </c:pt>
                <c:pt idx="134">
                  <c:v>0.39919785402030938</c:v>
                </c:pt>
                <c:pt idx="135">
                  <c:v>0.39798205719407453</c:v>
                </c:pt>
                <c:pt idx="136">
                  <c:v>0.40773104370834762</c:v>
                </c:pt>
                <c:pt idx="137">
                  <c:v>0.41011498593156359</c:v>
                </c:pt>
                <c:pt idx="138">
                  <c:v>0.41201829569755161</c:v>
                </c:pt>
                <c:pt idx="139">
                  <c:v>0.41052951691081185</c:v>
                </c:pt>
                <c:pt idx="140">
                  <c:v>0.41493428525347442</c:v>
                </c:pt>
                <c:pt idx="141">
                  <c:v>0.41420228414527577</c:v>
                </c:pt>
                <c:pt idx="142">
                  <c:v>0.41303460915058671</c:v>
                </c:pt>
                <c:pt idx="143">
                  <c:v>0.41442203469244021</c:v>
                </c:pt>
                <c:pt idx="144">
                  <c:v>0.41305007987980863</c:v>
                </c:pt>
                <c:pt idx="145">
                  <c:v>0.41162261053938765</c:v>
                </c:pt>
                <c:pt idx="146">
                  <c:v>0.41032597832718526</c:v>
                </c:pt>
                <c:pt idx="147">
                  <c:v>0.40893908230401166</c:v>
                </c:pt>
                <c:pt idx="148">
                  <c:v>0.40798335166369004</c:v>
                </c:pt>
                <c:pt idx="149">
                  <c:v>0.40660686098578552</c:v>
                </c:pt>
                <c:pt idx="150">
                  <c:v>0.40527216981287528</c:v>
                </c:pt>
                <c:pt idx="151">
                  <c:v>0.41087213630897762</c:v>
                </c:pt>
                <c:pt idx="152">
                  <c:v>0.40952879368350692</c:v>
                </c:pt>
                <c:pt idx="153">
                  <c:v>0.40827222780986738</c:v>
                </c:pt>
                <c:pt idx="154">
                  <c:v>0.4074274282139313</c:v>
                </c:pt>
                <c:pt idx="155">
                  <c:v>0.40634858436204313</c:v>
                </c:pt>
                <c:pt idx="156">
                  <c:v>0.40652602523849884</c:v>
                </c:pt>
                <c:pt idx="157">
                  <c:v>0.40527068703901437</c:v>
                </c:pt>
                <c:pt idx="158">
                  <c:v>0.40408811296561892</c:v>
                </c:pt>
                <c:pt idx="159">
                  <c:v>0.40283814257892614</c:v>
                </c:pt>
                <c:pt idx="160">
                  <c:v>0.40220348115797722</c:v>
                </c:pt>
                <c:pt idx="161">
                  <c:v>0.40102645372059886</c:v>
                </c:pt>
                <c:pt idx="162">
                  <c:v>0.40100153728117882</c:v>
                </c:pt>
                <c:pt idx="163">
                  <c:v>0.39984095752163645</c:v>
                </c:pt>
                <c:pt idx="164">
                  <c:v>0.40253727965834457</c:v>
                </c:pt>
                <c:pt idx="165">
                  <c:v>0.40149438106382634</c:v>
                </c:pt>
                <c:pt idx="166">
                  <c:v>0.40027732610236538</c:v>
                </c:pt>
                <c:pt idx="167">
                  <c:v>0.39907765714792898</c:v>
                </c:pt>
                <c:pt idx="168">
                  <c:v>0.39841300907192778</c:v>
                </c:pt>
                <c:pt idx="169">
                  <c:v>0.39778020996769808</c:v>
                </c:pt>
                <c:pt idx="170">
                  <c:v>0.39662320245584515</c:v>
                </c:pt>
                <c:pt idx="171">
                  <c:v>0.39552870627175002</c:v>
                </c:pt>
                <c:pt idx="172">
                  <c:v>0.39470764282961784</c:v>
                </c:pt>
                <c:pt idx="173">
                  <c:v>0.39413441432117591</c:v>
                </c:pt>
                <c:pt idx="174">
                  <c:v>0.39523474671048564</c:v>
                </c:pt>
                <c:pt idx="175">
                  <c:v>0.39446713655061666</c:v>
                </c:pt>
                <c:pt idx="176">
                  <c:v>0.39366590594633838</c:v>
                </c:pt>
                <c:pt idx="177">
                  <c:v>0.39340624271023572</c:v>
                </c:pt>
                <c:pt idx="178">
                  <c:v>0.39283799176483652</c:v>
                </c:pt>
                <c:pt idx="179">
                  <c:v>0.3932386492905699</c:v>
                </c:pt>
                <c:pt idx="180">
                  <c:v>0.39383207665570702</c:v>
                </c:pt>
                <c:pt idx="181">
                  <c:v>0.39274558948509919</c:v>
                </c:pt>
                <c:pt idx="182">
                  <c:v>0.39165931974206192</c:v>
                </c:pt>
                <c:pt idx="183">
                  <c:v>0.39131263252933984</c:v>
                </c:pt>
                <c:pt idx="184">
                  <c:v>0.39117995017069312</c:v>
                </c:pt>
                <c:pt idx="185">
                  <c:v>0.39045309819153251</c:v>
                </c:pt>
                <c:pt idx="186">
                  <c:v>0.38974137838139039</c:v>
                </c:pt>
                <c:pt idx="187">
                  <c:v>0.38869471253740751</c:v>
                </c:pt>
                <c:pt idx="188">
                  <c:v>0.38847097955636578</c:v>
                </c:pt>
                <c:pt idx="189">
                  <c:v>0.38745717293573728</c:v>
                </c:pt>
                <c:pt idx="190">
                  <c:v>0.38643084331736716</c:v>
                </c:pt>
                <c:pt idx="191">
                  <c:v>0.38542760333105391</c:v>
                </c:pt>
                <c:pt idx="192">
                  <c:v>0.38584361102495252</c:v>
                </c:pt>
                <c:pt idx="193">
                  <c:v>0.38495329027119468</c:v>
                </c:pt>
                <c:pt idx="194">
                  <c:v>0.38399644388523335</c:v>
                </c:pt>
                <c:pt idx="195">
                  <c:v>0.38344132562048239</c:v>
                </c:pt>
                <c:pt idx="196">
                  <c:v>0.38251907030209392</c:v>
                </c:pt>
                <c:pt idx="197">
                  <c:v>0.38154311840719901</c:v>
                </c:pt>
                <c:pt idx="198">
                  <c:v>0.38079113185082497</c:v>
                </c:pt>
                <c:pt idx="199">
                  <c:v>0.3800270839694988</c:v>
                </c:pt>
                <c:pt idx="200">
                  <c:v>0.37910108221879157</c:v>
                </c:pt>
                <c:pt idx="201">
                  <c:v>0.37819539294836535</c:v>
                </c:pt>
                <c:pt idx="202">
                  <c:v>0.3779906391006832</c:v>
                </c:pt>
                <c:pt idx="203">
                  <c:v>0.37770326655936998</c:v>
                </c:pt>
                <c:pt idx="204">
                  <c:v>0.37684312307903423</c:v>
                </c:pt>
                <c:pt idx="205">
                  <c:v>0.37597781518957712</c:v>
                </c:pt>
                <c:pt idx="206">
                  <c:v>0.37655142178170292</c:v>
                </c:pt>
                <c:pt idx="207">
                  <c:v>0.3757757250288794</c:v>
                </c:pt>
                <c:pt idx="208">
                  <c:v>0.37496263559037396</c:v>
                </c:pt>
                <c:pt idx="209">
                  <c:v>0.37409419523712373</c:v>
                </c:pt>
                <c:pt idx="210">
                  <c:v>0.37342122618774559</c:v>
                </c:pt>
                <c:pt idx="211">
                  <c:v>0.37328913049687473</c:v>
                </c:pt>
                <c:pt idx="212">
                  <c:v>0.37498171296802196</c:v>
                </c:pt>
                <c:pt idx="213">
                  <c:v>0.37477394701034494</c:v>
                </c:pt>
                <c:pt idx="214">
                  <c:v>0.37400942044017926</c:v>
                </c:pt>
                <c:pt idx="215">
                  <c:v>0.37437996728891731</c:v>
                </c:pt>
                <c:pt idx="216">
                  <c:v>0.37501491948250398</c:v>
                </c:pt>
                <c:pt idx="217">
                  <c:v>0.37769251793384978</c:v>
                </c:pt>
                <c:pt idx="218">
                  <c:v>0.38208789279178124</c:v>
                </c:pt>
                <c:pt idx="219">
                  <c:v>0.38190631702856759</c:v>
                </c:pt>
                <c:pt idx="220">
                  <c:v>0.38118352520471832</c:v>
                </c:pt>
                <c:pt idx="221">
                  <c:v>0.3803179125579893</c:v>
                </c:pt>
                <c:pt idx="222">
                  <c:v>0.38112496311245453</c:v>
                </c:pt>
                <c:pt idx="223">
                  <c:v>0.38026911407606601</c:v>
                </c:pt>
                <c:pt idx="224">
                  <c:v>0.3794918182893931</c:v>
                </c:pt>
                <c:pt idx="225">
                  <c:v>0.37915328642285256</c:v>
                </c:pt>
                <c:pt idx="226">
                  <c:v>0.37830983950867753</c:v>
                </c:pt>
                <c:pt idx="227">
                  <c:v>0.37990463509326544</c:v>
                </c:pt>
                <c:pt idx="228">
                  <c:v>0.3791487014021947</c:v>
                </c:pt>
                <c:pt idx="229">
                  <c:v>0.378354378552888</c:v>
                </c:pt>
                <c:pt idx="230">
                  <c:v>0.37758235657631534</c:v>
                </c:pt>
                <c:pt idx="231">
                  <c:v>0.37677647505559991</c:v>
                </c:pt>
                <c:pt idx="232">
                  <c:v>0.37631344049170978</c:v>
                </c:pt>
                <c:pt idx="233">
                  <c:v>0.37559009819227351</c:v>
                </c:pt>
                <c:pt idx="234">
                  <c:v>0.37527253812431671</c:v>
                </c:pt>
                <c:pt idx="235">
                  <c:v>0.37456834740512818</c:v>
                </c:pt>
                <c:pt idx="236">
                  <c:v>0.37380634336339558</c:v>
                </c:pt>
                <c:pt idx="237">
                  <c:v>0.37331560015373266</c:v>
                </c:pt>
                <c:pt idx="238">
                  <c:v>0.37357383869513988</c:v>
                </c:pt>
                <c:pt idx="239">
                  <c:v>0.37279274055236694</c:v>
                </c:pt>
                <c:pt idx="240">
                  <c:v>0.37202162492103208</c:v>
                </c:pt>
                <c:pt idx="241">
                  <c:v>0.37192751121581696</c:v>
                </c:pt>
                <c:pt idx="242">
                  <c:v>0.37133699496327655</c:v>
                </c:pt>
                <c:pt idx="243">
                  <c:v>0.37103067638911486</c:v>
                </c:pt>
                <c:pt idx="244">
                  <c:v>0.37028383202660053</c:v>
                </c:pt>
                <c:pt idx="245">
                  <c:v>0.37041269754030803</c:v>
                </c:pt>
                <c:pt idx="246">
                  <c:v>0.36976250802064314</c:v>
                </c:pt>
                <c:pt idx="247">
                  <c:v>0.36901019344056429</c:v>
                </c:pt>
                <c:pt idx="248">
                  <c:v>0.36870219429475543</c:v>
                </c:pt>
                <c:pt idx="249">
                  <c:v>0.37015124159076757</c:v>
                </c:pt>
                <c:pt idx="250">
                  <c:v>0.36945344751699344</c:v>
                </c:pt>
                <c:pt idx="251">
                  <c:v>0.36889217852396583</c:v>
                </c:pt>
                <c:pt idx="252">
                  <c:v>0.36860527111095059</c:v>
                </c:pt>
                <c:pt idx="253">
                  <c:v>0.36787447588145594</c:v>
                </c:pt>
                <c:pt idx="254">
                  <c:v>0.36746793184663218</c:v>
                </c:pt>
                <c:pt idx="255">
                  <c:v>0.36712884125938189</c:v>
                </c:pt>
                <c:pt idx="256">
                  <c:v>0.36653871966751894</c:v>
                </c:pt>
                <c:pt idx="257">
                  <c:v>0.36582526513101316</c:v>
                </c:pt>
                <c:pt idx="258">
                  <c:v>0.36511315760461099</c:v>
                </c:pt>
                <c:pt idx="259">
                  <c:v>0.36442732658879068</c:v>
                </c:pt>
                <c:pt idx="260">
                  <c:v>0.36384060156715331</c:v>
                </c:pt>
                <c:pt idx="261">
                  <c:v>0.36332602481523973</c:v>
                </c:pt>
                <c:pt idx="262">
                  <c:v>0.36263989119612255</c:v>
                </c:pt>
                <c:pt idx="263">
                  <c:v>0.3622373095628969</c:v>
                </c:pt>
                <c:pt idx="264">
                  <c:v>0.36162688235726198</c:v>
                </c:pt>
                <c:pt idx="265">
                  <c:v>0.3610748681776339</c:v>
                </c:pt>
                <c:pt idx="266">
                  <c:v>0.36126574974857484</c:v>
                </c:pt>
                <c:pt idx="267">
                  <c:v>0.36161388324136196</c:v>
                </c:pt>
                <c:pt idx="268">
                  <c:v>0.36093984423813291</c:v>
                </c:pt>
                <c:pt idx="269">
                  <c:v>0.36172480886226521</c:v>
                </c:pt>
                <c:pt idx="270">
                  <c:v>0.36117811757925894</c:v>
                </c:pt>
                <c:pt idx="271">
                  <c:v>0.36074703023734866</c:v>
                </c:pt>
                <c:pt idx="272">
                  <c:v>0.36008095750354496</c:v>
                </c:pt>
                <c:pt idx="273">
                  <c:v>0.35949423119806312</c:v>
                </c:pt>
                <c:pt idx="274">
                  <c:v>0.35883781630276246</c:v>
                </c:pt>
                <c:pt idx="275">
                  <c:v>0.35903354110809649</c:v>
                </c:pt>
                <c:pt idx="276">
                  <c:v>0.35843771988043882</c:v>
                </c:pt>
                <c:pt idx="277">
                  <c:v>0.35794291849606197</c:v>
                </c:pt>
                <c:pt idx="278">
                  <c:v>0.35736746994840918</c:v>
                </c:pt>
                <c:pt idx="279">
                  <c:v>0.35679007137958157</c:v>
                </c:pt>
                <c:pt idx="280">
                  <c:v>0.35700717953973932</c:v>
                </c:pt>
                <c:pt idx="281">
                  <c:v>0.35647523622237404</c:v>
                </c:pt>
                <c:pt idx="282">
                  <c:v>0.35584037520231043</c:v>
                </c:pt>
                <c:pt idx="283">
                  <c:v>0.35520892170812252</c:v>
                </c:pt>
                <c:pt idx="284">
                  <c:v>0.35476607688224249</c:v>
                </c:pt>
                <c:pt idx="285">
                  <c:v>0.35436735180004281</c:v>
                </c:pt>
                <c:pt idx="286">
                  <c:v>0.35374517129723698</c:v>
                </c:pt>
                <c:pt idx="287">
                  <c:v>0.35330879271171961</c:v>
                </c:pt>
                <c:pt idx="288">
                  <c:v>0.35280655192521093</c:v>
                </c:pt>
                <c:pt idx="289">
                  <c:v>0.35420191935581979</c:v>
                </c:pt>
                <c:pt idx="290">
                  <c:v>0.3538474741949057</c:v>
                </c:pt>
                <c:pt idx="291">
                  <c:v>0.35324050890305325</c:v>
                </c:pt>
                <c:pt idx="292">
                  <c:v>0.35267302551448443</c:v>
                </c:pt>
                <c:pt idx="293">
                  <c:v>0.35207165866831386</c:v>
                </c:pt>
                <c:pt idx="294">
                  <c:v>0.35163793771094465</c:v>
                </c:pt>
                <c:pt idx="295">
                  <c:v>0.3510402532906407</c:v>
                </c:pt>
                <c:pt idx="296">
                  <c:v>0.3505620528969402</c:v>
                </c:pt>
                <c:pt idx="297">
                  <c:v>0.35016714235962632</c:v>
                </c:pt>
                <c:pt idx="298">
                  <c:v>0.34996980187049981</c:v>
                </c:pt>
                <c:pt idx="299">
                  <c:v>0.34938237475224687</c:v>
                </c:pt>
                <c:pt idx="300">
                  <c:v>0.34963013361097944</c:v>
                </c:pt>
                <c:pt idx="301">
                  <c:v>0.35155170674162023</c:v>
                </c:pt>
                <c:pt idx="302">
                  <c:v>0.35111566598352262</c:v>
                </c:pt>
                <c:pt idx="303">
                  <c:v>0.36757496684562585</c:v>
                </c:pt>
                <c:pt idx="304">
                  <c:v>0.36722797653623318</c:v>
                </c:pt>
                <c:pt idx="305">
                  <c:v>0.36704612962809202</c:v>
                </c:pt>
                <c:pt idx="306">
                  <c:v>0.37006384127225039</c:v>
                </c:pt>
                <c:pt idx="307">
                  <c:v>0.36964383438211174</c:v>
                </c:pt>
                <c:pt idx="308">
                  <c:v>0.36906691391637653</c:v>
                </c:pt>
                <c:pt idx="309">
                  <c:v>0.3685065540926854</c:v>
                </c:pt>
                <c:pt idx="310">
                  <c:v>0.36794744748761488</c:v>
                </c:pt>
                <c:pt idx="311">
                  <c:v>0.36746067349044381</c:v>
                </c:pt>
                <c:pt idx="312">
                  <c:v>0.36687837723498989</c:v>
                </c:pt>
                <c:pt idx="313">
                  <c:v>0.36630175469945664</c:v>
                </c:pt>
                <c:pt idx="314">
                  <c:v>0.36571853063602927</c:v>
                </c:pt>
                <c:pt idx="315">
                  <c:v>0.36519230283112208</c:v>
                </c:pt>
                <c:pt idx="316">
                  <c:v>0.36477613743457138</c:v>
                </c:pt>
                <c:pt idx="317">
                  <c:v>0.36421868785433931</c:v>
                </c:pt>
                <c:pt idx="318">
                  <c:v>0.36368405399671344</c:v>
                </c:pt>
                <c:pt idx="319">
                  <c:v>0.36311240060215538</c:v>
                </c:pt>
                <c:pt idx="320">
                  <c:v>0.36256564475592484</c:v>
                </c:pt>
                <c:pt idx="321">
                  <c:v>0.36202544499478717</c:v>
                </c:pt>
                <c:pt idx="322">
                  <c:v>0.36159155840983148</c:v>
                </c:pt>
                <c:pt idx="323">
                  <c:v>0.36103590347828884</c:v>
                </c:pt>
                <c:pt idx="324">
                  <c:v>0.36047958608732461</c:v>
                </c:pt>
                <c:pt idx="325">
                  <c:v>0.36009473393131058</c:v>
                </c:pt>
                <c:pt idx="326">
                  <c:v>0.35957326133174794</c:v>
                </c:pt>
                <c:pt idx="327">
                  <c:v>0.35908901250550984</c:v>
                </c:pt>
                <c:pt idx="328">
                  <c:v>0.35879195158503097</c:v>
                </c:pt>
                <c:pt idx="329">
                  <c:v>0.3583037455998867</c:v>
                </c:pt>
                <c:pt idx="330">
                  <c:v>0.35775897178882049</c:v>
                </c:pt>
                <c:pt idx="331">
                  <c:v>0.35723001747832872</c:v>
                </c:pt>
                <c:pt idx="332">
                  <c:v>0.35680577395997881</c:v>
                </c:pt>
                <c:pt idx="333">
                  <c:v>0.35626868426595099</c:v>
                </c:pt>
                <c:pt idx="334">
                  <c:v>0.35576772600589157</c:v>
                </c:pt>
                <c:pt idx="335">
                  <c:v>0.35529082433819081</c:v>
                </c:pt>
                <c:pt idx="336">
                  <c:v>0.35476017854562014</c:v>
                </c:pt>
                <c:pt idx="337">
                  <c:v>0.35423530326809799</c:v>
                </c:pt>
                <c:pt idx="338">
                  <c:v>0.35371066425752529</c:v>
                </c:pt>
                <c:pt idx="339">
                  <c:v>0.35323287120524727</c:v>
                </c:pt>
                <c:pt idx="340">
                  <c:v>0.35274115689547414</c:v>
                </c:pt>
                <c:pt idx="341">
                  <c:v>0.3522774110686045</c:v>
                </c:pt>
                <c:pt idx="342">
                  <c:v>0.35189592517189633</c:v>
                </c:pt>
                <c:pt idx="343">
                  <c:v>0.35142892173835949</c:v>
                </c:pt>
                <c:pt idx="344">
                  <c:v>0.35092507165589804</c:v>
                </c:pt>
                <c:pt idx="345">
                  <c:v>0.35044708647568024</c:v>
                </c:pt>
                <c:pt idx="346">
                  <c:v>0.35027731512032595</c:v>
                </c:pt>
                <c:pt idx="347">
                  <c:v>0.34986792755966306</c:v>
                </c:pt>
                <c:pt idx="348">
                  <c:v>0.34937088827322704</c:v>
                </c:pt>
                <c:pt idx="349">
                  <c:v>0.34887158546682562</c:v>
                </c:pt>
                <c:pt idx="350">
                  <c:v>0.34848319217701207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1899104"/>
        <c:axId val="511899496"/>
      </c:scatterChart>
      <c:valAx>
        <c:axId val="511899104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899496"/>
        <c:crosses val="autoZero"/>
        <c:crossBetween val="midCat"/>
      </c:valAx>
      <c:valAx>
        <c:axId val="511899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8991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Sharpe</a:t>
            </a:r>
            <a:r>
              <a:rPr lang="en-US" baseline="0"/>
              <a:t> 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Balance!$B$2:$B$443</c:f>
              <c:numCache>
                <c:formatCode>m/d/yyyy</c:formatCode>
                <c:ptCount val="4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</c:numCache>
            </c:numRef>
          </c:xVal>
          <c:yVal>
            <c:numRef>
              <c:f>Balance!$W$2:$W$447</c:f>
              <c:numCache>
                <c:formatCode>0.00</c:formatCode>
                <c:ptCount val="446"/>
                <c:pt idx="0">
                  <c:v>0</c:v>
                </c:pt>
                <c:pt idx="1">
                  <c:v>0</c:v>
                </c:pt>
                <c:pt idx="2">
                  <c:v>-0.68333843636897873</c:v>
                </c:pt>
                <c:pt idx="3">
                  <c:v>-0.80942705329444609</c:v>
                </c:pt>
                <c:pt idx="4">
                  <c:v>-1.1036083869970665</c:v>
                </c:pt>
                <c:pt idx="5">
                  <c:v>-1.1017695385628516</c:v>
                </c:pt>
                <c:pt idx="6">
                  <c:v>-1.3158251812724333</c:v>
                </c:pt>
                <c:pt idx="7">
                  <c:v>-0.58175853636192942</c:v>
                </c:pt>
                <c:pt idx="8">
                  <c:v>-0.31134561916923059</c:v>
                </c:pt>
                <c:pt idx="9">
                  <c:v>-0.27647883703898773</c:v>
                </c:pt>
                <c:pt idx="10">
                  <c:v>-0.27163148665504422</c:v>
                </c:pt>
                <c:pt idx="11">
                  <c:v>-0.32293884713205662</c:v>
                </c:pt>
                <c:pt idx="12">
                  <c:v>-0.30080307101322079</c:v>
                </c:pt>
                <c:pt idx="13">
                  <c:v>-0.29981967174141433</c:v>
                </c:pt>
                <c:pt idx="14">
                  <c:v>-0.33115619282027942</c:v>
                </c:pt>
                <c:pt idx="15">
                  <c:v>-0.29390190582659192</c:v>
                </c:pt>
                <c:pt idx="16">
                  <c:v>-0.35406777953648449</c:v>
                </c:pt>
                <c:pt idx="17">
                  <c:v>-0.35450344661190919</c:v>
                </c:pt>
                <c:pt idx="18">
                  <c:v>-0.36760230668590366</c:v>
                </c:pt>
                <c:pt idx="19">
                  <c:v>-0.35621027390387933</c:v>
                </c:pt>
                <c:pt idx="20">
                  <c:v>-0.34742948176436061</c:v>
                </c:pt>
                <c:pt idx="21">
                  <c:v>-0.32059032754381772</c:v>
                </c:pt>
                <c:pt idx="22">
                  <c:v>-0.32339038386121877</c:v>
                </c:pt>
                <c:pt idx="23">
                  <c:v>-0.37668180302729731</c:v>
                </c:pt>
                <c:pt idx="24">
                  <c:v>-0.36892106013481385</c:v>
                </c:pt>
                <c:pt idx="25">
                  <c:v>-0.42656283124902872</c:v>
                </c:pt>
                <c:pt idx="26">
                  <c:v>-0.47796845756393919</c:v>
                </c:pt>
                <c:pt idx="27">
                  <c:v>-0.47456202026737232</c:v>
                </c:pt>
                <c:pt idx="28">
                  <c:v>-0.50295417532693776</c:v>
                </c:pt>
                <c:pt idx="29">
                  <c:v>-0.57666630350976855</c:v>
                </c:pt>
                <c:pt idx="30">
                  <c:v>-0.55993701093287374</c:v>
                </c:pt>
                <c:pt idx="31">
                  <c:v>-0.49062830443803934</c:v>
                </c:pt>
                <c:pt idx="32">
                  <c:v>-0.48856479544153886</c:v>
                </c:pt>
                <c:pt idx="33">
                  <c:v>-0.36697464009098302</c:v>
                </c:pt>
                <c:pt idx="34">
                  <c:v>-0.28144234872565721</c:v>
                </c:pt>
                <c:pt idx="35">
                  <c:v>-0.27606168138048071</c:v>
                </c:pt>
                <c:pt idx="36">
                  <c:v>-0.26440988350704403</c:v>
                </c:pt>
                <c:pt idx="37">
                  <c:v>-0.24777554448380479</c:v>
                </c:pt>
                <c:pt idx="38">
                  <c:v>-0.27080520381726514</c:v>
                </c:pt>
                <c:pt idx="39">
                  <c:v>-0.2941945007596537</c:v>
                </c:pt>
                <c:pt idx="40">
                  <c:v>-0.30777298810139764</c:v>
                </c:pt>
                <c:pt idx="41">
                  <c:v>-0.29033617999749817</c:v>
                </c:pt>
                <c:pt idx="42">
                  <c:v>-0.26858979201410127</c:v>
                </c:pt>
                <c:pt idx="43">
                  <c:v>-0.28452745573794236</c:v>
                </c:pt>
                <c:pt idx="44">
                  <c:v>-0.27527013142402956</c:v>
                </c:pt>
                <c:pt idx="45">
                  <c:v>-0.32078773835392699</c:v>
                </c:pt>
                <c:pt idx="46">
                  <c:v>-0.36850117790259329</c:v>
                </c:pt>
                <c:pt idx="47">
                  <c:v>-0.34740689700343486</c:v>
                </c:pt>
                <c:pt idx="48">
                  <c:v>-0.34049100868323351</c:v>
                </c:pt>
                <c:pt idx="49">
                  <c:v>-0.40047766312825195</c:v>
                </c:pt>
                <c:pt idx="50">
                  <c:v>-0.41492325395837537</c:v>
                </c:pt>
                <c:pt idx="51">
                  <c:v>-0.35486663243011873</c:v>
                </c:pt>
                <c:pt idx="52">
                  <c:v>-0.38963580583918311</c:v>
                </c:pt>
                <c:pt idx="53">
                  <c:v>-0.37753456095575649</c:v>
                </c:pt>
                <c:pt idx="54">
                  <c:v>-0.33362642337690757</c:v>
                </c:pt>
                <c:pt idx="55">
                  <c:v>-0.29364216771650808</c:v>
                </c:pt>
                <c:pt idx="56">
                  <c:v>-0.3011579870788354</c:v>
                </c:pt>
                <c:pt idx="57">
                  <c:v>-0.37667857044293201</c:v>
                </c:pt>
                <c:pt idx="58">
                  <c:v>-0.38170290893670711</c:v>
                </c:pt>
                <c:pt idx="59">
                  <c:v>-0.41890849869173857</c:v>
                </c:pt>
                <c:pt idx="60">
                  <c:v>-0.42669812001455287</c:v>
                </c:pt>
                <c:pt idx="61">
                  <c:v>-0.46935744454331552</c:v>
                </c:pt>
                <c:pt idx="62">
                  <c:v>-0.51783467365705071</c:v>
                </c:pt>
                <c:pt idx="63">
                  <c:v>-0.51831586488636772</c:v>
                </c:pt>
                <c:pt idx="64">
                  <c:v>-0.46186531469242181</c:v>
                </c:pt>
                <c:pt idx="65">
                  <c:v>-0.4773765439016453</c:v>
                </c:pt>
                <c:pt idx="66">
                  <c:v>-0.40851557483269535</c:v>
                </c:pt>
                <c:pt idx="67">
                  <c:v>-0.39559233295004559</c:v>
                </c:pt>
                <c:pt idx="68">
                  <c:v>-0.41239137425355088</c:v>
                </c:pt>
                <c:pt idx="69">
                  <c:v>-0.39369667725600893</c:v>
                </c:pt>
                <c:pt idx="70">
                  <c:v>-0.3568745397829991</c:v>
                </c:pt>
                <c:pt idx="71">
                  <c:v>-0.35138286934666213</c:v>
                </c:pt>
                <c:pt idx="72">
                  <c:v>-0.37448998717795878</c:v>
                </c:pt>
                <c:pt idx="73">
                  <c:v>-0.35296554609895131</c:v>
                </c:pt>
                <c:pt idx="74">
                  <c:v>-0.32922587919873542</c:v>
                </c:pt>
                <c:pt idx="75">
                  <c:v>-0.42255234860873886</c:v>
                </c:pt>
                <c:pt idx="76">
                  <c:v>-0.46755240020265992</c:v>
                </c:pt>
                <c:pt idx="77">
                  <c:v>-0.49837682414724838</c:v>
                </c:pt>
                <c:pt idx="78">
                  <c:v>-0.62151814669932737</c:v>
                </c:pt>
                <c:pt idx="79">
                  <c:v>-0.64667598872286047</c:v>
                </c:pt>
                <c:pt idx="80">
                  <c:v>-0.66268326697913837</c:v>
                </c:pt>
                <c:pt idx="81">
                  <c:v>-0.62429401418788066</c:v>
                </c:pt>
                <c:pt idx="82">
                  <c:v>-0.69633472540397345</c:v>
                </c:pt>
                <c:pt idx="83">
                  <c:v>-0.68207675970635762</c:v>
                </c:pt>
                <c:pt idx="84">
                  <c:v>-0.70264873680696449</c:v>
                </c:pt>
                <c:pt idx="85">
                  <c:v>-0.66235190197565297</c:v>
                </c:pt>
                <c:pt idx="86">
                  <c:v>-0.70711156372046091</c:v>
                </c:pt>
                <c:pt idx="87">
                  <c:v>-0.70577304951885234</c:v>
                </c:pt>
                <c:pt idx="88">
                  <c:v>-0.6615511775208901</c:v>
                </c:pt>
                <c:pt idx="89">
                  <c:v>-0.65606018508109465</c:v>
                </c:pt>
                <c:pt idx="90">
                  <c:v>-0.57763264193327502</c:v>
                </c:pt>
                <c:pt idx="91">
                  <c:v>-0.57458973549743364</c:v>
                </c:pt>
                <c:pt idx="92">
                  <c:v>-0.63304083382105092</c:v>
                </c:pt>
                <c:pt idx="93">
                  <c:v>-0.620669985770402</c:v>
                </c:pt>
                <c:pt idx="94">
                  <c:v>-0.68738691527438067</c:v>
                </c:pt>
                <c:pt idx="95">
                  <c:v>-0.66615620331101166</c:v>
                </c:pt>
                <c:pt idx="96">
                  <c:v>-0.6443857396961773</c:v>
                </c:pt>
                <c:pt idx="97">
                  <c:v>-0.62702510093444785</c:v>
                </c:pt>
                <c:pt idx="98">
                  <c:v>-0.75567204390462683</c:v>
                </c:pt>
                <c:pt idx="99">
                  <c:v>-0.83500273428026273</c:v>
                </c:pt>
                <c:pt idx="100">
                  <c:v>-0.87538203671336734</c:v>
                </c:pt>
                <c:pt idx="101">
                  <c:v>-0.96360404908630648</c:v>
                </c:pt>
                <c:pt idx="102">
                  <c:v>-1.0130498269859953</c:v>
                </c:pt>
                <c:pt idx="103">
                  <c:v>-1.0951154826367826</c:v>
                </c:pt>
                <c:pt idx="104">
                  <c:v>-1.023936448780679</c:v>
                </c:pt>
                <c:pt idx="105">
                  <c:v>-1.1152897307201377</c:v>
                </c:pt>
                <c:pt idx="106">
                  <c:v>-1.1686742669521146</c:v>
                </c:pt>
                <c:pt idx="107">
                  <c:v>-1.1935229211007214</c:v>
                </c:pt>
                <c:pt idx="108">
                  <c:v>-1.028249400405955</c:v>
                </c:pt>
                <c:pt idx="109">
                  <c:v>-0.99170799231863693</c:v>
                </c:pt>
                <c:pt idx="110">
                  <c:v>-1.0816247024430758</c:v>
                </c:pt>
                <c:pt idx="111">
                  <c:v>-1.0363958086835598</c:v>
                </c:pt>
                <c:pt idx="112">
                  <c:v>-1.0143071432824</c:v>
                </c:pt>
                <c:pt idx="113">
                  <c:v>-0.97937309577576737</c:v>
                </c:pt>
                <c:pt idx="114">
                  <c:v>-0.84598620235401389</c:v>
                </c:pt>
                <c:pt idx="115">
                  <c:v>-0.85541186331891816</c:v>
                </c:pt>
                <c:pt idx="116">
                  <c:v>-0.93342273997435232</c:v>
                </c:pt>
                <c:pt idx="117">
                  <c:v>-0.83558889367993483</c:v>
                </c:pt>
                <c:pt idx="118">
                  <c:v>-0.83134612054743251</c:v>
                </c:pt>
                <c:pt idx="119">
                  <c:v>-0.91133875009244292</c:v>
                </c:pt>
                <c:pt idx="120">
                  <c:v>-0.98499315992552172</c:v>
                </c:pt>
                <c:pt idx="121">
                  <c:v>-1.0214490025082481</c:v>
                </c:pt>
                <c:pt idx="122">
                  <c:v>-1.0452541340617805</c:v>
                </c:pt>
                <c:pt idx="123">
                  <c:v>-1.080603955096751</c:v>
                </c:pt>
                <c:pt idx="124">
                  <c:v>-1.037487430986719</c:v>
                </c:pt>
                <c:pt idx="125">
                  <c:v>-0.9926553633822599</c:v>
                </c:pt>
                <c:pt idx="126">
                  <c:v>-0.95600595635044083</c:v>
                </c:pt>
                <c:pt idx="127">
                  <c:v>-1.0036909595903156</c:v>
                </c:pt>
                <c:pt idx="128">
                  <c:v>-1.040249231277107</c:v>
                </c:pt>
                <c:pt idx="129">
                  <c:v>-0.94807103186629582</c:v>
                </c:pt>
                <c:pt idx="130">
                  <c:v>-1.0042171104255528</c:v>
                </c:pt>
                <c:pt idx="131">
                  <c:v>-0.98347002998747601</c:v>
                </c:pt>
                <c:pt idx="132">
                  <c:v>-0.97330731574591178</c:v>
                </c:pt>
                <c:pt idx="133">
                  <c:v>-0.92457970345521501</c:v>
                </c:pt>
                <c:pt idx="134">
                  <c:v>-0.91349382599999518</c:v>
                </c:pt>
                <c:pt idx="135">
                  <c:v>-0.90274402703738066</c:v>
                </c:pt>
                <c:pt idx="136">
                  <c:v>-0.77507557954319672</c:v>
                </c:pt>
                <c:pt idx="137">
                  <c:v>-0.70428357877221948</c:v>
                </c:pt>
                <c:pt idx="138">
                  <c:v>-0.63608473880097494</c:v>
                </c:pt>
                <c:pt idx="139">
                  <c:v>-0.63739558112419026</c:v>
                </c:pt>
                <c:pt idx="140">
                  <c:v>-0.72508331003838344</c:v>
                </c:pt>
                <c:pt idx="141">
                  <c:v>-0.69747587364504648</c:v>
                </c:pt>
                <c:pt idx="142">
                  <c:v>-0.68142600829216782</c:v>
                </c:pt>
                <c:pt idx="143">
                  <c:v>-0.61815457083530689</c:v>
                </c:pt>
                <c:pt idx="144">
                  <c:v>-0.63319507183270518</c:v>
                </c:pt>
                <c:pt idx="145">
                  <c:v>-0.63365651769763942</c:v>
                </c:pt>
                <c:pt idx="146">
                  <c:v>-0.62375992142499681</c:v>
                </c:pt>
                <c:pt idx="147">
                  <c:v>-0.6220746830230377</c:v>
                </c:pt>
                <c:pt idx="148">
                  <c:v>-0.59896678137356574</c:v>
                </c:pt>
                <c:pt idx="149">
                  <c:v>-0.60010657323495131</c:v>
                </c:pt>
                <c:pt idx="150">
                  <c:v>-0.61115071166707902</c:v>
                </c:pt>
                <c:pt idx="151">
                  <c:v>-0.71125205185546847</c:v>
                </c:pt>
                <c:pt idx="152">
                  <c:v>-0.71054838997446346</c:v>
                </c:pt>
                <c:pt idx="153">
                  <c:v>-0.72680549836024944</c:v>
                </c:pt>
                <c:pt idx="154">
                  <c:v>-0.70366844533957928</c:v>
                </c:pt>
                <c:pt idx="155">
                  <c:v>-0.68828534357784554</c:v>
                </c:pt>
                <c:pt idx="156">
                  <c:v>-0.64161101333420545</c:v>
                </c:pt>
                <c:pt idx="157">
                  <c:v>-0.65459033550694867</c:v>
                </c:pt>
                <c:pt idx="158">
                  <c:v>-0.67199421682345772</c:v>
                </c:pt>
                <c:pt idx="159">
                  <c:v>-0.68321683303878389</c:v>
                </c:pt>
                <c:pt idx="160">
                  <c:v>-0.65389619265055354</c:v>
                </c:pt>
                <c:pt idx="161">
                  <c:v>-0.64576712483019405</c:v>
                </c:pt>
                <c:pt idx="162">
                  <c:v>-0.6012372836140647</c:v>
                </c:pt>
                <c:pt idx="163">
                  <c:v>-0.61665631137014731</c:v>
                </c:pt>
                <c:pt idx="164">
                  <c:v>-0.52945108632147042</c:v>
                </c:pt>
                <c:pt idx="165">
                  <c:v>-0.51256414711140119</c:v>
                </c:pt>
                <c:pt idx="166">
                  <c:v>-0.51687732856267177</c:v>
                </c:pt>
                <c:pt idx="167">
                  <c:v>-0.51542825391438329</c:v>
                </c:pt>
                <c:pt idx="168">
                  <c:v>-0.48379877316004366</c:v>
                </c:pt>
                <c:pt idx="169">
                  <c:v>-0.4504977761828623</c:v>
                </c:pt>
                <c:pt idx="170">
                  <c:v>-0.44541128432764099</c:v>
                </c:pt>
                <c:pt idx="171">
                  <c:v>-0.46033940675573293</c:v>
                </c:pt>
                <c:pt idx="172">
                  <c:v>-0.43404461026348407</c:v>
                </c:pt>
                <c:pt idx="173">
                  <c:v>-0.47229426874738822</c:v>
                </c:pt>
                <c:pt idx="174">
                  <c:v>-0.39977975447523584</c:v>
                </c:pt>
                <c:pt idx="175">
                  <c:v>-0.37049772074294612</c:v>
                </c:pt>
                <c:pt idx="176">
                  <c:v>-0.40049175612757026</c:v>
                </c:pt>
                <c:pt idx="177">
                  <c:v>-0.44772078039883456</c:v>
                </c:pt>
                <c:pt idx="178">
                  <c:v>-0.48537228831508195</c:v>
                </c:pt>
                <c:pt idx="179">
                  <c:v>-0.5452571876818868</c:v>
                </c:pt>
                <c:pt idx="180">
                  <c:v>-0.60698515730342806</c:v>
                </c:pt>
                <c:pt idx="181">
                  <c:v>-0.60564282927236923</c:v>
                </c:pt>
                <c:pt idx="182">
                  <c:v>-0.60924753471243354</c:v>
                </c:pt>
                <c:pt idx="183">
                  <c:v>-0.65075435554947725</c:v>
                </c:pt>
                <c:pt idx="184">
                  <c:v>-0.6084139790297225</c:v>
                </c:pt>
                <c:pt idx="185">
                  <c:v>-0.58371140107639852</c:v>
                </c:pt>
                <c:pt idx="186">
                  <c:v>-0.61386001915834465</c:v>
                </c:pt>
                <c:pt idx="187">
                  <c:v>-0.6191474754801024</c:v>
                </c:pt>
                <c:pt idx="188">
                  <c:v>-0.57831527146908224</c:v>
                </c:pt>
                <c:pt idx="189">
                  <c:v>-0.57400531087054396</c:v>
                </c:pt>
                <c:pt idx="190">
                  <c:v>-0.5769624859289274</c:v>
                </c:pt>
                <c:pt idx="191">
                  <c:v>-0.57358826427932663</c:v>
                </c:pt>
                <c:pt idx="192">
                  <c:v>-0.51563099482586394</c:v>
                </c:pt>
                <c:pt idx="193">
                  <c:v>-0.50041707622316867</c:v>
                </c:pt>
                <c:pt idx="194">
                  <c:v>-0.4919247378667303</c:v>
                </c:pt>
                <c:pt idx="195">
                  <c:v>-0.45928239402736104</c:v>
                </c:pt>
                <c:pt idx="196">
                  <c:v>-0.4739808785397634</c:v>
                </c:pt>
                <c:pt idx="197">
                  <c:v>-0.47749327981736855</c:v>
                </c:pt>
                <c:pt idx="198">
                  <c:v>-0.45449456545589734</c:v>
                </c:pt>
                <c:pt idx="199">
                  <c:v>-0.43208999286266453</c:v>
                </c:pt>
                <c:pt idx="200">
                  <c:v>-0.42410199427288919</c:v>
                </c:pt>
                <c:pt idx="201">
                  <c:v>-0.4367378029444976</c:v>
                </c:pt>
                <c:pt idx="202">
                  <c:v>-0.39065616902927447</c:v>
                </c:pt>
                <c:pt idx="203">
                  <c:v>-0.34622436864586859</c:v>
                </c:pt>
                <c:pt idx="204">
                  <c:v>-0.36211646609079928</c:v>
                </c:pt>
                <c:pt idx="205">
                  <c:v>-0.37676418468620049</c:v>
                </c:pt>
                <c:pt idx="206">
                  <c:v>-0.44523095731980167</c:v>
                </c:pt>
                <c:pt idx="207">
                  <c:v>-0.4670492618609462</c:v>
                </c:pt>
                <c:pt idx="208">
                  <c:v>-0.48543376785639597</c:v>
                </c:pt>
                <c:pt idx="209">
                  <c:v>-0.49713274722725376</c:v>
                </c:pt>
                <c:pt idx="210">
                  <c:v>-0.52428534124508441</c:v>
                </c:pt>
                <c:pt idx="211">
                  <c:v>-0.47828555779899629</c:v>
                </c:pt>
                <c:pt idx="212">
                  <c:v>-0.38840060718486369</c:v>
                </c:pt>
                <c:pt idx="213">
                  <c:v>-0.34146350358891847</c:v>
                </c:pt>
                <c:pt idx="214">
                  <c:v>-0.36203299328835242</c:v>
                </c:pt>
                <c:pt idx="215">
                  <c:v>-0.29651927106006287</c:v>
                </c:pt>
                <c:pt idx="216">
                  <c:v>-0.36933723914539318</c:v>
                </c:pt>
                <c:pt idx="217">
                  <c:v>-0.47597898148325529</c:v>
                </c:pt>
                <c:pt idx="218">
                  <c:v>-0.34471145902488842</c:v>
                </c:pt>
                <c:pt idx="219">
                  <c:v>-0.29588676584144369</c:v>
                </c:pt>
                <c:pt idx="220">
                  <c:v>-0.27280717324850662</c:v>
                </c:pt>
                <c:pt idx="221">
                  <c:v>-0.27042527213155731</c:v>
                </c:pt>
                <c:pt idx="222">
                  <c:v>-0.34805388740925841</c:v>
                </c:pt>
                <c:pt idx="223">
                  <c:v>-0.3451863960051802</c:v>
                </c:pt>
                <c:pt idx="224">
                  <c:v>-0.32930986645066468</c:v>
                </c:pt>
                <c:pt idx="225">
                  <c:v>-0.28651736353102708</c:v>
                </c:pt>
                <c:pt idx="226">
                  <c:v>-0.28717162139132801</c:v>
                </c:pt>
                <c:pt idx="227">
                  <c:v>-0.18994826157434069</c:v>
                </c:pt>
                <c:pt idx="228">
                  <c:v>-0.20776650350817749</c:v>
                </c:pt>
                <c:pt idx="229">
                  <c:v>-0.1949413808348196</c:v>
                </c:pt>
                <c:pt idx="230">
                  <c:v>-0.20957388135800326</c:v>
                </c:pt>
                <c:pt idx="231">
                  <c:v>-0.201138553007633</c:v>
                </c:pt>
                <c:pt idx="232">
                  <c:v>-0.23897066998854954</c:v>
                </c:pt>
                <c:pt idx="233">
                  <c:v>-0.21976670949867452</c:v>
                </c:pt>
                <c:pt idx="234">
                  <c:v>-0.26433322431693346</c:v>
                </c:pt>
                <c:pt idx="235">
                  <c:v>-0.28423270609368756</c:v>
                </c:pt>
                <c:pt idx="236">
                  <c:v>-0.29631800520923551</c:v>
                </c:pt>
                <c:pt idx="237">
                  <c:v>-0.26161477034386266</c:v>
                </c:pt>
                <c:pt idx="238">
                  <c:v>-0.32646725323698839</c:v>
                </c:pt>
                <c:pt idx="239">
                  <c:v>-0.32264757844205921</c:v>
                </c:pt>
                <c:pt idx="240">
                  <c:v>-0.3168485838021402</c:v>
                </c:pt>
                <c:pt idx="241">
                  <c:v>-0.36881057696322023</c:v>
                </c:pt>
                <c:pt idx="242">
                  <c:v>-0.39575366040362731</c:v>
                </c:pt>
                <c:pt idx="243">
                  <c:v>-0.35430648559671674</c:v>
                </c:pt>
                <c:pt idx="244">
                  <c:v>-0.34656752172420313</c:v>
                </c:pt>
                <c:pt idx="245">
                  <c:v>-0.28674745953718778</c:v>
                </c:pt>
                <c:pt idx="246">
                  <c:v>-0.26559290860964568</c:v>
                </c:pt>
                <c:pt idx="247">
                  <c:v>-0.26562857000260015</c:v>
                </c:pt>
                <c:pt idx="248">
                  <c:v>-0.30898385407743301</c:v>
                </c:pt>
                <c:pt idx="249">
                  <c:v>-0.2116648310114819</c:v>
                </c:pt>
                <c:pt idx="250">
                  <c:v>-0.19675557364140292</c:v>
                </c:pt>
                <c:pt idx="251">
                  <c:v>-0.1674260897781206</c:v>
                </c:pt>
                <c:pt idx="252">
                  <c:v>-0.12029921565243348</c:v>
                </c:pt>
                <c:pt idx="253">
                  <c:v>-0.11681464145353668</c:v>
                </c:pt>
                <c:pt idx="254">
                  <c:v>-0.15590870667841411</c:v>
                </c:pt>
                <c:pt idx="255">
                  <c:v>-0.1116089786338815</c:v>
                </c:pt>
                <c:pt idx="256">
                  <c:v>-0.13635496693319452</c:v>
                </c:pt>
                <c:pt idx="257">
                  <c:v>-0.13153417652213611</c:v>
                </c:pt>
                <c:pt idx="258">
                  <c:v>-0.1294083738586233</c:v>
                </c:pt>
                <c:pt idx="259">
                  <c:v>-0.11779488492760141</c:v>
                </c:pt>
                <c:pt idx="260">
                  <c:v>-0.14150042567609866</c:v>
                </c:pt>
                <c:pt idx="261">
                  <c:v>-0.17148358703917072</c:v>
                </c:pt>
                <c:pt idx="262">
                  <c:v>-0.17814869949059492</c:v>
                </c:pt>
                <c:pt idx="263">
                  <c:v>-0.13918023811748198</c:v>
                </c:pt>
                <c:pt idx="264">
                  <c:v>-0.11802358199088389</c:v>
                </c:pt>
                <c:pt idx="265">
                  <c:v>-9.0328635068432694E-2</c:v>
                </c:pt>
                <c:pt idx="266">
                  <c:v>-1.9942867556678505E-2</c:v>
                </c:pt>
                <c:pt idx="267">
                  <c:v>-9.5327368769720547E-2</c:v>
                </c:pt>
                <c:pt idx="268">
                  <c:v>-8.9681495453419177E-2</c:v>
                </c:pt>
                <c:pt idx="269">
                  <c:v>-0.17790174581169885</c:v>
                </c:pt>
                <c:pt idx="270">
                  <c:v>-0.20285683554436748</c:v>
                </c:pt>
                <c:pt idx="271">
                  <c:v>-0.16734663057456206</c:v>
                </c:pt>
                <c:pt idx="272">
                  <c:v>-0.16751212121348055</c:v>
                </c:pt>
                <c:pt idx="273">
                  <c:v>-0.18690508544761888</c:v>
                </c:pt>
                <c:pt idx="274">
                  <c:v>-0.19006699378210126</c:v>
                </c:pt>
                <c:pt idx="275">
                  <c:v>-0.1221082294002179</c:v>
                </c:pt>
                <c:pt idx="276">
                  <c:v>-0.10323383379501101</c:v>
                </c:pt>
                <c:pt idx="277">
                  <c:v>-0.13187822013168105</c:v>
                </c:pt>
                <c:pt idx="278">
                  <c:v>-0.15096911313105432</c:v>
                </c:pt>
                <c:pt idx="279">
                  <c:v>-0.16932351779410335</c:v>
                </c:pt>
                <c:pt idx="280">
                  <c:v>-9.9683429464585013E-2</c:v>
                </c:pt>
                <c:pt idx="281">
                  <c:v>-7.3754421986269442E-2</c:v>
                </c:pt>
                <c:pt idx="282">
                  <c:v>-7.2660459019862719E-2</c:v>
                </c:pt>
                <c:pt idx="283">
                  <c:v>-7.1876150737505931E-2</c:v>
                </c:pt>
                <c:pt idx="284">
                  <c:v>-0.10406131647207613</c:v>
                </c:pt>
                <c:pt idx="285">
                  <c:v>-6.6367993215331003E-2</c:v>
                </c:pt>
                <c:pt idx="286">
                  <c:v>-6.4510845240131703E-2</c:v>
                </c:pt>
                <c:pt idx="287">
                  <c:v>-9.6755446524912025E-2</c:v>
                </c:pt>
                <c:pt idx="288">
                  <c:v>-6.944003694464651E-2</c:v>
                </c:pt>
                <c:pt idx="289">
                  <c:v>-0.17892887230894319</c:v>
                </c:pt>
                <c:pt idx="290">
                  <c:v>-0.13977314692589091</c:v>
                </c:pt>
                <c:pt idx="291">
                  <c:v>-0.13431755080225424</c:v>
                </c:pt>
                <c:pt idx="292">
                  <c:v>-0.14889648825110774</c:v>
                </c:pt>
                <c:pt idx="293">
                  <c:v>-0.15237885151824149</c:v>
                </c:pt>
                <c:pt idx="294">
                  <c:v>-0.18311690262764249</c:v>
                </c:pt>
                <c:pt idx="295">
                  <c:v>-0.18031336693343156</c:v>
                </c:pt>
                <c:pt idx="296">
                  <c:v>-0.20591867945622133</c:v>
                </c:pt>
                <c:pt idx="297">
                  <c:v>-0.23919413008196941</c:v>
                </c:pt>
                <c:pt idx="298">
                  <c:v>-0.2858327331825487</c:v>
                </c:pt>
                <c:pt idx="299">
                  <c:v>-0.28459349178821342</c:v>
                </c:pt>
                <c:pt idx="300">
                  <c:v>-0.35164045710314945</c:v>
                </c:pt>
                <c:pt idx="301">
                  <c:v>-0.23521525685771985</c:v>
                </c:pt>
                <c:pt idx="302">
                  <c:v>-0.26400780136181706</c:v>
                </c:pt>
                <c:pt idx="303">
                  <c:v>4.7792155572383921E-2</c:v>
                </c:pt>
                <c:pt idx="304">
                  <c:v>7.5258427368952606E-3</c:v>
                </c:pt>
                <c:pt idx="305">
                  <c:v>-4.3813566475403652E-2</c:v>
                </c:pt>
                <c:pt idx="306">
                  <c:v>0.12479391157737843</c:v>
                </c:pt>
                <c:pt idx="307">
                  <c:v>9.0376572662128882E-2</c:v>
                </c:pt>
                <c:pt idx="308">
                  <c:v>0.12345656469129385</c:v>
                </c:pt>
                <c:pt idx="309">
                  <c:v>0.14246033369996111</c:v>
                </c:pt>
                <c:pt idx="310">
                  <c:v>0.16136588817799913</c:v>
                </c:pt>
                <c:pt idx="311">
                  <c:v>0.19205719620633616</c:v>
                </c:pt>
                <c:pt idx="312">
                  <c:v>0.20285759882490184</c:v>
                </c:pt>
                <c:pt idx="313">
                  <c:v>0.21499833308547231</c:v>
                </c:pt>
                <c:pt idx="314">
                  <c:v>0.22195047064974519</c:v>
                </c:pt>
                <c:pt idx="315">
                  <c:v>0.24582728780800234</c:v>
                </c:pt>
                <c:pt idx="316">
                  <c:v>0.21188867746919701</c:v>
                </c:pt>
                <c:pt idx="317">
                  <c:v>0.22716187488185255</c:v>
                </c:pt>
                <c:pt idx="318">
                  <c:v>0.24788475695485976</c:v>
                </c:pt>
                <c:pt idx="319">
                  <c:v>0.24835532978342675</c:v>
                </c:pt>
                <c:pt idx="320">
                  <c:v>0.23729937252581892</c:v>
                </c:pt>
                <c:pt idx="321">
                  <c:v>0.22506042358755554</c:v>
                </c:pt>
                <c:pt idx="322">
                  <c:v>0.2604207181922229</c:v>
                </c:pt>
                <c:pt idx="323">
                  <c:v>0.27050384479523898</c:v>
                </c:pt>
                <c:pt idx="324">
                  <c:v>0.27841687538913068</c:v>
                </c:pt>
                <c:pt idx="325">
                  <c:v>0.24255635652624583</c:v>
                </c:pt>
                <c:pt idx="326">
                  <c:v>0.22847017701594963</c:v>
                </c:pt>
                <c:pt idx="327">
                  <c:v>0.2070923849246403</c:v>
                </c:pt>
                <c:pt idx="328">
                  <c:v>0.25539080868972786</c:v>
                </c:pt>
                <c:pt idx="329">
                  <c:v>0.2807396459064494</c:v>
                </c:pt>
                <c:pt idx="330">
                  <c:v>0.28484326423401735</c:v>
                </c:pt>
                <c:pt idx="331">
                  <c:v>0.27671965352873401</c:v>
                </c:pt>
                <c:pt idx="332">
                  <c:v>0.24732241770438623</c:v>
                </c:pt>
                <c:pt idx="333">
                  <c:v>0.25241548669543801</c:v>
                </c:pt>
                <c:pt idx="334">
                  <c:v>0.2725169436300352</c:v>
                </c:pt>
                <c:pt idx="335">
                  <c:v>0.2527832426687654</c:v>
                </c:pt>
                <c:pt idx="336">
                  <c:v>0.25601661486456945</c:v>
                </c:pt>
                <c:pt idx="337">
                  <c:v>0.25314143594961397</c:v>
                </c:pt>
                <c:pt idx="338">
                  <c:v>0.25235032194283358</c:v>
                </c:pt>
                <c:pt idx="339">
                  <c:v>0.23461717964477147</c:v>
                </c:pt>
                <c:pt idx="340">
                  <c:v>0.25346328769859666</c:v>
                </c:pt>
                <c:pt idx="341">
                  <c:v>0.23360036933309739</c:v>
                </c:pt>
                <c:pt idx="342">
                  <c:v>0.27102426175223626</c:v>
                </c:pt>
                <c:pt idx="343">
                  <c:v>0.29479721291635075</c:v>
                </c:pt>
                <c:pt idx="344">
                  <c:v>0.28849330387144412</c:v>
                </c:pt>
                <c:pt idx="345">
                  <c:v>0.27373338335150837</c:v>
                </c:pt>
                <c:pt idx="346">
                  <c:v>0.21974512767660204</c:v>
                </c:pt>
                <c:pt idx="347">
                  <c:v>0.25190619961862737</c:v>
                </c:pt>
                <c:pt idx="348">
                  <c:v>0.24614453069735992</c:v>
                </c:pt>
                <c:pt idx="349">
                  <c:v>0.25403081542093836</c:v>
                </c:pt>
                <c:pt idx="350">
                  <c:v>0.28903899985560844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1897536"/>
        <c:axId val="511897144"/>
      </c:scatterChart>
      <c:valAx>
        <c:axId val="511897536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897144"/>
        <c:crosses val="autoZero"/>
        <c:crossBetween val="midCat"/>
      </c:valAx>
      <c:valAx>
        <c:axId val="511897144"/>
        <c:scaling>
          <c:orientation val="minMax"/>
          <c:max val="0.5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8975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Cash (10K)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Balance!$B$2:$B$361</c:f>
              <c:numCache>
                <c:formatCode>m/d/yyyy</c:formatCode>
                <c:ptCount val="36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</c:numCache>
            </c:numRef>
          </c:xVal>
          <c:yVal>
            <c:numRef>
              <c:f>Balance!$R$2:$R$427</c:f>
              <c:numCache>
                <c:formatCode>0.00%</c:formatCode>
                <c:ptCount val="426"/>
                <c:pt idx="146" formatCode="0.00">
                  <c:v>89505.579999999987</c:v>
                </c:pt>
                <c:pt idx="147" formatCode="0.00">
                  <c:v>96897.989999999991</c:v>
                </c:pt>
                <c:pt idx="148" formatCode="0.00">
                  <c:v>113229.37</c:v>
                </c:pt>
                <c:pt idx="149" formatCode="0.00">
                  <c:v>111694.08000000002</c:v>
                </c:pt>
                <c:pt idx="150" formatCode="0.00">
                  <c:v>92228.229999999981</c:v>
                </c:pt>
                <c:pt idx="151" formatCode="0.00">
                  <c:v>49825.369999999966</c:v>
                </c:pt>
                <c:pt idx="152" formatCode="0.00">
                  <c:v>50321.819999999978</c:v>
                </c:pt>
                <c:pt idx="153" formatCode="0.00">
                  <c:v>49825.370000000024</c:v>
                </c:pt>
                <c:pt idx="154" formatCode="0.00">
                  <c:v>49825.369999999966</c:v>
                </c:pt>
                <c:pt idx="155" formatCode="0.00">
                  <c:v>71355</c:v>
                </c:pt>
                <c:pt idx="156" formatCode="0.00">
                  <c:v>92840.6</c:v>
                </c:pt>
                <c:pt idx="157" formatCode="0.00">
                  <c:v>94371.66</c:v>
                </c:pt>
                <c:pt idx="158" formatCode="0.00">
                  <c:v>91840.659999999974</c:v>
                </c:pt>
                <c:pt idx="159" formatCode="0.00">
                  <c:v>91875.639999999985</c:v>
                </c:pt>
                <c:pt idx="160" formatCode="0.00">
                  <c:v>88280.260000000009</c:v>
                </c:pt>
                <c:pt idx="161" formatCode="0.00">
                  <c:v>86005.32</c:v>
                </c:pt>
                <c:pt idx="162" formatCode="0.00">
                  <c:v>103580.77999999997</c:v>
                </c:pt>
                <c:pt idx="163" formatCode="0.00">
                  <c:v>91550.869999999966</c:v>
                </c:pt>
                <c:pt idx="164" formatCode="0.00">
                  <c:v>101762.51999999999</c:v>
                </c:pt>
                <c:pt idx="165" formatCode="0.00">
                  <c:v>97793.439999999973</c:v>
                </c:pt>
                <c:pt idx="166" formatCode="0.00">
                  <c:v>97083.859999999986</c:v>
                </c:pt>
                <c:pt idx="167" formatCode="0.00">
                  <c:v>90575.610000000015</c:v>
                </c:pt>
                <c:pt idx="168" formatCode="0.00">
                  <c:v>100936.63999999998</c:v>
                </c:pt>
                <c:pt idx="169" formatCode="0.00">
                  <c:v>108811.45999999999</c:v>
                </c:pt>
                <c:pt idx="170" formatCode="0.00">
                  <c:v>104215.39000000001</c:v>
                </c:pt>
                <c:pt idx="171" formatCode="0.00">
                  <c:v>104215.39000000001</c:v>
                </c:pt>
                <c:pt idx="172" formatCode="0.00">
                  <c:v>100871.44000000003</c:v>
                </c:pt>
                <c:pt idx="173" formatCode="0.00">
                  <c:v>86832.890000000014</c:v>
                </c:pt>
                <c:pt idx="174" formatCode="0.00">
                  <c:v>105169.94</c:v>
                </c:pt>
                <c:pt idx="175" formatCode="0.00">
                  <c:v>96050.510000000009</c:v>
                </c:pt>
                <c:pt idx="176" formatCode="0.00">
                  <c:v>82745.170000000013</c:v>
                </c:pt>
                <c:pt idx="177" formatCode="0.00">
                  <c:v>64906.219999999972</c:v>
                </c:pt>
                <c:pt idx="178" formatCode="0.00">
                  <c:v>65320.630000000005</c:v>
                </c:pt>
                <c:pt idx="179" formatCode="0.00">
                  <c:v>63527.800000000017</c:v>
                </c:pt>
                <c:pt idx="180" formatCode="0.00">
                  <c:v>28662.5</c:v>
                </c:pt>
                <c:pt idx="181" formatCode="0.00">
                  <c:v>60165.97000000003</c:v>
                </c:pt>
                <c:pt idx="182" formatCode="0.00">
                  <c:v>60165.97</c:v>
                </c:pt>
                <c:pt idx="183" formatCode="0.00">
                  <c:v>53752.600000000006</c:v>
                </c:pt>
                <c:pt idx="184" formatCode="0.00">
                  <c:v>58849.640000000014</c:v>
                </c:pt>
                <c:pt idx="185" formatCode="0.00">
                  <c:v>60603.099999999977</c:v>
                </c:pt>
                <c:pt idx="186" formatCode="0.00">
                  <c:v>24135.450000000012</c:v>
                </c:pt>
                <c:pt idx="187" formatCode="0.00">
                  <c:v>51998.260000000009</c:v>
                </c:pt>
                <c:pt idx="188" formatCode="0.00">
                  <c:v>52012.880000000005</c:v>
                </c:pt>
                <c:pt idx="189" formatCode="0.00">
                  <c:v>55064.380000000005</c:v>
                </c:pt>
                <c:pt idx="190" formatCode="0.00">
                  <c:v>53715.079999999987</c:v>
                </c:pt>
                <c:pt idx="191" formatCode="0.00">
                  <c:v>48145.02999999997</c:v>
                </c:pt>
                <c:pt idx="192" formatCode="0.00">
                  <c:v>56298.049999999988</c:v>
                </c:pt>
                <c:pt idx="193" formatCode="0.00">
                  <c:v>65415.949999999983</c:v>
                </c:pt>
                <c:pt idx="194" formatCode="0.00">
                  <c:v>68144.25</c:v>
                </c:pt>
                <c:pt idx="195" formatCode="0.00">
                  <c:v>76453.139999999985</c:v>
                </c:pt>
                <c:pt idx="196" formatCode="0.00">
                  <c:v>73869.149999999994</c:v>
                </c:pt>
                <c:pt idx="197" formatCode="0.00">
                  <c:v>75022.939999999973</c:v>
                </c:pt>
                <c:pt idx="198" formatCode="0.00">
                  <c:v>76923.670000000013</c:v>
                </c:pt>
                <c:pt idx="199" formatCode="0.00">
                  <c:v>85683.450000000012</c:v>
                </c:pt>
                <c:pt idx="200" formatCode="0.00">
                  <c:v>85683.449999999983</c:v>
                </c:pt>
                <c:pt idx="201" formatCode="0.00">
                  <c:v>73642.349999999977</c:v>
                </c:pt>
                <c:pt idx="202" formatCode="0.00">
                  <c:v>114837.67000000001</c:v>
                </c:pt>
                <c:pt idx="203" formatCode="0.00">
                  <c:v>126350.50999999998</c:v>
                </c:pt>
                <c:pt idx="204" formatCode="0.00">
                  <c:v>120815.87</c:v>
                </c:pt>
                <c:pt idx="205" formatCode="0.00">
                  <c:v>118737.32</c:v>
                </c:pt>
                <c:pt idx="206" formatCode="0.00">
                  <c:v>74271.950000000012</c:v>
                </c:pt>
                <c:pt idx="207" formatCode="0.00">
                  <c:v>74268.760000000009</c:v>
                </c:pt>
                <c:pt idx="208" formatCode="0.00">
                  <c:v>54607</c:v>
                </c:pt>
                <c:pt idx="209" formatCode="0.00">
                  <c:v>56487.48000000004</c:v>
                </c:pt>
                <c:pt idx="210" formatCode="0.00">
                  <c:v>51029.27999999997</c:v>
                </c:pt>
                <c:pt idx="211" formatCode="0.00">
                  <c:v>59291.099999999977</c:v>
                </c:pt>
                <c:pt idx="212" formatCode="0.00">
                  <c:v>88091.109999999986</c:v>
                </c:pt>
                <c:pt idx="213" formatCode="0.00">
                  <c:v>108984.14999999997</c:v>
                </c:pt>
                <c:pt idx="214" formatCode="0.00">
                  <c:v>94926.85</c:v>
                </c:pt>
                <c:pt idx="215" formatCode="0.00">
                  <c:v>133407.05000000002</c:v>
                </c:pt>
                <c:pt idx="216" formatCode="0.00">
                  <c:v>52384.340000000026</c:v>
                </c:pt>
                <c:pt idx="217" formatCode="0.00">
                  <c:v>-2736.7099999999627</c:v>
                </c:pt>
                <c:pt idx="218" formatCode="0.00">
                  <c:v>23310.929999999993</c:v>
                </c:pt>
                <c:pt idx="219" formatCode="0.00">
                  <c:v>33140.72000000003</c:v>
                </c:pt>
                <c:pt idx="220" formatCode="0.00">
                  <c:v>37609.079999999958</c:v>
                </c:pt>
                <c:pt idx="221" formatCode="0.00">
                  <c:v>86015.319999999949</c:v>
                </c:pt>
                <c:pt idx="222" formatCode="0.00">
                  <c:v>33140.880000000005</c:v>
                </c:pt>
                <c:pt idx="223" formatCode="0.00">
                  <c:v>31700.690000000002</c:v>
                </c:pt>
                <c:pt idx="224" formatCode="0.00">
                  <c:v>34217.020000000019</c:v>
                </c:pt>
                <c:pt idx="225" formatCode="0.00">
                  <c:v>39253.619999999937</c:v>
                </c:pt>
                <c:pt idx="226" formatCode="0.00">
                  <c:v>41429.340000000026</c:v>
                </c:pt>
                <c:pt idx="227" formatCode="0.00">
                  <c:v>49410.760000000009</c:v>
                </c:pt>
                <c:pt idx="228" formatCode="0.00">
                  <c:v>48566.919999999984</c:v>
                </c:pt>
                <c:pt idx="229" formatCode="0.00">
                  <c:v>48565.820000000007</c:v>
                </c:pt>
                <c:pt idx="230" formatCode="0.00">
                  <c:v>53120.359999999986</c:v>
                </c:pt>
                <c:pt idx="231" formatCode="0.00">
                  <c:v>53583.250000000058</c:v>
                </c:pt>
                <c:pt idx="232" formatCode="0.00">
                  <c:v>47608.449999999953</c:v>
                </c:pt>
                <c:pt idx="233" formatCode="0.00">
                  <c:v>51814.950000000012</c:v>
                </c:pt>
                <c:pt idx="234" formatCode="0.00">
                  <c:v>44572.140000000014</c:v>
                </c:pt>
                <c:pt idx="235" formatCode="0.00">
                  <c:v>41282.339999999967</c:v>
                </c:pt>
                <c:pt idx="236" formatCode="0.00">
                  <c:v>44347.69</c:v>
                </c:pt>
                <c:pt idx="237" formatCode="0.00">
                  <c:v>65324.06</c:v>
                </c:pt>
                <c:pt idx="238" formatCode="0.00">
                  <c:v>56112.359999999986</c:v>
                </c:pt>
                <c:pt idx="239" formatCode="0.00">
                  <c:v>45396.380000000005</c:v>
                </c:pt>
                <c:pt idx="240" formatCode="0.00">
                  <c:v>54478.419999999984</c:v>
                </c:pt>
                <c:pt idx="241" formatCode="0.00">
                  <c:v>51853.020000000019</c:v>
                </c:pt>
                <c:pt idx="242" formatCode="0.00">
                  <c:v>46282.960000000021</c:v>
                </c:pt>
                <c:pt idx="243" formatCode="0.00">
                  <c:v>40930.960000000021</c:v>
                </c:pt>
                <c:pt idx="244" formatCode="0.00">
                  <c:v>42182.049999999988</c:v>
                </c:pt>
                <c:pt idx="245" formatCode="0.00">
                  <c:v>61189.479999999981</c:v>
                </c:pt>
                <c:pt idx="246" formatCode="0.00">
                  <c:v>54664.27999999997</c:v>
                </c:pt>
                <c:pt idx="247" formatCode="0.00">
                  <c:v>48306.48000000004</c:v>
                </c:pt>
                <c:pt idx="248" formatCode="0.00">
                  <c:v>49786.25</c:v>
                </c:pt>
                <c:pt idx="249" formatCode="0.00">
                  <c:v>99156</c:v>
                </c:pt>
                <c:pt idx="251" formatCode="0.00">
                  <c:v>120001.53</c:v>
                </c:pt>
                <c:pt idx="252" formatCode="0.00">
                  <c:v>147577.93000000002</c:v>
                </c:pt>
                <c:pt idx="253" formatCode="0.00">
                  <c:v>149847.75</c:v>
                </c:pt>
                <c:pt idx="254" formatCode="0.00">
                  <c:v>121841.31999999998</c:v>
                </c:pt>
                <c:pt idx="255" formatCode="0.00">
                  <c:v>146280.65</c:v>
                </c:pt>
                <c:pt idx="256" formatCode="0.00">
                  <c:v>146290.45000000001</c:v>
                </c:pt>
                <c:pt idx="257" formatCode="0.00">
                  <c:v>143453.21000000002</c:v>
                </c:pt>
                <c:pt idx="258" formatCode="0.00">
                  <c:v>122146.22000000003</c:v>
                </c:pt>
                <c:pt idx="259" formatCode="0.00">
                  <c:v>122528.60999999999</c:v>
                </c:pt>
                <c:pt idx="260" formatCode="0.00">
                  <c:v>104437.60999999999</c:v>
                </c:pt>
                <c:pt idx="261" formatCode="0.00">
                  <c:v>89275.109999999986</c:v>
                </c:pt>
                <c:pt idx="262" formatCode="0.00">
                  <c:v>89365.339999999967</c:v>
                </c:pt>
                <c:pt idx="263" formatCode="0.00">
                  <c:v>99917.919999999984</c:v>
                </c:pt>
                <c:pt idx="264" formatCode="0.00">
                  <c:v>94604.13</c:v>
                </c:pt>
                <c:pt idx="265" formatCode="0.00">
                  <c:v>116356.47000000003</c:v>
                </c:pt>
                <c:pt idx="266" formatCode="0.00">
                  <c:v>145938.43</c:v>
                </c:pt>
                <c:pt idx="267" formatCode="0.00">
                  <c:v>109868.35999999999</c:v>
                </c:pt>
                <c:pt idx="268" formatCode="0.00">
                  <c:v>107362.09000000003</c:v>
                </c:pt>
                <c:pt idx="269" formatCode="0.00">
                  <c:v>79451.889999999956</c:v>
                </c:pt>
                <c:pt idx="270" formatCode="0.00">
                  <c:v>66526.590000000026</c:v>
                </c:pt>
                <c:pt idx="271" formatCode="0.00">
                  <c:v>66574.5</c:v>
                </c:pt>
                <c:pt idx="272" formatCode="0.00">
                  <c:v>68851.410000000033</c:v>
                </c:pt>
                <c:pt idx="273" formatCode="0.00">
                  <c:v>66034.409999999974</c:v>
                </c:pt>
                <c:pt idx="274" formatCode="0.00">
                  <c:v>61492.210000000021</c:v>
                </c:pt>
                <c:pt idx="275" formatCode="0.00">
                  <c:v>76083.070000000007</c:v>
                </c:pt>
                <c:pt idx="276" formatCode="0.00">
                  <c:v>83623.030000000028</c:v>
                </c:pt>
                <c:pt idx="277" formatCode="0.00">
                  <c:v>80747.02999999997</c:v>
                </c:pt>
                <c:pt idx="278" formatCode="0.00">
                  <c:v>67606.889999999956</c:v>
                </c:pt>
                <c:pt idx="279" formatCode="0.00">
                  <c:v>62627.869999999995</c:v>
                </c:pt>
                <c:pt idx="280" formatCode="0.00">
                  <c:v>81764.679999999993</c:v>
                </c:pt>
                <c:pt idx="281" formatCode="0.00">
                  <c:v>90552.049999999988</c:v>
                </c:pt>
                <c:pt idx="282" formatCode="0.00">
                  <c:v>85713.06</c:v>
                </c:pt>
                <c:pt idx="283" formatCode="0.00">
                  <c:v>73356.44</c:v>
                </c:pt>
                <c:pt idx="284" formatCode="0.00">
                  <c:v>48130.640000000014</c:v>
                </c:pt>
                <c:pt idx="285" formatCode="0.00">
                  <c:v>77259.929999999993</c:v>
                </c:pt>
                <c:pt idx="286" formatCode="0.00">
                  <c:v>55624.650000000023</c:v>
                </c:pt>
                <c:pt idx="287" formatCode="0.00">
                  <c:v>46203.149999999965</c:v>
                </c:pt>
                <c:pt idx="288" formatCode="0.00">
                  <c:v>50076.409999999974</c:v>
                </c:pt>
                <c:pt idx="289" formatCode="0.00">
                  <c:v>48775.619999999995</c:v>
                </c:pt>
                <c:pt idx="290" formatCode="0.00">
                  <c:v>56159.450000000012</c:v>
                </c:pt>
                <c:pt idx="291" formatCode="0.00">
                  <c:v>60087.539999999979</c:v>
                </c:pt>
                <c:pt idx="292" formatCode="0.00">
                  <c:v>58060.389999999956</c:v>
                </c:pt>
                <c:pt idx="293" formatCode="0.00">
                  <c:v>53787.539999999979</c:v>
                </c:pt>
                <c:pt idx="294" formatCode="0.00">
                  <c:v>49489.509999999951</c:v>
                </c:pt>
                <c:pt idx="295" formatCode="0.00">
                  <c:v>49325.149999999965</c:v>
                </c:pt>
                <c:pt idx="296" formatCode="0.00">
                  <c:v>10178.240000000049</c:v>
                </c:pt>
                <c:pt idx="297" formatCode="0.00">
                  <c:v>14389.570000000007</c:v>
                </c:pt>
                <c:pt idx="298" formatCode="0.00">
                  <c:v>8803.820000000007</c:v>
                </c:pt>
                <c:pt idx="299" formatCode="0.00">
                  <c:v>8913.4699999999721</c:v>
                </c:pt>
                <c:pt idx="300" formatCode="0.00">
                  <c:v>20534.059999999998</c:v>
                </c:pt>
                <c:pt idx="301" formatCode="0.00">
                  <c:v>48955.520000000019</c:v>
                </c:pt>
                <c:pt idx="302" formatCode="0.00">
                  <c:v>33790.98000000004</c:v>
                </c:pt>
                <c:pt idx="303" formatCode="0.00">
                  <c:v>124961.53999999998</c:v>
                </c:pt>
                <c:pt idx="304" formatCode="0.00">
                  <c:v>114365.26000000001</c:v>
                </c:pt>
                <c:pt idx="305" formatCode="0.00">
                  <c:v>109939.06</c:v>
                </c:pt>
                <c:pt idx="306" formatCode="0.00">
                  <c:v>118154.31999999998</c:v>
                </c:pt>
                <c:pt idx="307" formatCode="0.00">
                  <c:v>107629.29999999999</c:v>
                </c:pt>
                <c:pt idx="308" formatCode="0.00">
                  <c:v>59604.919999999984</c:v>
                </c:pt>
                <c:pt idx="309" formatCode="0.00">
                  <c:v>59386.920000000013</c:v>
                </c:pt>
                <c:pt idx="310" formatCode="0.00">
                  <c:v>70335.549999999988</c:v>
                </c:pt>
                <c:pt idx="311" formatCode="0.00">
                  <c:v>100394.43999999997</c:v>
                </c:pt>
                <c:pt idx="312" formatCode="0.00">
                  <c:v>106112.81999999998</c:v>
                </c:pt>
                <c:pt idx="313" formatCode="0.00">
                  <c:v>119147.48000000004</c:v>
                </c:pt>
                <c:pt idx="314" formatCode="0.00">
                  <c:v>93895.319999999978</c:v>
                </c:pt>
                <c:pt idx="315" formatCode="0.00">
                  <c:v>99691.120000000024</c:v>
                </c:pt>
                <c:pt idx="316" formatCode="0.00">
                  <c:v>95773.180000000022</c:v>
                </c:pt>
                <c:pt idx="317" formatCode="0.00">
                  <c:v>92655.18</c:v>
                </c:pt>
                <c:pt idx="318" formatCode="0.00">
                  <c:v>95632.680000000022</c:v>
                </c:pt>
                <c:pt idx="319" formatCode="0.00">
                  <c:v>95640.430000000022</c:v>
                </c:pt>
                <c:pt idx="320" formatCode="0.00">
                  <c:v>95177.68</c:v>
                </c:pt>
                <c:pt idx="321" formatCode="0.00">
                  <c:v>92846.680000000022</c:v>
                </c:pt>
                <c:pt idx="322" formatCode="0.00">
                  <c:v>92846.680000000022</c:v>
                </c:pt>
                <c:pt idx="323" formatCode="0.00">
                  <c:v>92846.68</c:v>
                </c:pt>
                <c:pt idx="324" formatCode="0.00">
                  <c:v>92846.680000000022</c:v>
                </c:pt>
                <c:pt idx="325" formatCode="0.00">
                  <c:v>90739.469999999972</c:v>
                </c:pt>
                <c:pt idx="326" formatCode="0.00">
                  <c:v>79069.73000000004</c:v>
                </c:pt>
                <c:pt idx="327" formatCode="0.00">
                  <c:v>77793.73000000001</c:v>
                </c:pt>
                <c:pt idx="328" formatCode="0.00">
                  <c:v>80640.550000000017</c:v>
                </c:pt>
                <c:pt idx="329" formatCode="0.00">
                  <c:v>93530.97000000003</c:v>
                </c:pt>
                <c:pt idx="330" formatCode="0.00">
                  <c:v>91351.47</c:v>
                </c:pt>
                <c:pt idx="331" formatCode="0.00">
                  <c:v>85071.120000000024</c:v>
                </c:pt>
                <c:pt idx="332" formatCode="0.00">
                  <c:v>85071.12</c:v>
                </c:pt>
                <c:pt idx="333" formatCode="0.00">
                  <c:v>85071.12</c:v>
                </c:pt>
                <c:pt idx="334" formatCode="0.00">
                  <c:v>77877.22</c:v>
                </c:pt>
                <c:pt idx="335" formatCode="0.00">
                  <c:v>77906.219999999972</c:v>
                </c:pt>
                <c:pt idx="336" formatCode="0.00">
                  <c:v>76415.049999999988</c:v>
                </c:pt>
                <c:pt idx="337" formatCode="0.00">
                  <c:v>80086.09</c:v>
                </c:pt>
                <c:pt idx="338" formatCode="0.00">
                  <c:v>82152</c:v>
                </c:pt>
                <c:pt idx="339" formatCode="0.00">
                  <c:v>72922.599999999977</c:v>
                </c:pt>
                <c:pt idx="340" formatCode="0.00">
                  <c:v>63453.530000000028</c:v>
                </c:pt>
                <c:pt idx="341" formatCode="0.00">
                  <c:v>62219.540000000037</c:v>
                </c:pt>
                <c:pt idx="342" formatCode="0.00">
                  <c:v>64494.450000000012</c:v>
                </c:pt>
                <c:pt idx="343" formatCode="0.00">
                  <c:v>71459.73000000001</c:v>
                </c:pt>
                <c:pt idx="344" formatCode="0.00">
                  <c:v>68820.899999999994</c:v>
                </c:pt>
                <c:pt idx="345" formatCode="0.00">
                  <c:v>70299.919999999984</c:v>
                </c:pt>
                <c:pt idx="346" formatCode="0.00">
                  <c:v>49958.920000000042</c:v>
                </c:pt>
                <c:pt idx="347" formatCode="0.00">
                  <c:v>56444.119999999995</c:v>
                </c:pt>
                <c:pt idx="348" formatCode="0.00">
                  <c:v>57854.369999999995</c:v>
                </c:pt>
                <c:pt idx="349" formatCode="0.00">
                  <c:v>54189.089999999967</c:v>
                </c:pt>
                <c:pt idx="350" formatCode="0.00">
                  <c:v>69721.270000000019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1896360"/>
        <c:axId val="493573472"/>
      </c:scatterChart>
      <c:valAx>
        <c:axId val="511896360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573472"/>
        <c:crosses val="autoZero"/>
        <c:crossBetween val="midCat"/>
      </c:valAx>
      <c:valAx>
        <c:axId val="49357347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896360"/>
        <c:crosses val="autoZero"/>
        <c:crossBetween val="midCat"/>
        <c:dispUnits>
          <c:builtInUnit val="tenThousands"/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BIIB!$AA$1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BIIB!$W$2:$W$67</c:f>
              <c:numCache>
                <c:formatCode>d\-mmm\-yy</c:formatCode>
                <c:ptCount val="66"/>
                <c:pt idx="0">
                  <c:v>42768</c:v>
                </c:pt>
                <c:pt idx="1">
                  <c:v>42767</c:v>
                </c:pt>
                <c:pt idx="2">
                  <c:v>42766</c:v>
                </c:pt>
                <c:pt idx="3">
                  <c:v>42765</c:v>
                </c:pt>
                <c:pt idx="4">
                  <c:v>42762</c:v>
                </c:pt>
                <c:pt idx="5">
                  <c:v>42761</c:v>
                </c:pt>
                <c:pt idx="6">
                  <c:v>42760</c:v>
                </c:pt>
                <c:pt idx="7">
                  <c:v>42759</c:v>
                </c:pt>
                <c:pt idx="8">
                  <c:v>42758</c:v>
                </c:pt>
                <c:pt idx="9">
                  <c:v>42755</c:v>
                </c:pt>
                <c:pt idx="10">
                  <c:v>42754</c:v>
                </c:pt>
                <c:pt idx="11">
                  <c:v>42753</c:v>
                </c:pt>
                <c:pt idx="12">
                  <c:v>42752</c:v>
                </c:pt>
                <c:pt idx="13">
                  <c:v>42748</c:v>
                </c:pt>
                <c:pt idx="14">
                  <c:v>42747</c:v>
                </c:pt>
                <c:pt idx="15">
                  <c:v>42746</c:v>
                </c:pt>
                <c:pt idx="16">
                  <c:v>42745</c:v>
                </c:pt>
                <c:pt idx="17">
                  <c:v>42744</c:v>
                </c:pt>
                <c:pt idx="18">
                  <c:v>42741</c:v>
                </c:pt>
                <c:pt idx="19">
                  <c:v>42740</c:v>
                </c:pt>
                <c:pt idx="20">
                  <c:v>42739</c:v>
                </c:pt>
                <c:pt idx="21">
                  <c:v>42738</c:v>
                </c:pt>
                <c:pt idx="22">
                  <c:v>42734</c:v>
                </c:pt>
                <c:pt idx="23">
                  <c:v>42733</c:v>
                </c:pt>
                <c:pt idx="24">
                  <c:v>42732</c:v>
                </c:pt>
                <c:pt idx="25">
                  <c:v>42731</c:v>
                </c:pt>
                <c:pt idx="26">
                  <c:v>42727</c:v>
                </c:pt>
                <c:pt idx="27">
                  <c:v>42726</c:v>
                </c:pt>
                <c:pt idx="28">
                  <c:v>42725</c:v>
                </c:pt>
                <c:pt idx="29">
                  <c:v>42724</c:v>
                </c:pt>
                <c:pt idx="30">
                  <c:v>42723</c:v>
                </c:pt>
                <c:pt idx="31">
                  <c:v>42720</c:v>
                </c:pt>
                <c:pt idx="32">
                  <c:v>42719</c:v>
                </c:pt>
                <c:pt idx="33">
                  <c:v>42718</c:v>
                </c:pt>
                <c:pt idx="34">
                  <c:v>42717</c:v>
                </c:pt>
                <c:pt idx="35">
                  <c:v>42716</c:v>
                </c:pt>
                <c:pt idx="36">
                  <c:v>42713</c:v>
                </c:pt>
                <c:pt idx="37">
                  <c:v>42712</c:v>
                </c:pt>
                <c:pt idx="38">
                  <c:v>42711</c:v>
                </c:pt>
                <c:pt idx="39">
                  <c:v>42710</c:v>
                </c:pt>
                <c:pt idx="40">
                  <c:v>42709</c:v>
                </c:pt>
                <c:pt idx="41">
                  <c:v>42706</c:v>
                </c:pt>
                <c:pt idx="42">
                  <c:v>42705</c:v>
                </c:pt>
                <c:pt idx="43">
                  <c:v>42704</c:v>
                </c:pt>
                <c:pt idx="44">
                  <c:v>42703</c:v>
                </c:pt>
                <c:pt idx="45">
                  <c:v>42702</c:v>
                </c:pt>
                <c:pt idx="46">
                  <c:v>42699</c:v>
                </c:pt>
                <c:pt idx="47">
                  <c:v>42697</c:v>
                </c:pt>
                <c:pt idx="48">
                  <c:v>42696</c:v>
                </c:pt>
                <c:pt idx="49">
                  <c:v>42695</c:v>
                </c:pt>
                <c:pt idx="50">
                  <c:v>42692</c:v>
                </c:pt>
                <c:pt idx="51">
                  <c:v>42691</c:v>
                </c:pt>
                <c:pt idx="52">
                  <c:v>42690</c:v>
                </c:pt>
                <c:pt idx="53">
                  <c:v>42689</c:v>
                </c:pt>
                <c:pt idx="54">
                  <c:v>42688</c:v>
                </c:pt>
                <c:pt idx="55">
                  <c:v>42685</c:v>
                </c:pt>
                <c:pt idx="56">
                  <c:v>42684</c:v>
                </c:pt>
                <c:pt idx="57">
                  <c:v>42683</c:v>
                </c:pt>
                <c:pt idx="58">
                  <c:v>42682</c:v>
                </c:pt>
                <c:pt idx="59">
                  <c:v>42681</c:v>
                </c:pt>
                <c:pt idx="60">
                  <c:v>42678</c:v>
                </c:pt>
                <c:pt idx="61">
                  <c:v>42677</c:v>
                </c:pt>
                <c:pt idx="62">
                  <c:v>42676</c:v>
                </c:pt>
                <c:pt idx="63">
                  <c:v>42675</c:v>
                </c:pt>
                <c:pt idx="64">
                  <c:v>42674</c:v>
                </c:pt>
                <c:pt idx="65">
                  <c:v>42671</c:v>
                </c:pt>
              </c:numCache>
            </c:numRef>
          </c:cat>
          <c:val>
            <c:numRef>
              <c:f>BIIB!$AA$2:$AA$67</c:f>
              <c:numCache>
                <c:formatCode>General</c:formatCode>
                <c:ptCount val="66"/>
                <c:pt idx="0">
                  <c:v>264.23</c:v>
                </c:pt>
                <c:pt idx="1">
                  <c:v>281.69</c:v>
                </c:pt>
                <c:pt idx="2">
                  <c:v>277.24</c:v>
                </c:pt>
                <c:pt idx="3">
                  <c:v>276.06</c:v>
                </c:pt>
                <c:pt idx="4">
                  <c:v>278.20999999999998</c:v>
                </c:pt>
                <c:pt idx="5">
                  <c:v>278.89</c:v>
                </c:pt>
                <c:pt idx="6">
                  <c:v>273.24</c:v>
                </c:pt>
                <c:pt idx="7">
                  <c:v>273.82</c:v>
                </c:pt>
                <c:pt idx="8">
                  <c:v>276.02</c:v>
                </c:pt>
                <c:pt idx="9">
                  <c:v>280.66000000000003</c:v>
                </c:pt>
                <c:pt idx="10">
                  <c:v>280.35000000000002</c:v>
                </c:pt>
                <c:pt idx="11">
                  <c:v>283.61</c:v>
                </c:pt>
                <c:pt idx="12">
                  <c:v>283.01</c:v>
                </c:pt>
                <c:pt idx="13">
                  <c:v>284.75</c:v>
                </c:pt>
                <c:pt idx="14">
                  <c:v>287.77</c:v>
                </c:pt>
                <c:pt idx="15">
                  <c:v>287.11</c:v>
                </c:pt>
                <c:pt idx="16">
                  <c:v>297.79000000000002</c:v>
                </c:pt>
                <c:pt idx="17">
                  <c:v>299.02</c:v>
                </c:pt>
                <c:pt idx="18">
                  <c:v>295</c:v>
                </c:pt>
                <c:pt idx="19">
                  <c:v>293.57</c:v>
                </c:pt>
                <c:pt idx="20">
                  <c:v>294.05</c:v>
                </c:pt>
                <c:pt idx="21">
                  <c:v>291.70999999999998</c:v>
                </c:pt>
                <c:pt idx="22">
                  <c:v>283.58</c:v>
                </c:pt>
                <c:pt idx="23">
                  <c:v>287.02999999999997</c:v>
                </c:pt>
                <c:pt idx="24">
                  <c:v>289.25</c:v>
                </c:pt>
                <c:pt idx="25">
                  <c:v>291.12</c:v>
                </c:pt>
                <c:pt idx="26">
                  <c:v>287.52999999999997</c:v>
                </c:pt>
                <c:pt idx="27">
                  <c:v>283.07</c:v>
                </c:pt>
                <c:pt idx="28">
                  <c:v>283.11</c:v>
                </c:pt>
                <c:pt idx="29">
                  <c:v>285.58999999999997</c:v>
                </c:pt>
                <c:pt idx="30">
                  <c:v>278.77</c:v>
                </c:pt>
                <c:pt idx="31">
                  <c:v>286.39999999999998</c:v>
                </c:pt>
                <c:pt idx="32">
                  <c:v>286.97000000000003</c:v>
                </c:pt>
                <c:pt idx="33">
                  <c:v>286.25</c:v>
                </c:pt>
                <c:pt idx="34">
                  <c:v>287.38</c:v>
                </c:pt>
                <c:pt idx="35">
                  <c:v>286.49</c:v>
                </c:pt>
                <c:pt idx="36">
                  <c:v>287.77</c:v>
                </c:pt>
                <c:pt idx="37">
                  <c:v>289.54000000000002</c:v>
                </c:pt>
                <c:pt idx="38">
                  <c:v>285.3</c:v>
                </c:pt>
                <c:pt idx="39">
                  <c:v>291.16000000000003</c:v>
                </c:pt>
                <c:pt idx="40">
                  <c:v>290.22000000000003</c:v>
                </c:pt>
                <c:pt idx="41">
                  <c:v>297.19</c:v>
                </c:pt>
                <c:pt idx="42">
                  <c:v>295.77999999999997</c:v>
                </c:pt>
                <c:pt idx="43">
                  <c:v>294.07</c:v>
                </c:pt>
                <c:pt idx="44">
                  <c:v>302.77</c:v>
                </c:pt>
                <c:pt idx="45">
                  <c:v>303.77999999999997</c:v>
                </c:pt>
                <c:pt idx="46">
                  <c:v>305.2</c:v>
                </c:pt>
                <c:pt idx="47">
                  <c:v>305.93</c:v>
                </c:pt>
                <c:pt idx="48">
                  <c:v>318.11</c:v>
                </c:pt>
                <c:pt idx="49">
                  <c:v>318.32</c:v>
                </c:pt>
                <c:pt idx="50">
                  <c:v>317</c:v>
                </c:pt>
                <c:pt idx="51">
                  <c:v>319.3</c:v>
                </c:pt>
                <c:pt idx="52">
                  <c:v>317.64999999999998</c:v>
                </c:pt>
                <c:pt idx="53">
                  <c:v>322.58</c:v>
                </c:pt>
                <c:pt idx="54">
                  <c:v>321.49</c:v>
                </c:pt>
                <c:pt idx="55">
                  <c:v>319.18</c:v>
                </c:pt>
                <c:pt idx="56">
                  <c:v>324.39999999999998</c:v>
                </c:pt>
                <c:pt idx="57">
                  <c:v>319.86</c:v>
                </c:pt>
                <c:pt idx="58">
                  <c:v>295.60000000000002</c:v>
                </c:pt>
                <c:pt idx="59">
                  <c:v>295.62</c:v>
                </c:pt>
                <c:pt idx="60">
                  <c:v>277</c:v>
                </c:pt>
                <c:pt idx="61">
                  <c:v>273.49</c:v>
                </c:pt>
                <c:pt idx="62">
                  <c:v>277.26</c:v>
                </c:pt>
                <c:pt idx="63">
                  <c:v>282.56</c:v>
                </c:pt>
                <c:pt idx="64">
                  <c:v>280.18</c:v>
                </c:pt>
                <c:pt idx="65">
                  <c:v>283.64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3575432"/>
        <c:axId val="493575824"/>
      </c:lineChart>
      <c:dateAx>
        <c:axId val="49357543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575824"/>
        <c:crosses val="autoZero"/>
        <c:auto val="1"/>
        <c:lblOffset val="100"/>
        <c:baseTimeUnit val="days"/>
      </c:dateAx>
      <c:valAx>
        <c:axId val="493575824"/>
        <c:scaling>
          <c:orientation val="minMax"/>
          <c:min val="22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5754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MYL!$AA$1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MYL!$W$2:$W$67</c:f>
              <c:numCache>
                <c:formatCode>d\-mmm\-yy</c:formatCode>
                <c:ptCount val="66"/>
                <c:pt idx="0">
                  <c:v>42768</c:v>
                </c:pt>
                <c:pt idx="1">
                  <c:v>42767</c:v>
                </c:pt>
                <c:pt idx="2">
                  <c:v>42766</c:v>
                </c:pt>
                <c:pt idx="3">
                  <c:v>42765</c:v>
                </c:pt>
                <c:pt idx="4">
                  <c:v>42762</c:v>
                </c:pt>
                <c:pt idx="5">
                  <c:v>42761</c:v>
                </c:pt>
                <c:pt idx="6">
                  <c:v>42760</c:v>
                </c:pt>
                <c:pt idx="7">
                  <c:v>42759</c:v>
                </c:pt>
                <c:pt idx="8">
                  <c:v>42758</c:v>
                </c:pt>
                <c:pt idx="9">
                  <c:v>42755</c:v>
                </c:pt>
                <c:pt idx="10">
                  <c:v>42754</c:v>
                </c:pt>
                <c:pt idx="11">
                  <c:v>42753</c:v>
                </c:pt>
                <c:pt idx="12">
                  <c:v>42752</c:v>
                </c:pt>
                <c:pt idx="13">
                  <c:v>42748</c:v>
                </c:pt>
                <c:pt idx="14">
                  <c:v>42747</c:v>
                </c:pt>
                <c:pt idx="15">
                  <c:v>42746</c:v>
                </c:pt>
                <c:pt idx="16">
                  <c:v>42745</c:v>
                </c:pt>
                <c:pt idx="17">
                  <c:v>42744</c:v>
                </c:pt>
                <c:pt idx="18">
                  <c:v>42741</c:v>
                </c:pt>
                <c:pt idx="19">
                  <c:v>42740</c:v>
                </c:pt>
                <c:pt idx="20">
                  <c:v>42739</c:v>
                </c:pt>
                <c:pt idx="21">
                  <c:v>42738</c:v>
                </c:pt>
                <c:pt idx="22">
                  <c:v>42734</c:v>
                </c:pt>
                <c:pt idx="23">
                  <c:v>42733</c:v>
                </c:pt>
                <c:pt idx="24">
                  <c:v>42732</c:v>
                </c:pt>
                <c:pt idx="25">
                  <c:v>42731</c:v>
                </c:pt>
                <c:pt idx="26">
                  <c:v>42727</c:v>
                </c:pt>
                <c:pt idx="27">
                  <c:v>42726</c:v>
                </c:pt>
                <c:pt idx="28">
                  <c:v>42725</c:v>
                </c:pt>
                <c:pt idx="29">
                  <c:v>42724</c:v>
                </c:pt>
                <c:pt idx="30">
                  <c:v>42723</c:v>
                </c:pt>
                <c:pt idx="31">
                  <c:v>42720</c:v>
                </c:pt>
                <c:pt idx="32">
                  <c:v>42719</c:v>
                </c:pt>
                <c:pt idx="33">
                  <c:v>42718</c:v>
                </c:pt>
                <c:pt idx="34">
                  <c:v>42717</c:v>
                </c:pt>
                <c:pt idx="35">
                  <c:v>42716</c:v>
                </c:pt>
                <c:pt idx="36">
                  <c:v>42713</c:v>
                </c:pt>
                <c:pt idx="37">
                  <c:v>42712</c:v>
                </c:pt>
                <c:pt idx="38">
                  <c:v>42711</c:v>
                </c:pt>
                <c:pt idx="39">
                  <c:v>42710</c:v>
                </c:pt>
                <c:pt idx="40">
                  <c:v>42709</c:v>
                </c:pt>
                <c:pt idx="41">
                  <c:v>42706</c:v>
                </c:pt>
                <c:pt idx="42">
                  <c:v>42705</c:v>
                </c:pt>
                <c:pt idx="43">
                  <c:v>42704</c:v>
                </c:pt>
                <c:pt idx="44">
                  <c:v>42703</c:v>
                </c:pt>
                <c:pt idx="45">
                  <c:v>42702</c:v>
                </c:pt>
                <c:pt idx="46">
                  <c:v>42699</c:v>
                </c:pt>
                <c:pt idx="47">
                  <c:v>42697</c:v>
                </c:pt>
                <c:pt idx="48">
                  <c:v>42696</c:v>
                </c:pt>
                <c:pt idx="49">
                  <c:v>42695</c:v>
                </c:pt>
                <c:pt idx="50">
                  <c:v>42692</c:v>
                </c:pt>
                <c:pt idx="51">
                  <c:v>42691</c:v>
                </c:pt>
                <c:pt idx="52">
                  <c:v>42690</c:v>
                </c:pt>
                <c:pt idx="53">
                  <c:v>42689</c:v>
                </c:pt>
                <c:pt idx="54">
                  <c:v>42688</c:v>
                </c:pt>
                <c:pt idx="55">
                  <c:v>42685</c:v>
                </c:pt>
                <c:pt idx="56">
                  <c:v>42684</c:v>
                </c:pt>
                <c:pt idx="57">
                  <c:v>42683</c:v>
                </c:pt>
                <c:pt idx="58">
                  <c:v>42682</c:v>
                </c:pt>
                <c:pt idx="59">
                  <c:v>42681</c:v>
                </c:pt>
                <c:pt idx="60">
                  <c:v>42678</c:v>
                </c:pt>
                <c:pt idx="61">
                  <c:v>42677</c:v>
                </c:pt>
                <c:pt idx="62">
                  <c:v>42676</c:v>
                </c:pt>
                <c:pt idx="63">
                  <c:v>42675</c:v>
                </c:pt>
                <c:pt idx="64">
                  <c:v>42674</c:v>
                </c:pt>
                <c:pt idx="65">
                  <c:v>42671</c:v>
                </c:pt>
              </c:numCache>
            </c:numRef>
          </c:cat>
          <c:val>
            <c:numRef>
              <c:f>MYL!$AA$2:$AA$67</c:f>
              <c:numCache>
                <c:formatCode>General</c:formatCode>
                <c:ptCount val="66"/>
                <c:pt idx="0">
                  <c:v>39</c:v>
                </c:pt>
                <c:pt idx="1">
                  <c:v>38.659999999999997</c:v>
                </c:pt>
                <c:pt idx="2">
                  <c:v>38.049999999999997</c:v>
                </c:pt>
                <c:pt idx="3">
                  <c:v>36.340000000000003</c:v>
                </c:pt>
                <c:pt idx="4">
                  <c:v>36.659999999999997</c:v>
                </c:pt>
                <c:pt idx="5">
                  <c:v>36.1</c:v>
                </c:pt>
                <c:pt idx="6">
                  <c:v>36.479999999999997</c:v>
                </c:pt>
                <c:pt idx="7">
                  <c:v>35.81</c:v>
                </c:pt>
                <c:pt idx="8">
                  <c:v>36.03</c:v>
                </c:pt>
                <c:pt idx="9">
                  <c:v>37.07</c:v>
                </c:pt>
                <c:pt idx="10">
                  <c:v>36.950000000000003</c:v>
                </c:pt>
                <c:pt idx="11">
                  <c:v>37.19</c:v>
                </c:pt>
                <c:pt idx="12">
                  <c:v>37.07</c:v>
                </c:pt>
                <c:pt idx="13">
                  <c:v>36.729999999999997</c:v>
                </c:pt>
                <c:pt idx="14">
                  <c:v>36.770000000000003</c:v>
                </c:pt>
                <c:pt idx="15">
                  <c:v>37.28</c:v>
                </c:pt>
                <c:pt idx="16">
                  <c:v>38.950000000000003</c:v>
                </c:pt>
                <c:pt idx="17">
                  <c:v>38.950000000000003</c:v>
                </c:pt>
                <c:pt idx="18">
                  <c:v>38.5</c:v>
                </c:pt>
                <c:pt idx="19">
                  <c:v>39.159999999999997</c:v>
                </c:pt>
                <c:pt idx="20">
                  <c:v>39.630000000000003</c:v>
                </c:pt>
                <c:pt idx="21">
                  <c:v>39.11</c:v>
                </c:pt>
                <c:pt idx="22">
                  <c:v>38.15</c:v>
                </c:pt>
                <c:pt idx="23">
                  <c:v>37.380000000000003</c:v>
                </c:pt>
                <c:pt idx="24">
                  <c:v>37.21</c:v>
                </c:pt>
                <c:pt idx="25">
                  <c:v>37.58</c:v>
                </c:pt>
                <c:pt idx="26">
                  <c:v>37.5</c:v>
                </c:pt>
                <c:pt idx="27">
                  <c:v>37.31</c:v>
                </c:pt>
                <c:pt idx="28">
                  <c:v>37.520000000000003</c:v>
                </c:pt>
                <c:pt idx="29">
                  <c:v>37.29</c:v>
                </c:pt>
                <c:pt idx="30">
                  <c:v>37.49</c:v>
                </c:pt>
                <c:pt idx="31">
                  <c:v>37.82</c:v>
                </c:pt>
                <c:pt idx="32">
                  <c:v>37.76</c:v>
                </c:pt>
                <c:pt idx="33">
                  <c:v>37.69</c:v>
                </c:pt>
                <c:pt idx="34">
                  <c:v>38.299999999999997</c:v>
                </c:pt>
                <c:pt idx="35">
                  <c:v>37.130000000000003</c:v>
                </c:pt>
                <c:pt idx="36">
                  <c:v>36.51</c:v>
                </c:pt>
                <c:pt idx="37">
                  <c:v>36.06</c:v>
                </c:pt>
                <c:pt idx="38">
                  <c:v>34.5</c:v>
                </c:pt>
                <c:pt idx="39">
                  <c:v>35.86</c:v>
                </c:pt>
                <c:pt idx="40">
                  <c:v>35.65</c:v>
                </c:pt>
                <c:pt idx="41">
                  <c:v>35.99</c:v>
                </c:pt>
                <c:pt idx="42">
                  <c:v>36.03</c:v>
                </c:pt>
                <c:pt idx="43">
                  <c:v>36.61</c:v>
                </c:pt>
                <c:pt idx="44">
                  <c:v>36.06</c:v>
                </c:pt>
                <c:pt idx="45">
                  <c:v>36.74</c:v>
                </c:pt>
                <c:pt idx="46">
                  <c:v>36.68</c:v>
                </c:pt>
                <c:pt idx="47">
                  <c:v>36.85</c:v>
                </c:pt>
                <c:pt idx="48">
                  <c:v>36.32</c:v>
                </c:pt>
                <c:pt idx="49">
                  <c:v>36.68</c:v>
                </c:pt>
                <c:pt idx="50">
                  <c:v>36.47</c:v>
                </c:pt>
                <c:pt idx="51">
                  <c:v>37.56</c:v>
                </c:pt>
                <c:pt idx="52">
                  <c:v>37.9</c:v>
                </c:pt>
                <c:pt idx="53">
                  <c:v>38.659999999999997</c:v>
                </c:pt>
                <c:pt idx="54">
                  <c:v>38.44</c:v>
                </c:pt>
                <c:pt idx="55">
                  <c:v>37.93</c:v>
                </c:pt>
                <c:pt idx="56">
                  <c:v>38.28</c:v>
                </c:pt>
                <c:pt idx="57">
                  <c:v>38.92</c:v>
                </c:pt>
                <c:pt idx="58">
                  <c:v>37.11</c:v>
                </c:pt>
                <c:pt idx="59">
                  <c:v>36.590000000000003</c:v>
                </c:pt>
                <c:pt idx="60">
                  <c:v>35</c:v>
                </c:pt>
                <c:pt idx="61">
                  <c:v>34.14</c:v>
                </c:pt>
                <c:pt idx="62">
                  <c:v>36.67</c:v>
                </c:pt>
                <c:pt idx="63">
                  <c:v>37.159999999999997</c:v>
                </c:pt>
                <c:pt idx="64">
                  <c:v>36.5</c:v>
                </c:pt>
                <c:pt idx="65">
                  <c:v>37.19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3577784"/>
        <c:axId val="493578176"/>
      </c:lineChart>
      <c:dateAx>
        <c:axId val="49357778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578176"/>
        <c:crosses val="autoZero"/>
        <c:auto val="1"/>
        <c:lblOffset val="100"/>
        <c:baseTimeUnit val="days"/>
      </c:dateAx>
      <c:valAx>
        <c:axId val="493578176"/>
        <c:scaling>
          <c:orientation val="minMax"/>
          <c:min val="3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5777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SIG!$AA$1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SIG!$W$2:$W$67</c:f>
              <c:numCache>
                <c:formatCode>d\-mmm\-yy</c:formatCode>
                <c:ptCount val="66"/>
                <c:pt idx="0">
                  <c:v>42768</c:v>
                </c:pt>
                <c:pt idx="1">
                  <c:v>42767</c:v>
                </c:pt>
                <c:pt idx="2">
                  <c:v>42766</c:v>
                </c:pt>
                <c:pt idx="3">
                  <c:v>42765</c:v>
                </c:pt>
                <c:pt idx="4">
                  <c:v>42762</c:v>
                </c:pt>
                <c:pt idx="5">
                  <c:v>42761</c:v>
                </c:pt>
                <c:pt idx="6">
                  <c:v>42760</c:v>
                </c:pt>
                <c:pt idx="7">
                  <c:v>42760</c:v>
                </c:pt>
                <c:pt idx="8">
                  <c:v>42759</c:v>
                </c:pt>
                <c:pt idx="9">
                  <c:v>42758</c:v>
                </c:pt>
                <c:pt idx="10">
                  <c:v>42755</c:v>
                </c:pt>
                <c:pt idx="11">
                  <c:v>42754</c:v>
                </c:pt>
                <c:pt idx="12">
                  <c:v>42753</c:v>
                </c:pt>
                <c:pt idx="13">
                  <c:v>42752</c:v>
                </c:pt>
                <c:pt idx="14">
                  <c:v>42748</c:v>
                </c:pt>
                <c:pt idx="15">
                  <c:v>42747</c:v>
                </c:pt>
                <c:pt idx="16">
                  <c:v>42746</c:v>
                </c:pt>
                <c:pt idx="17">
                  <c:v>42745</c:v>
                </c:pt>
                <c:pt idx="18">
                  <c:v>42744</c:v>
                </c:pt>
                <c:pt idx="19">
                  <c:v>42741</c:v>
                </c:pt>
                <c:pt idx="20">
                  <c:v>42740</c:v>
                </c:pt>
                <c:pt idx="21">
                  <c:v>42739</c:v>
                </c:pt>
                <c:pt idx="22">
                  <c:v>42738</c:v>
                </c:pt>
                <c:pt idx="23">
                  <c:v>42734</c:v>
                </c:pt>
                <c:pt idx="24">
                  <c:v>42733</c:v>
                </c:pt>
                <c:pt idx="25">
                  <c:v>42732</c:v>
                </c:pt>
                <c:pt idx="26">
                  <c:v>42731</c:v>
                </c:pt>
                <c:pt idx="27">
                  <c:v>42727</c:v>
                </c:pt>
                <c:pt idx="28">
                  <c:v>42726</c:v>
                </c:pt>
                <c:pt idx="29">
                  <c:v>42725</c:v>
                </c:pt>
                <c:pt idx="30">
                  <c:v>42724</c:v>
                </c:pt>
                <c:pt idx="31">
                  <c:v>42723</c:v>
                </c:pt>
                <c:pt idx="32">
                  <c:v>42720</c:v>
                </c:pt>
                <c:pt idx="33">
                  <c:v>42719</c:v>
                </c:pt>
                <c:pt idx="34">
                  <c:v>42718</c:v>
                </c:pt>
                <c:pt idx="35">
                  <c:v>42717</c:v>
                </c:pt>
                <c:pt idx="36">
                  <c:v>42716</c:v>
                </c:pt>
                <c:pt idx="37">
                  <c:v>42713</c:v>
                </c:pt>
                <c:pt idx="38">
                  <c:v>42712</c:v>
                </c:pt>
                <c:pt idx="39">
                  <c:v>42711</c:v>
                </c:pt>
                <c:pt idx="40">
                  <c:v>42710</c:v>
                </c:pt>
                <c:pt idx="41">
                  <c:v>42709</c:v>
                </c:pt>
                <c:pt idx="42">
                  <c:v>42706</c:v>
                </c:pt>
                <c:pt idx="43">
                  <c:v>42705</c:v>
                </c:pt>
                <c:pt idx="44">
                  <c:v>42704</c:v>
                </c:pt>
                <c:pt idx="45">
                  <c:v>42703</c:v>
                </c:pt>
                <c:pt idx="46">
                  <c:v>42702</c:v>
                </c:pt>
                <c:pt idx="47">
                  <c:v>42699</c:v>
                </c:pt>
                <c:pt idx="48">
                  <c:v>42697</c:v>
                </c:pt>
                <c:pt idx="49">
                  <c:v>42696</c:v>
                </c:pt>
                <c:pt idx="50">
                  <c:v>42695</c:v>
                </c:pt>
                <c:pt idx="51">
                  <c:v>42692</c:v>
                </c:pt>
                <c:pt idx="52">
                  <c:v>42691</c:v>
                </c:pt>
                <c:pt idx="53">
                  <c:v>42690</c:v>
                </c:pt>
                <c:pt idx="54">
                  <c:v>42689</c:v>
                </c:pt>
                <c:pt idx="55">
                  <c:v>42688</c:v>
                </c:pt>
                <c:pt idx="56">
                  <c:v>42685</c:v>
                </c:pt>
                <c:pt idx="57">
                  <c:v>42684</c:v>
                </c:pt>
                <c:pt idx="58">
                  <c:v>42683</c:v>
                </c:pt>
                <c:pt idx="59">
                  <c:v>42682</c:v>
                </c:pt>
                <c:pt idx="60">
                  <c:v>42681</c:v>
                </c:pt>
                <c:pt idx="61">
                  <c:v>42678</c:v>
                </c:pt>
                <c:pt idx="62">
                  <c:v>42677</c:v>
                </c:pt>
                <c:pt idx="63">
                  <c:v>42676</c:v>
                </c:pt>
                <c:pt idx="64">
                  <c:v>42675</c:v>
                </c:pt>
                <c:pt idx="65">
                  <c:v>42674</c:v>
                </c:pt>
              </c:numCache>
            </c:numRef>
          </c:cat>
          <c:val>
            <c:numRef>
              <c:f>SIG!$AA$2:$AA$67</c:f>
              <c:numCache>
                <c:formatCode>General</c:formatCode>
                <c:ptCount val="66"/>
                <c:pt idx="0">
                  <c:v>76.12</c:v>
                </c:pt>
                <c:pt idx="1">
                  <c:v>77.010000000000005</c:v>
                </c:pt>
                <c:pt idx="2">
                  <c:v>77.67</c:v>
                </c:pt>
                <c:pt idx="3">
                  <c:v>79.16</c:v>
                </c:pt>
                <c:pt idx="4">
                  <c:v>79.989999999999995</c:v>
                </c:pt>
                <c:pt idx="5">
                  <c:v>81.95</c:v>
                </c:pt>
                <c:pt idx="6">
                  <c:v>82.98</c:v>
                </c:pt>
                <c:pt idx="8">
                  <c:v>82.73</c:v>
                </c:pt>
                <c:pt idx="9">
                  <c:v>80.91</c:v>
                </c:pt>
                <c:pt idx="10">
                  <c:v>80.72</c:v>
                </c:pt>
                <c:pt idx="11">
                  <c:v>80.77</c:v>
                </c:pt>
                <c:pt idx="12">
                  <c:v>82.03</c:v>
                </c:pt>
                <c:pt idx="13">
                  <c:v>81.150000000000006</c:v>
                </c:pt>
                <c:pt idx="14">
                  <c:v>80.78</c:v>
                </c:pt>
                <c:pt idx="15">
                  <c:v>84.36</c:v>
                </c:pt>
                <c:pt idx="16">
                  <c:v>84.7</c:v>
                </c:pt>
                <c:pt idx="17">
                  <c:v>87.46</c:v>
                </c:pt>
                <c:pt idx="18">
                  <c:v>86.12</c:v>
                </c:pt>
                <c:pt idx="19">
                  <c:v>88.22</c:v>
                </c:pt>
                <c:pt idx="20">
                  <c:v>87.97</c:v>
                </c:pt>
                <c:pt idx="21">
                  <c:v>95.63</c:v>
                </c:pt>
                <c:pt idx="22">
                  <c:v>94.94</c:v>
                </c:pt>
                <c:pt idx="23">
                  <c:v>94.26</c:v>
                </c:pt>
                <c:pt idx="24">
                  <c:v>93.95</c:v>
                </c:pt>
                <c:pt idx="25">
                  <c:v>93.7</c:v>
                </c:pt>
                <c:pt idx="26">
                  <c:v>93.71</c:v>
                </c:pt>
                <c:pt idx="27">
                  <c:v>93.21</c:v>
                </c:pt>
                <c:pt idx="28">
                  <c:v>93.4</c:v>
                </c:pt>
                <c:pt idx="29">
                  <c:v>94.76</c:v>
                </c:pt>
                <c:pt idx="30">
                  <c:v>95.18</c:v>
                </c:pt>
                <c:pt idx="31">
                  <c:v>94.41</c:v>
                </c:pt>
                <c:pt idx="32">
                  <c:v>94.07</c:v>
                </c:pt>
                <c:pt idx="33">
                  <c:v>95.02</c:v>
                </c:pt>
                <c:pt idx="34">
                  <c:v>94.97</c:v>
                </c:pt>
                <c:pt idx="35">
                  <c:v>96.17</c:v>
                </c:pt>
                <c:pt idx="36">
                  <c:v>96.39</c:v>
                </c:pt>
                <c:pt idx="37">
                  <c:v>98.72</c:v>
                </c:pt>
                <c:pt idx="38">
                  <c:v>98.05</c:v>
                </c:pt>
                <c:pt idx="39">
                  <c:v>95.29</c:v>
                </c:pt>
                <c:pt idx="40">
                  <c:v>93.98</c:v>
                </c:pt>
                <c:pt idx="41">
                  <c:v>93.64</c:v>
                </c:pt>
                <c:pt idx="42">
                  <c:v>92.07</c:v>
                </c:pt>
                <c:pt idx="43">
                  <c:v>91.25</c:v>
                </c:pt>
                <c:pt idx="44">
                  <c:v>91.29</c:v>
                </c:pt>
                <c:pt idx="45">
                  <c:v>91.82</c:v>
                </c:pt>
                <c:pt idx="46">
                  <c:v>92.24</c:v>
                </c:pt>
                <c:pt idx="47">
                  <c:v>93.07</c:v>
                </c:pt>
                <c:pt idx="48">
                  <c:v>93.86</c:v>
                </c:pt>
                <c:pt idx="49">
                  <c:v>90.79</c:v>
                </c:pt>
                <c:pt idx="50">
                  <c:v>88.88</c:v>
                </c:pt>
                <c:pt idx="51">
                  <c:v>88.96</c:v>
                </c:pt>
                <c:pt idx="52">
                  <c:v>92.12</c:v>
                </c:pt>
                <c:pt idx="53">
                  <c:v>90.85</c:v>
                </c:pt>
                <c:pt idx="54">
                  <c:v>89.6</c:v>
                </c:pt>
                <c:pt idx="55">
                  <c:v>92.44</c:v>
                </c:pt>
                <c:pt idx="56">
                  <c:v>90.12</c:v>
                </c:pt>
                <c:pt idx="57">
                  <c:v>89.79</c:v>
                </c:pt>
                <c:pt idx="58">
                  <c:v>86.75</c:v>
                </c:pt>
                <c:pt idx="59">
                  <c:v>82.87</c:v>
                </c:pt>
                <c:pt idx="60">
                  <c:v>83.63</c:v>
                </c:pt>
                <c:pt idx="61">
                  <c:v>81.39</c:v>
                </c:pt>
                <c:pt idx="62">
                  <c:v>80.78</c:v>
                </c:pt>
                <c:pt idx="63">
                  <c:v>80.2</c:v>
                </c:pt>
                <c:pt idx="64">
                  <c:v>80.72</c:v>
                </c:pt>
                <c:pt idx="65">
                  <c:v>81.260000000000005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3580136"/>
        <c:axId val="493580528"/>
      </c:lineChart>
      <c:dateAx>
        <c:axId val="49358013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580528"/>
        <c:crosses val="autoZero"/>
        <c:auto val="1"/>
        <c:lblOffset val="100"/>
        <c:baseTimeUnit val="days"/>
      </c:dateAx>
      <c:valAx>
        <c:axId val="493580528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5801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AAPL!$AA$1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AAPL!$W$2:$W$67</c:f>
              <c:numCache>
                <c:formatCode>d\-mmm\-yy</c:formatCode>
                <c:ptCount val="66"/>
                <c:pt idx="0">
                  <c:v>42768</c:v>
                </c:pt>
                <c:pt idx="1">
                  <c:v>42767</c:v>
                </c:pt>
                <c:pt idx="2">
                  <c:v>42766</c:v>
                </c:pt>
                <c:pt idx="3">
                  <c:v>42765</c:v>
                </c:pt>
                <c:pt idx="4">
                  <c:v>42762</c:v>
                </c:pt>
                <c:pt idx="5">
                  <c:v>42761</c:v>
                </c:pt>
                <c:pt idx="6">
                  <c:v>42760</c:v>
                </c:pt>
                <c:pt idx="7">
                  <c:v>42759</c:v>
                </c:pt>
                <c:pt idx="8">
                  <c:v>42758</c:v>
                </c:pt>
                <c:pt idx="9">
                  <c:v>42755</c:v>
                </c:pt>
                <c:pt idx="10">
                  <c:v>42754</c:v>
                </c:pt>
                <c:pt idx="11">
                  <c:v>42753</c:v>
                </c:pt>
                <c:pt idx="12">
                  <c:v>42752</c:v>
                </c:pt>
                <c:pt idx="13">
                  <c:v>42748</c:v>
                </c:pt>
                <c:pt idx="14">
                  <c:v>42747</c:v>
                </c:pt>
                <c:pt idx="15">
                  <c:v>42746</c:v>
                </c:pt>
                <c:pt idx="16">
                  <c:v>42745</c:v>
                </c:pt>
                <c:pt idx="17">
                  <c:v>42744</c:v>
                </c:pt>
                <c:pt idx="18">
                  <c:v>42741</c:v>
                </c:pt>
                <c:pt idx="19">
                  <c:v>42740</c:v>
                </c:pt>
                <c:pt idx="20">
                  <c:v>42739</c:v>
                </c:pt>
                <c:pt idx="21">
                  <c:v>42738</c:v>
                </c:pt>
                <c:pt idx="22">
                  <c:v>42734</c:v>
                </c:pt>
                <c:pt idx="23">
                  <c:v>42733</c:v>
                </c:pt>
                <c:pt idx="24">
                  <c:v>42732</c:v>
                </c:pt>
                <c:pt idx="25">
                  <c:v>42731</c:v>
                </c:pt>
                <c:pt idx="26">
                  <c:v>42727</c:v>
                </c:pt>
                <c:pt idx="27">
                  <c:v>42726</c:v>
                </c:pt>
                <c:pt idx="28">
                  <c:v>42725</c:v>
                </c:pt>
                <c:pt idx="29">
                  <c:v>42724</c:v>
                </c:pt>
                <c:pt idx="30">
                  <c:v>42723</c:v>
                </c:pt>
                <c:pt idx="31">
                  <c:v>42720</c:v>
                </c:pt>
                <c:pt idx="32">
                  <c:v>42719</c:v>
                </c:pt>
                <c:pt idx="33">
                  <c:v>42718</c:v>
                </c:pt>
                <c:pt idx="34">
                  <c:v>42717</c:v>
                </c:pt>
                <c:pt idx="35">
                  <c:v>42716</c:v>
                </c:pt>
                <c:pt idx="36">
                  <c:v>42713</c:v>
                </c:pt>
                <c:pt idx="37">
                  <c:v>42712</c:v>
                </c:pt>
                <c:pt idx="38">
                  <c:v>42711</c:v>
                </c:pt>
                <c:pt idx="39">
                  <c:v>42710</c:v>
                </c:pt>
                <c:pt idx="40">
                  <c:v>42709</c:v>
                </c:pt>
                <c:pt idx="41">
                  <c:v>42706</c:v>
                </c:pt>
                <c:pt idx="42">
                  <c:v>42705</c:v>
                </c:pt>
                <c:pt idx="43">
                  <c:v>42704</c:v>
                </c:pt>
                <c:pt idx="44">
                  <c:v>42703</c:v>
                </c:pt>
                <c:pt idx="45">
                  <c:v>42702</c:v>
                </c:pt>
                <c:pt idx="46">
                  <c:v>42699</c:v>
                </c:pt>
                <c:pt idx="47">
                  <c:v>42697</c:v>
                </c:pt>
                <c:pt idx="48">
                  <c:v>42696</c:v>
                </c:pt>
                <c:pt idx="49">
                  <c:v>42695</c:v>
                </c:pt>
                <c:pt idx="50">
                  <c:v>42692</c:v>
                </c:pt>
                <c:pt idx="51">
                  <c:v>42691</c:v>
                </c:pt>
                <c:pt idx="52">
                  <c:v>42690</c:v>
                </c:pt>
                <c:pt idx="53">
                  <c:v>42689</c:v>
                </c:pt>
                <c:pt idx="54">
                  <c:v>42688</c:v>
                </c:pt>
                <c:pt idx="55">
                  <c:v>42685</c:v>
                </c:pt>
                <c:pt idx="56">
                  <c:v>42684</c:v>
                </c:pt>
                <c:pt idx="57">
                  <c:v>42683</c:v>
                </c:pt>
                <c:pt idx="58">
                  <c:v>42682</c:v>
                </c:pt>
                <c:pt idx="59">
                  <c:v>42681</c:v>
                </c:pt>
                <c:pt idx="60">
                  <c:v>42678</c:v>
                </c:pt>
                <c:pt idx="61">
                  <c:v>42677</c:v>
                </c:pt>
                <c:pt idx="62">
                  <c:v>42677</c:v>
                </c:pt>
                <c:pt idx="63">
                  <c:v>42676</c:v>
                </c:pt>
                <c:pt idx="64">
                  <c:v>42675</c:v>
                </c:pt>
                <c:pt idx="65">
                  <c:v>42674</c:v>
                </c:pt>
              </c:numCache>
            </c:numRef>
          </c:cat>
          <c:val>
            <c:numRef>
              <c:f>AAPL!$AA$2:$AA$67</c:f>
              <c:numCache>
                <c:formatCode>General</c:formatCode>
                <c:ptCount val="66"/>
                <c:pt idx="0">
                  <c:v>128.53</c:v>
                </c:pt>
                <c:pt idx="1">
                  <c:v>128.75</c:v>
                </c:pt>
                <c:pt idx="2">
                  <c:v>121.35</c:v>
                </c:pt>
                <c:pt idx="3">
                  <c:v>121.63</c:v>
                </c:pt>
                <c:pt idx="4">
                  <c:v>121.95</c:v>
                </c:pt>
                <c:pt idx="5">
                  <c:v>121.94</c:v>
                </c:pt>
                <c:pt idx="6">
                  <c:v>121.88</c:v>
                </c:pt>
                <c:pt idx="7">
                  <c:v>119.97</c:v>
                </c:pt>
                <c:pt idx="8">
                  <c:v>120.08</c:v>
                </c:pt>
                <c:pt idx="9">
                  <c:v>120</c:v>
                </c:pt>
                <c:pt idx="10">
                  <c:v>119.78</c:v>
                </c:pt>
                <c:pt idx="11">
                  <c:v>119.99</c:v>
                </c:pt>
                <c:pt idx="12">
                  <c:v>120</c:v>
                </c:pt>
                <c:pt idx="13">
                  <c:v>119.04</c:v>
                </c:pt>
                <c:pt idx="14">
                  <c:v>119.25</c:v>
                </c:pt>
                <c:pt idx="15">
                  <c:v>119.75</c:v>
                </c:pt>
                <c:pt idx="16">
                  <c:v>119.11</c:v>
                </c:pt>
                <c:pt idx="17">
                  <c:v>118.99</c:v>
                </c:pt>
                <c:pt idx="18">
                  <c:v>117.91</c:v>
                </c:pt>
                <c:pt idx="19">
                  <c:v>116.61</c:v>
                </c:pt>
                <c:pt idx="20">
                  <c:v>116.02</c:v>
                </c:pt>
                <c:pt idx="21">
                  <c:v>116.15</c:v>
                </c:pt>
                <c:pt idx="22">
                  <c:v>115.82</c:v>
                </c:pt>
                <c:pt idx="23">
                  <c:v>116.73</c:v>
                </c:pt>
                <c:pt idx="24">
                  <c:v>116.76</c:v>
                </c:pt>
                <c:pt idx="25">
                  <c:v>117.26</c:v>
                </c:pt>
                <c:pt idx="26">
                  <c:v>116.52</c:v>
                </c:pt>
                <c:pt idx="27">
                  <c:v>116.29</c:v>
                </c:pt>
                <c:pt idx="28">
                  <c:v>117.06</c:v>
                </c:pt>
                <c:pt idx="29">
                  <c:v>116.95</c:v>
                </c:pt>
                <c:pt idx="30">
                  <c:v>116.64</c:v>
                </c:pt>
                <c:pt idx="31">
                  <c:v>115.97</c:v>
                </c:pt>
                <c:pt idx="32">
                  <c:v>115.82</c:v>
                </c:pt>
                <c:pt idx="33">
                  <c:v>115.19</c:v>
                </c:pt>
                <c:pt idx="34">
                  <c:v>115.19</c:v>
                </c:pt>
                <c:pt idx="35">
                  <c:v>113.3</c:v>
                </c:pt>
                <c:pt idx="36">
                  <c:v>113.95</c:v>
                </c:pt>
                <c:pt idx="37">
                  <c:v>112.12</c:v>
                </c:pt>
                <c:pt idx="38">
                  <c:v>111.03</c:v>
                </c:pt>
                <c:pt idx="39">
                  <c:v>109.95</c:v>
                </c:pt>
                <c:pt idx="40">
                  <c:v>109.11</c:v>
                </c:pt>
                <c:pt idx="41">
                  <c:v>109.9</c:v>
                </c:pt>
                <c:pt idx="42">
                  <c:v>109.49</c:v>
                </c:pt>
                <c:pt idx="43">
                  <c:v>110.52</c:v>
                </c:pt>
                <c:pt idx="44">
                  <c:v>111.46</c:v>
                </c:pt>
                <c:pt idx="45">
                  <c:v>111.57</c:v>
                </c:pt>
                <c:pt idx="46">
                  <c:v>111.79</c:v>
                </c:pt>
                <c:pt idx="47">
                  <c:v>111.23</c:v>
                </c:pt>
                <c:pt idx="48">
                  <c:v>111.8</c:v>
                </c:pt>
                <c:pt idx="49">
                  <c:v>111.73</c:v>
                </c:pt>
                <c:pt idx="50">
                  <c:v>110.06</c:v>
                </c:pt>
                <c:pt idx="51">
                  <c:v>109.95</c:v>
                </c:pt>
                <c:pt idx="52">
                  <c:v>109.99</c:v>
                </c:pt>
                <c:pt idx="53">
                  <c:v>107.11</c:v>
                </c:pt>
                <c:pt idx="54">
                  <c:v>105.71</c:v>
                </c:pt>
                <c:pt idx="55">
                  <c:v>108.43</c:v>
                </c:pt>
                <c:pt idx="56">
                  <c:v>107.79</c:v>
                </c:pt>
                <c:pt idx="57">
                  <c:v>110.88</c:v>
                </c:pt>
                <c:pt idx="58">
                  <c:v>111.06</c:v>
                </c:pt>
                <c:pt idx="59">
                  <c:v>110.41</c:v>
                </c:pt>
                <c:pt idx="60">
                  <c:v>108.84</c:v>
                </c:pt>
                <c:pt idx="61">
                  <c:v>109.83</c:v>
                </c:pt>
                <c:pt idx="63">
                  <c:v>111.59</c:v>
                </c:pt>
                <c:pt idx="64">
                  <c:v>111.49</c:v>
                </c:pt>
                <c:pt idx="65">
                  <c:v>113.54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1900280"/>
        <c:axId val="493582488"/>
      </c:lineChart>
      <c:dateAx>
        <c:axId val="51190028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582488"/>
        <c:crosses val="autoZero"/>
        <c:auto val="1"/>
        <c:lblOffset val="100"/>
        <c:baseTimeUnit val="days"/>
      </c:dateAx>
      <c:valAx>
        <c:axId val="493582488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9002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AXP!$AA$1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AXP!$W$2:$W$67</c:f>
              <c:numCache>
                <c:formatCode>d\-mmm\-yy</c:formatCode>
                <c:ptCount val="66"/>
                <c:pt idx="0">
                  <c:v>42768</c:v>
                </c:pt>
                <c:pt idx="1">
                  <c:v>42767</c:v>
                </c:pt>
                <c:pt idx="2">
                  <c:v>42766</c:v>
                </c:pt>
                <c:pt idx="3">
                  <c:v>42765</c:v>
                </c:pt>
                <c:pt idx="4">
                  <c:v>42762</c:v>
                </c:pt>
                <c:pt idx="5">
                  <c:v>42761</c:v>
                </c:pt>
                <c:pt idx="6">
                  <c:v>42760</c:v>
                </c:pt>
                <c:pt idx="7">
                  <c:v>42759</c:v>
                </c:pt>
                <c:pt idx="8">
                  <c:v>42758</c:v>
                </c:pt>
                <c:pt idx="9">
                  <c:v>42755</c:v>
                </c:pt>
                <c:pt idx="10">
                  <c:v>42754</c:v>
                </c:pt>
                <c:pt idx="11">
                  <c:v>42753</c:v>
                </c:pt>
                <c:pt idx="12">
                  <c:v>42752</c:v>
                </c:pt>
                <c:pt idx="13">
                  <c:v>42748</c:v>
                </c:pt>
                <c:pt idx="14">
                  <c:v>42747</c:v>
                </c:pt>
                <c:pt idx="15">
                  <c:v>42746</c:v>
                </c:pt>
                <c:pt idx="16">
                  <c:v>42745</c:v>
                </c:pt>
                <c:pt idx="17">
                  <c:v>42744</c:v>
                </c:pt>
                <c:pt idx="18">
                  <c:v>42741</c:v>
                </c:pt>
                <c:pt idx="19">
                  <c:v>42740</c:v>
                </c:pt>
                <c:pt idx="20">
                  <c:v>42739</c:v>
                </c:pt>
                <c:pt idx="21">
                  <c:v>42739</c:v>
                </c:pt>
                <c:pt idx="22">
                  <c:v>42738</c:v>
                </c:pt>
                <c:pt idx="23">
                  <c:v>42734</c:v>
                </c:pt>
                <c:pt idx="24">
                  <c:v>42733</c:v>
                </c:pt>
                <c:pt idx="25">
                  <c:v>42732</c:v>
                </c:pt>
                <c:pt idx="26">
                  <c:v>42731</c:v>
                </c:pt>
                <c:pt idx="27">
                  <c:v>42727</c:v>
                </c:pt>
                <c:pt idx="28">
                  <c:v>42726</c:v>
                </c:pt>
                <c:pt idx="29">
                  <c:v>42725</c:v>
                </c:pt>
                <c:pt idx="30">
                  <c:v>42724</c:v>
                </c:pt>
                <c:pt idx="31">
                  <c:v>42723</c:v>
                </c:pt>
                <c:pt idx="32">
                  <c:v>42720</c:v>
                </c:pt>
                <c:pt idx="33">
                  <c:v>42719</c:v>
                </c:pt>
                <c:pt idx="34">
                  <c:v>42718</c:v>
                </c:pt>
                <c:pt idx="35">
                  <c:v>42717</c:v>
                </c:pt>
                <c:pt idx="36">
                  <c:v>42716</c:v>
                </c:pt>
                <c:pt idx="37">
                  <c:v>42713</c:v>
                </c:pt>
                <c:pt idx="38">
                  <c:v>42712</c:v>
                </c:pt>
                <c:pt idx="39">
                  <c:v>42711</c:v>
                </c:pt>
                <c:pt idx="40">
                  <c:v>42710</c:v>
                </c:pt>
                <c:pt idx="41">
                  <c:v>42709</c:v>
                </c:pt>
                <c:pt idx="42">
                  <c:v>42706</c:v>
                </c:pt>
                <c:pt idx="43">
                  <c:v>42705</c:v>
                </c:pt>
                <c:pt idx="44">
                  <c:v>42704</c:v>
                </c:pt>
                <c:pt idx="45">
                  <c:v>42703</c:v>
                </c:pt>
                <c:pt idx="46">
                  <c:v>42702</c:v>
                </c:pt>
                <c:pt idx="47">
                  <c:v>42699</c:v>
                </c:pt>
                <c:pt idx="48">
                  <c:v>42697</c:v>
                </c:pt>
                <c:pt idx="49">
                  <c:v>42696</c:v>
                </c:pt>
                <c:pt idx="50">
                  <c:v>42695</c:v>
                </c:pt>
                <c:pt idx="51">
                  <c:v>42692</c:v>
                </c:pt>
                <c:pt idx="52">
                  <c:v>42691</c:v>
                </c:pt>
                <c:pt idx="53">
                  <c:v>42690</c:v>
                </c:pt>
                <c:pt idx="54">
                  <c:v>42689</c:v>
                </c:pt>
                <c:pt idx="55">
                  <c:v>42688</c:v>
                </c:pt>
                <c:pt idx="56">
                  <c:v>42685</c:v>
                </c:pt>
                <c:pt idx="57">
                  <c:v>42684</c:v>
                </c:pt>
                <c:pt idx="58">
                  <c:v>42683</c:v>
                </c:pt>
                <c:pt idx="59">
                  <c:v>42682</c:v>
                </c:pt>
                <c:pt idx="60">
                  <c:v>42681</c:v>
                </c:pt>
                <c:pt idx="61">
                  <c:v>42678</c:v>
                </c:pt>
                <c:pt idx="62">
                  <c:v>42677</c:v>
                </c:pt>
                <c:pt idx="63">
                  <c:v>42676</c:v>
                </c:pt>
                <c:pt idx="64">
                  <c:v>42675</c:v>
                </c:pt>
                <c:pt idx="65">
                  <c:v>42674</c:v>
                </c:pt>
              </c:numCache>
            </c:numRef>
          </c:cat>
          <c:val>
            <c:numRef>
              <c:f>AXP!$AA$2:$AA$69</c:f>
              <c:numCache>
                <c:formatCode>General</c:formatCode>
                <c:ptCount val="68"/>
                <c:pt idx="0">
                  <c:v>76.510000000000005</c:v>
                </c:pt>
                <c:pt idx="1">
                  <c:v>76.760000000000005</c:v>
                </c:pt>
                <c:pt idx="2">
                  <c:v>76.38</c:v>
                </c:pt>
                <c:pt idx="3">
                  <c:v>77.28</c:v>
                </c:pt>
                <c:pt idx="4">
                  <c:v>76.849999999999994</c:v>
                </c:pt>
                <c:pt idx="5">
                  <c:v>76.930000000000007</c:v>
                </c:pt>
                <c:pt idx="6">
                  <c:v>76.89</c:v>
                </c:pt>
                <c:pt idx="7">
                  <c:v>77.430000000000007</c:v>
                </c:pt>
                <c:pt idx="8">
                  <c:v>75.97</c:v>
                </c:pt>
                <c:pt idx="9">
                  <c:v>76.2</c:v>
                </c:pt>
                <c:pt idx="10">
                  <c:v>76.69</c:v>
                </c:pt>
                <c:pt idx="11">
                  <c:v>77.489999999999995</c:v>
                </c:pt>
                <c:pt idx="12">
                  <c:v>76.599999999999994</c:v>
                </c:pt>
                <c:pt idx="13">
                  <c:v>76.62</c:v>
                </c:pt>
                <c:pt idx="14">
                  <c:v>76.88</c:v>
                </c:pt>
                <c:pt idx="15">
                  <c:v>76.91</c:v>
                </c:pt>
                <c:pt idx="16">
                  <c:v>76.650000000000006</c:v>
                </c:pt>
                <c:pt idx="17">
                  <c:v>75.86</c:v>
                </c:pt>
                <c:pt idx="18">
                  <c:v>75.47</c:v>
                </c:pt>
                <c:pt idx="19">
                  <c:v>75.319999999999993</c:v>
                </c:pt>
                <c:pt idx="20">
                  <c:v>76.260000000000005</c:v>
                </c:pt>
                <c:pt idx="22">
                  <c:v>75.349999999999994</c:v>
                </c:pt>
                <c:pt idx="23">
                  <c:v>74.08</c:v>
                </c:pt>
                <c:pt idx="24">
                  <c:v>73.92</c:v>
                </c:pt>
                <c:pt idx="25">
                  <c:v>74.37</c:v>
                </c:pt>
                <c:pt idx="26">
                  <c:v>74.98</c:v>
                </c:pt>
                <c:pt idx="27">
                  <c:v>74.97</c:v>
                </c:pt>
                <c:pt idx="28">
                  <c:v>74.58</c:v>
                </c:pt>
                <c:pt idx="29">
                  <c:v>75.319999999999993</c:v>
                </c:pt>
                <c:pt idx="30">
                  <c:v>75.06</c:v>
                </c:pt>
                <c:pt idx="31">
                  <c:v>74.55</c:v>
                </c:pt>
                <c:pt idx="32">
                  <c:v>75</c:v>
                </c:pt>
                <c:pt idx="33">
                  <c:v>74.94</c:v>
                </c:pt>
                <c:pt idx="34">
                  <c:v>74.069999999999993</c:v>
                </c:pt>
                <c:pt idx="35">
                  <c:v>73.84</c:v>
                </c:pt>
                <c:pt idx="36">
                  <c:v>73.58</c:v>
                </c:pt>
                <c:pt idx="37">
                  <c:v>74.77</c:v>
                </c:pt>
                <c:pt idx="38">
                  <c:v>74.91</c:v>
                </c:pt>
                <c:pt idx="39">
                  <c:v>74.290000000000006</c:v>
                </c:pt>
                <c:pt idx="40">
                  <c:v>72.31</c:v>
                </c:pt>
                <c:pt idx="41">
                  <c:v>72.03</c:v>
                </c:pt>
                <c:pt idx="42">
                  <c:v>71.86</c:v>
                </c:pt>
                <c:pt idx="43">
                  <c:v>72.53</c:v>
                </c:pt>
                <c:pt idx="44">
                  <c:v>72.040000000000006</c:v>
                </c:pt>
                <c:pt idx="45">
                  <c:v>71.489999999999995</c:v>
                </c:pt>
                <c:pt idx="46">
                  <c:v>72.13</c:v>
                </c:pt>
                <c:pt idx="47">
                  <c:v>72.86</c:v>
                </c:pt>
                <c:pt idx="48">
                  <c:v>72.88</c:v>
                </c:pt>
                <c:pt idx="49">
                  <c:v>71.72</c:v>
                </c:pt>
                <c:pt idx="50">
                  <c:v>71.540000000000006</c:v>
                </c:pt>
                <c:pt idx="51">
                  <c:v>71</c:v>
                </c:pt>
                <c:pt idx="52">
                  <c:v>71.78</c:v>
                </c:pt>
                <c:pt idx="53">
                  <c:v>71.680000000000007</c:v>
                </c:pt>
                <c:pt idx="54">
                  <c:v>72.47</c:v>
                </c:pt>
                <c:pt idx="55">
                  <c:v>72.42</c:v>
                </c:pt>
                <c:pt idx="56">
                  <c:v>70.5</c:v>
                </c:pt>
                <c:pt idx="57">
                  <c:v>70.11</c:v>
                </c:pt>
                <c:pt idx="58">
                  <c:v>68.739999999999995</c:v>
                </c:pt>
                <c:pt idx="59">
                  <c:v>67.069999999999993</c:v>
                </c:pt>
                <c:pt idx="60">
                  <c:v>67</c:v>
                </c:pt>
                <c:pt idx="61">
                  <c:v>65.510000000000005</c:v>
                </c:pt>
                <c:pt idx="62">
                  <c:v>65.33</c:v>
                </c:pt>
                <c:pt idx="63">
                  <c:v>65.45</c:v>
                </c:pt>
                <c:pt idx="64">
                  <c:v>66.25</c:v>
                </c:pt>
                <c:pt idx="65">
                  <c:v>66.42</c:v>
                </c:pt>
                <c:pt idx="66">
                  <c:v>66.45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3584448"/>
        <c:axId val="493584840"/>
      </c:lineChart>
      <c:dateAx>
        <c:axId val="49358444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584840"/>
        <c:crosses val="autoZero"/>
        <c:auto val="1"/>
        <c:lblOffset val="100"/>
        <c:baseTimeUnit val="days"/>
      </c:dateAx>
      <c:valAx>
        <c:axId val="493584840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58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DG!$AA$1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DG!$W$2:$W$67</c:f>
              <c:numCache>
                <c:formatCode>d\-mmm\-yy</c:formatCode>
                <c:ptCount val="66"/>
                <c:pt idx="0">
                  <c:v>42768</c:v>
                </c:pt>
                <c:pt idx="1">
                  <c:v>42767</c:v>
                </c:pt>
                <c:pt idx="2">
                  <c:v>42766</c:v>
                </c:pt>
                <c:pt idx="3">
                  <c:v>42765</c:v>
                </c:pt>
                <c:pt idx="4">
                  <c:v>42762</c:v>
                </c:pt>
                <c:pt idx="5">
                  <c:v>42761</c:v>
                </c:pt>
                <c:pt idx="6">
                  <c:v>42760</c:v>
                </c:pt>
                <c:pt idx="7">
                  <c:v>42759</c:v>
                </c:pt>
                <c:pt idx="8">
                  <c:v>42758</c:v>
                </c:pt>
                <c:pt idx="9">
                  <c:v>42755</c:v>
                </c:pt>
                <c:pt idx="10">
                  <c:v>42754</c:v>
                </c:pt>
                <c:pt idx="11">
                  <c:v>42753</c:v>
                </c:pt>
                <c:pt idx="12">
                  <c:v>42752</c:v>
                </c:pt>
                <c:pt idx="13">
                  <c:v>42748</c:v>
                </c:pt>
                <c:pt idx="14">
                  <c:v>42747</c:v>
                </c:pt>
                <c:pt idx="15">
                  <c:v>42746</c:v>
                </c:pt>
                <c:pt idx="16">
                  <c:v>42745</c:v>
                </c:pt>
                <c:pt idx="17">
                  <c:v>42744</c:v>
                </c:pt>
                <c:pt idx="18">
                  <c:v>42741</c:v>
                </c:pt>
                <c:pt idx="19">
                  <c:v>42740</c:v>
                </c:pt>
                <c:pt idx="20">
                  <c:v>42739</c:v>
                </c:pt>
                <c:pt idx="21">
                  <c:v>42738</c:v>
                </c:pt>
                <c:pt idx="22">
                  <c:v>42734</c:v>
                </c:pt>
                <c:pt idx="23">
                  <c:v>42733</c:v>
                </c:pt>
                <c:pt idx="24">
                  <c:v>42732</c:v>
                </c:pt>
                <c:pt idx="25">
                  <c:v>42731</c:v>
                </c:pt>
                <c:pt idx="26">
                  <c:v>42727</c:v>
                </c:pt>
                <c:pt idx="27">
                  <c:v>42726</c:v>
                </c:pt>
                <c:pt idx="28">
                  <c:v>42725</c:v>
                </c:pt>
                <c:pt idx="29">
                  <c:v>42724</c:v>
                </c:pt>
                <c:pt idx="30">
                  <c:v>42723</c:v>
                </c:pt>
                <c:pt idx="31">
                  <c:v>42723</c:v>
                </c:pt>
                <c:pt idx="32">
                  <c:v>42720</c:v>
                </c:pt>
                <c:pt idx="33">
                  <c:v>42719</c:v>
                </c:pt>
                <c:pt idx="34">
                  <c:v>42718</c:v>
                </c:pt>
                <c:pt idx="35">
                  <c:v>42717</c:v>
                </c:pt>
                <c:pt idx="36">
                  <c:v>42716</c:v>
                </c:pt>
                <c:pt idx="37">
                  <c:v>42713</c:v>
                </c:pt>
                <c:pt idx="38">
                  <c:v>42712</c:v>
                </c:pt>
                <c:pt idx="39">
                  <c:v>42711</c:v>
                </c:pt>
                <c:pt idx="40">
                  <c:v>42710</c:v>
                </c:pt>
                <c:pt idx="41">
                  <c:v>42709</c:v>
                </c:pt>
                <c:pt idx="42">
                  <c:v>42706</c:v>
                </c:pt>
                <c:pt idx="43">
                  <c:v>42705</c:v>
                </c:pt>
                <c:pt idx="44">
                  <c:v>42704</c:v>
                </c:pt>
                <c:pt idx="45">
                  <c:v>42703</c:v>
                </c:pt>
                <c:pt idx="46">
                  <c:v>42702</c:v>
                </c:pt>
                <c:pt idx="47">
                  <c:v>42699</c:v>
                </c:pt>
                <c:pt idx="48">
                  <c:v>42697</c:v>
                </c:pt>
                <c:pt idx="49">
                  <c:v>42696</c:v>
                </c:pt>
                <c:pt idx="50">
                  <c:v>42695</c:v>
                </c:pt>
                <c:pt idx="51">
                  <c:v>42692</c:v>
                </c:pt>
                <c:pt idx="52">
                  <c:v>42691</c:v>
                </c:pt>
                <c:pt idx="53">
                  <c:v>42690</c:v>
                </c:pt>
                <c:pt idx="54">
                  <c:v>42689</c:v>
                </c:pt>
                <c:pt idx="55">
                  <c:v>42688</c:v>
                </c:pt>
                <c:pt idx="56">
                  <c:v>42685</c:v>
                </c:pt>
                <c:pt idx="57">
                  <c:v>42684</c:v>
                </c:pt>
                <c:pt idx="58">
                  <c:v>42683</c:v>
                </c:pt>
                <c:pt idx="59">
                  <c:v>42682</c:v>
                </c:pt>
                <c:pt idx="60">
                  <c:v>42681</c:v>
                </c:pt>
                <c:pt idx="61">
                  <c:v>42678</c:v>
                </c:pt>
                <c:pt idx="62">
                  <c:v>42677</c:v>
                </c:pt>
                <c:pt idx="63">
                  <c:v>42676</c:v>
                </c:pt>
                <c:pt idx="64">
                  <c:v>42675</c:v>
                </c:pt>
                <c:pt idx="65">
                  <c:v>42674</c:v>
                </c:pt>
              </c:numCache>
            </c:numRef>
          </c:cat>
          <c:val>
            <c:numRef>
              <c:f>DG!$AA$2:$AA$69</c:f>
              <c:numCache>
                <c:formatCode>General</c:formatCode>
                <c:ptCount val="68"/>
                <c:pt idx="0">
                  <c:v>73.5</c:v>
                </c:pt>
                <c:pt idx="1">
                  <c:v>73.39</c:v>
                </c:pt>
                <c:pt idx="2">
                  <c:v>73.819999999999993</c:v>
                </c:pt>
                <c:pt idx="3">
                  <c:v>72</c:v>
                </c:pt>
                <c:pt idx="4">
                  <c:v>70.31</c:v>
                </c:pt>
                <c:pt idx="5">
                  <c:v>71.69</c:v>
                </c:pt>
                <c:pt idx="6">
                  <c:v>71.959999999999994</c:v>
                </c:pt>
                <c:pt idx="7">
                  <c:v>71.75</c:v>
                </c:pt>
                <c:pt idx="8">
                  <c:v>70.459999999999994</c:v>
                </c:pt>
                <c:pt idx="9">
                  <c:v>71</c:v>
                </c:pt>
                <c:pt idx="10">
                  <c:v>71.010000000000005</c:v>
                </c:pt>
                <c:pt idx="11">
                  <c:v>72.44</c:v>
                </c:pt>
                <c:pt idx="12">
                  <c:v>74.33</c:v>
                </c:pt>
                <c:pt idx="13">
                  <c:v>73.09</c:v>
                </c:pt>
                <c:pt idx="14">
                  <c:v>73.59</c:v>
                </c:pt>
                <c:pt idx="15">
                  <c:v>73.42</c:v>
                </c:pt>
                <c:pt idx="16">
                  <c:v>74.25</c:v>
                </c:pt>
                <c:pt idx="17">
                  <c:v>73.73</c:v>
                </c:pt>
                <c:pt idx="18">
                  <c:v>73.349999999999994</c:v>
                </c:pt>
                <c:pt idx="19">
                  <c:v>74.52</c:v>
                </c:pt>
                <c:pt idx="20">
                  <c:v>76.040000000000006</c:v>
                </c:pt>
                <c:pt idx="21">
                  <c:v>74.19</c:v>
                </c:pt>
                <c:pt idx="22">
                  <c:v>74.069999999999993</c:v>
                </c:pt>
                <c:pt idx="23">
                  <c:v>74.13</c:v>
                </c:pt>
                <c:pt idx="24">
                  <c:v>74.02</c:v>
                </c:pt>
                <c:pt idx="25">
                  <c:v>74.53</c:v>
                </c:pt>
                <c:pt idx="26">
                  <c:v>74.14</c:v>
                </c:pt>
                <c:pt idx="27">
                  <c:v>74.36</c:v>
                </c:pt>
                <c:pt idx="28">
                  <c:v>77.430000000000007</c:v>
                </c:pt>
                <c:pt idx="29">
                  <c:v>77.27</c:v>
                </c:pt>
                <c:pt idx="30">
                  <c:v>75.95</c:v>
                </c:pt>
                <c:pt idx="32">
                  <c:v>77.099999999999994</c:v>
                </c:pt>
                <c:pt idx="33">
                  <c:v>77.11</c:v>
                </c:pt>
                <c:pt idx="34">
                  <c:v>75.89</c:v>
                </c:pt>
                <c:pt idx="35">
                  <c:v>75.959999999999994</c:v>
                </c:pt>
                <c:pt idx="36">
                  <c:v>76.209999999999994</c:v>
                </c:pt>
                <c:pt idx="37">
                  <c:v>77.2</c:v>
                </c:pt>
                <c:pt idx="38">
                  <c:v>76.92</c:v>
                </c:pt>
                <c:pt idx="39">
                  <c:v>77.099999999999994</c:v>
                </c:pt>
                <c:pt idx="40">
                  <c:v>75.69</c:v>
                </c:pt>
                <c:pt idx="41">
                  <c:v>76.37</c:v>
                </c:pt>
                <c:pt idx="42">
                  <c:v>74.56</c:v>
                </c:pt>
                <c:pt idx="43">
                  <c:v>73.48</c:v>
                </c:pt>
                <c:pt idx="44">
                  <c:v>77.319999999999993</c:v>
                </c:pt>
                <c:pt idx="45">
                  <c:v>78.31</c:v>
                </c:pt>
                <c:pt idx="46">
                  <c:v>78.66</c:v>
                </c:pt>
                <c:pt idx="47">
                  <c:v>80.06</c:v>
                </c:pt>
                <c:pt idx="48">
                  <c:v>79.709999999999994</c:v>
                </c:pt>
                <c:pt idx="49">
                  <c:v>79.3</c:v>
                </c:pt>
                <c:pt idx="50">
                  <c:v>76.739999999999995</c:v>
                </c:pt>
                <c:pt idx="51">
                  <c:v>76.87</c:v>
                </c:pt>
                <c:pt idx="52">
                  <c:v>76.91</c:v>
                </c:pt>
                <c:pt idx="53">
                  <c:v>76.64</c:v>
                </c:pt>
                <c:pt idx="54">
                  <c:v>76.849999999999994</c:v>
                </c:pt>
                <c:pt idx="55">
                  <c:v>76.66</c:v>
                </c:pt>
                <c:pt idx="56">
                  <c:v>74.7</c:v>
                </c:pt>
                <c:pt idx="57">
                  <c:v>74.38</c:v>
                </c:pt>
                <c:pt idx="58">
                  <c:v>71.5</c:v>
                </c:pt>
                <c:pt idx="59">
                  <c:v>69.72</c:v>
                </c:pt>
                <c:pt idx="60">
                  <c:v>69.77</c:v>
                </c:pt>
                <c:pt idx="61">
                  <c:v>68.53</c:v>
                </c:pt>
                <c:pt idx="62">
                  <c:v>68.53</c:v>
                </c:pt>
                <c:pt idx="63">
                  <c:v>69.599999999999994</c:v>
                </c:pt>
                <c:pt idx="64">
                  <c:v>69.05</c:v>
                </c:pt>
                <c:pt idx="65">
                  <c:v>69.09</c:v>
                </c:pt>
                <c:pt idx="66">
                  <c:v>68.34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3586800"/>
        <c:axId val="493587192"/>
      </c:lineChart>
      <c:dateAx>
        <c:axId val="49358680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587192"/>
        <c:crosses val="autoZero"/>
        <c:auto val="1"/>
        <c:lblOffset val="100"/>
        <c:baseTimeUnit val="days"/>
      </c:dateAx>
      <c:valAx>
        <c:axId val="493587192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5868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PINC!$AA$1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PINC!$W$2:$W$67</c:f>
              <c:numCache>
                <c:formatCode>d\-mmm\-yy</c:formatCode>
                <c:ptCount val="66"/>
                <c:pt idx="0">
                  <c:v>42768</c:v>
                </c:pt>
                <c:pt idx="1">
                  <c:v>42767</c:v>
                </c:pt>
                <c:pt idx="2">
                  <c:v>42766</c:v>
                </c:pt>
                <c:pt idx="3">
                  <c:v>42765</c:v>
                </c:pt>
                <c:pt idx="4">
                  <c:v>42762</c:v>
                </c:pt>
                <c:pt idx="5">
                  <c:v>42761</c:v>
                </c:pt>
                <c:pt idx="6">
                  <c:v>42760</c:v>
                </c:pt>
                <c:pt idx="7">
                  <c:v>42759</c:v>
                </c:pt>
                <c:pt idx="8">
                  <c:v>42758</c:v>
                </c:pt>
                <c:pt idx="9">
                  <c:v>42755</c:v>
                </c:pt>
                <c:pt idx="10">
                  <c:v>42754</c:v>
                </c:pt>
                <c:pt idx="11">
                  <c:v>42753</c:v>
                </c:pt>
                <c:pt idx="12">
                  <c:v>42752</c:v>
                </c:pt>
                <c:pt idx="13">
                  <c:v>42748</c:v>
                </c:pt>
                <c:pt idx="14">
                  <c:v>42747</c:v>
                </c:pt>
                <c:pt idx="15">
                  <c:v>42746</c:v>
                </c:pt>
                <c:pt idx="16">
                  <c:v>42745</c:v>
                </c:pt>
                <c:pt idx="17">
                  <c:v>42744</c:v>
                </c:pt>
                <c:pt idx="18">
                  <c:v>42741</c:v>
                </c:pt>
                <c:pt idx="19">
                  <c:v>42740</c:v>
                </c:pt>
                <c:pt idx="20">
                  <c:v>42739</c:v>
                </c:pt>
                <c:pt idx="21">
                  <c:v>42738</c:v>
                </c:pt>
                <c:pt idx="22">
                  <c:v>42734</c:v>
                </c:pt>
                <c:pt idx="23">
                  <c:v>42733</c:v>
                </c:pt>
                <c:pt idx="24">
                  <c:v>42732</c:v>
                </c:pt>
                <c:pt idx="25">
                  <c:v>42731</c:v>
                </c:pt>
                <c:pt idx="26">
                  <c:v>42727</c:v>
                </c:pt>
                <c:pt idx="27">
                  <c:v>42726</c:v>
                </c:pt>
                <c:pt idx="28">
                  <c:v>42725</c:v>
                </c:pt>
                <c:pt idx="29">
                  <c:v>42724</c:v>
                </c:pt>
                <c:pt idx="30">
                  <c:v>42723</c:v>
                </c:pt>
                <c:pt idx="31">
                  <c:v>42720</c:v>
                </c:pt>
                <c:pt idx="32">
                  <c:v>42719</c:v>
                </c:pt>
                <c:pt idx="33">
                  <c:v>42718</c:v>
                </c:pt>
                <c:pt idx="34">
                  <c:v>42717</c:v>
                </c:pt>
                <c:pt idx="35">
                  <c:v>42716</c:v>
                </c:pt>
                <c:pt idx="36">
                  <c:v>42713</c:v>
                </c:pt>
                <c:pt idx="37">
                  <c:v>42712</c:v>
                </c:pt>
                <c:pt idx="38">
                  <c:v>42711</c:v>
                </c:pt>
                <c:pt idx="39">
                  <c:v>42710</c:v>
                </c:pt>
                <c:pt idx="40">
                  <c:v>42709</c:v>
                </c:pt>
                <c:pt idx="41">
                  <c:v>42706</c:v>
                </c:pt>
                <c:pt idx="42">
                  <c:v>42705</c:v>
                </c:pt>
                <c:pt idx="43">
                  <c:v>42704</c:v>
                </c:pt>
                <c:pt idx="44">
                  <c:v>42703</c:v>
                </c:pt>
                <c:pt idx="45">
                  <c:v>42702</c:v>
                </c:pt>
                <c:pt idx="46">
                  <c:v>42699</c:v>
                </c:pt>
                <c:pt idx="47">
                  <c:v>42697</c:v>
                </c:pt>
                <c:pt idx="48">
                  <c:v>42696</c:v>
                </c:pt>
                <c:pt idx="49">
                  <c:v>42695</c:v>
                </c:pt>
                <c:pt idx="50">
                  <c:v>42692</c:v>
                </c:pt>
                <c:pt idx="51">
                  <c:v>42691</c:v>
                </c:pt>
                <c:pt idx="52">
                  <c:v>42690</c:v>
                </c:pt>
                <c:pt idx="53">
                  <c:v>42689</c:v>
                </c:pt>
                <c:pt idx="54">
                  <c:v>42688</c:v>
                </c:pt>
                <c:pt idx="55">
                  <c:v>42685</c:v>
                </c:pt>
                <c:pt idx="56">
                  <c:v>42684</c:v>
                </c:pt>
                <c:pt idx="57">
                  <c:v>42683</c:v>
                </c:pt>
                <c:pt idx="58">
                  <c:v>42682</c:v>
                </c:pt>
                <c:pt idx="59">
                  <c:v>42681</c:v>
                </c:pt>
                <c:pt idx="60">
                  <c:v>42678</c:v>
                </c:pt>
                <c:pt idx="61">
                  <c:v>42677</c:v>
                </c:pt>
                <c:pt idx="62">
                  <c:v>42676</c:v>
                </c:pt>
                <c:pt idx="63">
                  <c:v>42675</c:v>
                </c:pt>
                <c:pt idx="64">
                  <c:v>42674</c:v>
                </c:pt>
                <c:pt idx="65">
                  <c:v>42671</c:v>
                </c:pt>
              </c:numCache>
            </c:numRef>
          </c:cat>
          <c:val>
            <c:numRef>
              <c:f>PINC!$AA$2:$AA$68</c:f>
              <c:numCache>
                <c:formatCode>#,##0.00</c:formatCode>
                <c:ptCount val="67"/>
                <c:pt idx="0">
                  <c:v>31.48</c:v>
                </c:pt>
                <c:pt idx="1">
                  <c:v>31.65</c:v>
                </c:pt>
                <c:pt idx="2">
                  <c:v>31.86</c:v>
                </c:pt>
                <c:pt idx="3">
                  <c:v>31</c:v>
                </c:pt>
                <c:pt idx="4">
                  <c:v>31.22</c:v>
                </c:pt>
                <c:pt idx="5">
                  <c:v>31.51</c:v>
                </c:pt>
                <c:pt idx="6">
                  <c:v>31.4</c:v>
                </c:pt>
                <c:pt idx="7">
                  <c:v>31.67</c:v>
                </c:pt>
                <c:pt idx="8">
                  <c:v>31.8</c:v>
                </c:pt>
                <c:pt idx="9">
                  <c:v>32.39</c:v>
                </c:pt>
                <c:pt idx="10">
                  <c:v>32.35</c:v>
                </c:pt>
                <c:pt idx="11">
                  <c:v>32.770000000000003</c:v>
                </c:pt>
                <c:pt idx="12">
                  <c:v>32.64</c:v>
                </c:pt>
                <c:pt idx="13">
                  <c:v>32.520000000000003</c:v>
                </c:pt>
                <c:pt idx="14">
                  <c:v>32.11</c:v>
                </c:pt>
                <c:pt idx="15">
                  <c:v>31.85</c:v>
                </c:pt>
                <c:pt idx="16">
                  <c:v>32.1</c:v>
                </c:pt>
                <c:pt idx="17">
                  <c:v>31.79</c:v>
                </c:pt>
                <c:pt idx="18">
                  <c:v>31.81</c:v>
                </c:pt>
                <c:pt idx="19">
                  <c:v>31.12</c:v>
                </c:pt>
                <c:pt idx="20">
                  <c:v>31.11</c:v>
                </c:pt>
                <c:pt idx="21">
                  <c:v>31.08</c:v>
                </c:pt>
                <c:pt idx="22">
                  <c:v>30.36</c:v>
                </c:pt>
                <c:pt idx="23">
                  <c:v>30.43</c:v>
                </c:pt>
                <c:pt idx="24">
                  <c:v>30.29</c:v>
                </c:pt>
                <c:pt idx="25">
                  <c:v>30.64</c:v>
                </c:pt>
                <c:pt idx="26">
                  <c:v>30.3</c:v>
                </c:pt>
                <c:pt idx="27">
                  <c:v>30.44</c:v>
                </c:pt>
                <c:pt idx="28">
                  <c:v>30.44</c:v>
                </c:pt>
                <c:pt idx="29">
                  <c:v>30.26</c:v>
                </c:pt>
                <c:pt idx="30">
                  <c:v>30.54</c:v>
                </c:pt>
                <c:pt idx="31">
                  <c:v>30.81</c:v>
                </c:pt>
                <c:pt idx="32">
                  <c:v>30.86</c:v>
                </c:pt>
                <c:pt idx="33">
                  <c:v>30.88</c:v>
                </c:pt>
                <c:pt idx="34">
                  <c:v>31.26</c:v>
                </c:pt>
                <c:pt idx="35">
                  <c:v>31.32</c:v>
                </c:pt>
                <c:pt idx="36">
                  <c:v>31.26</c:v>
                </c:pt>
                <c:pt idx="37">
                  <c:v>30.79</c:v>
                </c:pt>
                <c:pt idx="38">
                  <c:v>30.13</c:v>
                </c:pt>
                <c:pt idx="39">
                  <c:v>30.23</c:v>
                </c:pt>
                <c:pt idx="40">
                  <c:v>29.8</c:v>
                </c:pt>
                <c:pt idx="41">
                  <c:v>29.38</c:v>
                </c:pt>
                <c:pt idx="42">
                  <c:v>29.67</c:v>
                </c:pt>
                <c:pt idx="43">
                  <c:v>30.14</c:v>
                </c:pt>
                <c:pt idx="44">
                  <c:v>30.49</c:v>
                </c:pt>
                <c:pt idx="45">
                  <c:v>29.82</c:v>
                </c:pt>
                <c:pt idx="46">
                  <c:v>29.98</c:v>
                </c:pt>
                <c:pt idx="47">
                  <c:v>30.04</c:v>
                </c:pt>
                <c:pt idx="48">
                  <c:v>29.87</c:v>
                </c:pt>
                <c:pt idx="49">
                  <c:v>29.63</c:v>
                </c:pt>
                <c:pt idx="50">
                  <c:v>29.51</c:v>
                </c:pt>
                <c:pt idx="51">
                  <c:v>29.87</c:v>
                </c:pt>
                <c:pt idx="52">
                  <c:v>29.74</c:v>
                </c:pt>
                <c:pt idx="53">
                  <c:v>29.44</c:v>
                </c:pt>
                <c:pt idx="54">
                  <c:v>29.75</c:v>
                </c:pt>
                <c:pt idx="55">
                  <c:v>29.24</c:v>
                </c:pt>
                <c:pt idx="56">
                  <c:v>29.51</c:v>
                </c:pt>
                <c:pt idx="57">
                  <c:v>29.36</c:v>
                </c:pt>
                <c:pt idx="58">
                  <c:v>29.44</c:v>
                </c:pt>
                <c:pt idx="59">
                  <c:v>28.51</c:v>
                </c:pt>
                <c:pt idx="60">
                  <c:v>30.24</c:v>
                </c:pt>
                <c:pt idx="61">
                  <c:v>30.24</c:v>
                </c:pt>
                <c:pt idx="62">
                  <c:v>31.53</c:v>
                </c:pt>
                <c:pt idx="63">
                  <c:v>31.13</c:v>
                </c:pt>
                <c:pt idx="64">
                  <c:v>31.84</c:v>
                </c:pt>
                <c:pt idx="65">
                  <c:v>31.8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3589152"/>
        <c:axId val="630135880"/>
      </c:lineChart>
      <c:dateAx>
        <c:axId val="49358915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0135880"/>
        <c:crosses val="autoZero"/>
        <c:auto val="1"/>
        <c:lblOffset val="100"/>
        <c:baseTimeUnit val="days"/>
      </c:dateAx>
      <c:valAx>
        <c:axId val="630135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5891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FOXA!$AA$1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FOXA!$W$2:$W$67</c:f>
              <c:numCache>
                <c:formatCode>d\-mmm\-yy</c:formatCode>
                <c:ptCount val="66"/>
                <c:pt idx="0">
                  <c:v>42768</c:v>
                </c:pt>
                <c:pt idx="1">
                  <c:v>42767</c:v>
                </c:pt>
                <c:pt idx="2">
                  <c:v>42766</c:v>
                </c:pt>
                <c:pt idx="3">
                  <c:v>42765</c:v>
                </c:pt>
                <c:pt idx="4">
                  <c:v>42762</c:v>
                </c:pt>
                <c:pt idx="5">
                  <c:v>42761</c:v>
                </c:pt>
                <c:pt idx="6">
                  <c:v>42760</c:v>
                </c:pt>
                <c:pt idx="7">
                  <c:v>42759</c:v>
                </c:pt>
                <c:pt idx="8">
                  <c:v>42758</c:v>
                </c:pt>
                <c:pt idx="9">
                  <c:v>42755</c:v>
                </c:pt>
                <c:pt idx="10">
                  <c:v>42754</c:v>
                </c:pt>
                <c:pt idx="11">
                  <c:v>42753</c:v>
                </c:pt>
                <c:pt idx="12">
                  <c:v>42752</c:v>
                </c:pt>
                <c:pt idx="13">
                  <c:v>42748</c:v>
                </c:pt>
                <c:pt idx="14">
                  <c:v>42747</c:v>
                </c:pt>
                <c:pt idx="15">
                  <c:v>42746</c:v>
                </c:pt>
                <c:pt idx="16">
                  <c:v>42745</c:v>
                </c:pt>
                <c:pt idx="17">
                  <c:v>42744</c:v>
                </c:pt>
                <c:pt idx="18">
                  <c:v>42741</c:v>
                </c:pt>
                <c:pt idx="19">
                  <c:v>42740</c:v>
                </c:pt>
                <c:pt idx="20">
                  <c:v>42739</c:v>
                </c:pt>
                <c:pt idx="21">
                  <c:v>42738</c:v>
                </c:pt>
                <c:pt idx="22">
                  <c:v>42734</c:v>
                </c:pt>
                <c:pt idx="23">
                  <c:v>42733</c:v>
                </c:pt>
                <c:pt idx="24">
                  <c:v>42732</c:v>
                </c:pt>
                <c:pt idx="25">
                  <c:v>42731</c:v>
                </c:pt>
                <c:pt idx="26">
                  <c:v>42727</c:v>
                </c:pt>
                <c:pt idx="27">
                  <c:v>42726</c:v>
                </c:pt>
                <c:pt idx="28">
                  <c:v>42725</c:v>
                </c:pt>
                <c:pt idx="29">
                  <c:v>42724</c:v>
                </c:pt>
                <c:pt idx="30">
                  <c:v>42723</c:v>
                </c:pt>
                <c:pt idx="31">
                  <c:v>42720</c:v>
                </c:pt>
                <c:pt idx="32">
                  <c:v>42719</c:v>
                </c:pt>
                <c:pt idx="33">
                  <c:v>42718</c:v>
                </c:pt>
                <c:pt idx="34">
                  <c:v>42717</c:v>
                </c:pt>
                <c:pt idx="35">
                  <c:v>42716</c:v>
                </c:pt>
                <c:pt idx="36">
                  <c:v>42713</c:v>
                </c:pt>
                <c:pt idx="37">
                  <c:v>42712</c:v>
                </c:pt>
                <c:pt idx="38">
                  <c:v>42711</c:v>
                </c:pt>
                <c:pt idx="39">
                  <c:v>42710</c:v>
                </c:pt>
                <c:pt idx="40">
                  <c:v>42709</c:v>
                </c:pt>
                <c:pt idx="41">
                  <c:v>42706</c:v>
                </c:pt>
                <c:pt idx="42">
                  <c:v>42705</c:v>
                </c:pt>
                <c:pt idx="43">
                  <c:v>42704</c:v>
                </c:pt>
                <c:pt idx="44">
                  <c:v>42703</c:v>
                </c:pt>
                <c:pt idx="45">
                  <c:v>42702</c:v>
                </c:pt>
                <c:pt idx="46">
                  <c:v>42699</c:v>
                </c:pt>
                <c:pt idx="47">
                  <c:v>42697</c:v>
                </c:pt>
                <c:pt idx="48">
                  <c:v>42696</c:v>
                </c:pt>
                <c:pt idx="49">
                  <c:v>42695</c:v>
                </c:pt>
                <c:pt idx="50">
                  <c:v>42692</c:v>
                </c:pt>
                <c:pt idx="51">
                  <c:v>42691</c:v>
                </c:pt>
                <c:pt idx="52">
                  <c:v>42690</c:v>
                </c:pt>
                <c:pt idx="53">
                  <c:v>42689</c:v>
                </c:pt>
                <c:pt idx="54">
                  <c:v>42688</c:v>
                </c:pt>
                <c:pt idx="55">
                  <c:v>42685</c:v>
                </c:pt>
                <c:pt idx="56">
                  <c:v>42684</c:v>
                </c:pt>
                <c:pt idx="57">
                  <c:v>42683</c:v>
                </c:pt>
                <c:pt idx="58">
                  <c:v>42682</c:v>
                </c:pt>
                <c:pt idx="59">
                  <c:v>42681</c:v>
                </c:pt>
                <c:pt idx="60">
                  <c:v>42678</c:v>
                </c:pt>
                <c:pt idx="61">
                  <c:v>42677</c:v>
                </c:pt>
                <c:pt idx="62">
                  <c:v>42676</c:v>
                </c:pt>
                <c:pt idx="63">
                  <c:v>42675</c:v>
                </c:pt>
                <c:pt idx="64">
                  <c:v>42674</c:v>
                </c:pt>
                <c:pt idx="65">
                  <c:v>42671</c:v>
                </c:pt>
              </c:numCache>
            </c:numRef>
          </c:cat>
          <c:val>
            <c:numRef>
              <c:f>FOXA!$AA$2:$AA$69</c:f>
              <c:numCache>
                <c:formatCode>General</c:formatCode>
                <c:ptCount val="68"/>
                <c:pt idx="0">
                  <c:v>31.46</c:v>
                </c:pt>
                <c:pt idx="1">
                  <c:v>31.62</c:v>
                </c:pt>
                <c:pt idx="2">
                  <c:v>31.38</c:v>
                </c:pt>
                <c:pt idx="3">
                  <c:v>31.37</c:v>
                </c:pt>
                <c:pt idx="4">
                  <c:v>31.29</c:v>
                </c:pt>
                <c:pt idx="5">
                  <c:v>31</c:v>
                </c:pt>
                <c:pt idx="6">
                  <c:v>30.3</c:v>
                </c:pt>
                <c:pt idx="7">
                  <c:v>30.28</c:v>
                </c:pt>
                <c:pt idx="8">
                  <c:v>30</c:v>
                </c:pt>
                <c:pt idx="9">
                  <c:v>30.05</c:v>
                </c:pt>
                <c:pt idx="10">
                  <c:v>29.8</c:v>
                </c:pt>
                <c:pt idx="11">
                  <c:v>30.27</c:v>
                </c:pt>
                <c:pt idx="12">
                  <c:v>29.93</c:v>
                </c:pt>
                <c:pt idx="13">
                  <c:v>30.03</c:v>
                </c:pt>
                <c:pt idx="14">
                  <c:v>29.81</c:v>
                </c:pt>
                <c:pt idx="15">
                  <c:v>30.08</c:v>
                </c:pt>
                <c:pt idx="16">
                  <c:v>29.67</c:v>
                </c:pt>
                <c:pt idx="17">
                  <c:v>29.47</c:v>
                </c:pt>
                <c:pt idx="18">
                  <c:v>29.52</c:v>
                </c:pt>
                <c:pt idx="19">
                  <c:v>29</c:v>
                </c:pt>
                <c:pt idx="20">
                  <c:v>29.02</c:v>
                </c:pt>
                <c:pt idx="21">
                  <c:v>28.72</c:v>
                </c:pt>
                <c:pt idx="22">
                  <c:v>28.04</c:v>
                </c:pt>
                <c:pt idx="23">
                  <c:v>28.28</c:v>
                </c:pt>
                <c:pt idx="24">
                  <c:v>28.45</c:v>
                </c:pt>
                <c:pt idx="25">
                  <c:v>28.54</c:v>
                </c:pt>
                <c:pt idx="26">
                  <c:v>28.38</c:v>
                </c:pt>
                <c:pt idx="27">
                  <c:v>28.43</c:v>
                </c:pt>
                <c:pt idx="28">
                  <c:v>28.45</c:v>
                </c:pt>
                <c:pt idx="29">
                  <c:v>28.18</c:v>
                </c:pt>
                <c:pt idx="30">
                  <c:v>28.12</c:v>
                </c:pt>
                <c:pt idx="31">
                  <c:v>28.03</c:v>
                </c:pt>
                <c:pt idx="32">
                  <c:v>27.99</c:v>
                </c:pt>
                <c:pt idx="33">
                  <c:v>28.02</c:v>
                </c:pt>
                <c:pt idx="34">
                  <c:v>27.04</c:v>
                </c:pt>
                <c:pt idx="35">
                  <c:v>26.34</c:v>
                </c:pt>
                <c:pt idx="36">
                  <c:v>28.21</c:v>
                </c:pt>
                <c:pt idx="37">
                  <c:v>28.64</c:v>
                </c:pt>
                <c:pt idx="38">
                  <c:v>28.11</c:v>
                </c:pt>
                <c:pt idx="39">
                  <c:v>27.5</c:v>
                </c:pt>
                <c:pt idx="40">
                  <c:v>27.56</c:v>
                </c:pt>
                <c:pt idx="41">
                  <c:v>27.4</c:v>
                </c:pt>
                <c:pt idx="42">
                  <c:v>28.2</c:v>
                </c:pt>
                <c:pt idx="43">
                  <c:v>28.11</c:v>
                </c:pt>
                <c:pt idx="44">
                  <c:v>28.47</c:v>
                </c:pt>
                <c:pt idx="45">
                  <c:v>28.31</c:v>
                </c:pt>
                <c:pt idx="46">
                  <c:v>28.36</c:v>
                </c:pt>
                <c:pt idx="47">
                  <c:v>28.4</c:v>
                </c:pt>
                <c:pt idx="48">
                  <c:v>28.27</c:v>
                </c:pt>
                <c:pt idx="49">
                  <c:v>27.8</c:v>
                </c:pt>
                <c:pt idx="50">
                  <c:v>27.82</c:v>
                </c:pt>
                <c:pt idx="51">
                  <c:v>27.92</c:v>
                </c:pt>
                <c:pt idx="52">
                  <c:v>27.54</c:v>
                </c:pt>
                <c:pt idx="53">
                  <c:v>27.45</c:v>
                </c:pt>
                <c:pt idx="54">
                  <c:v>27.52</c:v>
                </c:pt>
                <c:pt idx="55">
                  <c:v>27.14</c:v>
                </c:pt>
                <c:pt idx="56">
                  <c:v>27.16</c:v>
                </c:pt>
                <c:pt idx="57">
                  <c:v>27.46</c:v>
                </c:pt>
                <c:pt idx="58">
                  <c:v>27.09</c:v>
                </c:pt>
                <c:pt idx="59">
                  <c:v>27.39</c:v>
                </c:pt>
                <c:pt idx="60">
                  <c:v>26.94</c:v>
                </c:pt>
                <c:pt idx="61">
                  <c:v>27.71</c:v>
                </c:pt>
                <c:pt idx="62">
                  <c:v>25.83</c:v>
                </c:pt>
                <c:pt idx="63">
                  <c:v>26.19</c:v>
                </c:pt>
                <c:pt idx="64">
                  <c:v>26.27</c:v>
                </c:pt>
                <c:pt idx="65">
                  <c:v>26.25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30137840"/>
        <c:axId val="630138232"/>
      </c:lineChart>
      <c:dateAx>
        <c:axId val="63013784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0138232"/>
        <c:crosses val="autoZero"/>
        <c:auto val="1"/>
        <c:lblOffset val="100"/>
        <c:baseTimeUnit val="days"/>
      </c:dateAx>
      <c:valAx>
        <c:axId val="630138232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01378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AOBC!$AA$1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AOBC!$W$2:$W$67</c:f>
              <c:numCache>
                <c:formatCode>d\-mmm\-yy</c:formatCode>
                <c:ptCount val="66"/>
                <c:pt idx="0">
                  <c:v>42734</c:v>
                </c:pt>
                <c:pt idx="1">
                  <c:v>42733</c:v>
                </c:pt>
                <c:pt idx="2">
                  <c:v>42732</c:v>
                </c:pt>
                <c:pt idx="3">
                  <c:v>42731</c:v>
                </c:pt>
                <c:pt idx="4">
                  <c:v>42727</c:v>
                </c:pt>
                <c:pt idx="5">
                  <c:v>42726</c:v>
                </c:pt>
                <c:pt idx="6">
                  <c:v>42725</c:v>
                </c:pt>
                <c:pt idx="7">
                  <c:v>42724</c:v>
                </c:pt>
                <c:pt idx="8">
                  <c:v>42723</c:v>
                </c:pt>
                <c:pt idx="9">
                  <c:v>42720</c:v>
                </c:pt>
                <c:pt idx="10">
                  <c:v>42719</c:v>
                </c:pt>
                <c:pt idx="11">
                  <c:v>42718</c:v>
                </c:pt>
                <c:pt idx="12">
                  <c:v>42717</c:v>
                </c:pt>
                <c:pt idx="13">
                  <c:v>42716</c:v>
                </c:pt>
                <c:pt idx="14">
                  <c:v>42713</c:v>
                </c:pt>
                <c:pt idx="15">
                  <c:v>42712</c:v>
                </c:pt>
                <c:pt idx="16">
                  <c:v>42711</c:v>
                </c:pt>
                <c:pt idx="17">
                  <c:v>42710</c:v>
                </c:pt>
                <c:pt idx="18">
                  <c:v>42709</c:v>
                </c:pt>
                <c:pt idx="19">
                  <c:v>42706</c:v>
                </c:pt>
                <c:pt idx="20">
                  <c:v>42705</c:v>
                </c:pt>
                <c:pt idx="21">
                  <c:v>42704</c:v>
                </c:pt>
                <c:pt idx="22">
                  <c:v>42703</c:v>
                </c:pt>
                <c:pt idx="23">
                  <c:v>42702</c:v>
                </c:pt>
                <c:pt idx="24">
                  <c:v>42699</c:v>
                </c:pt>
                <c:pt idx="25">
                  <c:v>42697</c:v>
                </c:pt>
                <c:pt idx="26">
                  <c:v>42696</c:v>
                </c:pt>
                <c:pt idx="27">
                  <c:v>42695</c:v>
                </c:pt>
                <c:pt idx="28">
                  <c:v>42692</c:v>
                </c:pt>
                <c:pt idx="29">
                  <c:v>42691</c:v>
                </c:pt>
                <c:pt idx="30">
                  <c:v>42690</c:v>
                </c:pt>
                <c:pt idx="31">
                  <c:v>42689</c:v>
                </c:pt>
                <c:pt idx="32">
                  <c:v>42688</c:v>
                </c:pt>
                <c:pt idx="33">
                  <c:v>42685</c:v>
                </c:pt>
                <c:pt idx="34">
                  <c:v>42684</c:v>
                </c:pt>
                <c:pt idx="35">
                  <c:v>42683</c:v>
                </c:pt>
                <c:pt idx="36">
                  <c:v>42682</c:v>
                </c:pt>
                <c:pt idx="37">
                  <c:v>42681</c:v>
                </c:pt>
                <c:pt idx="38">
                  <c:v>42678</c:v>
                </c:pt>
                <c:pt idx="39">
                  <c:v>42677</c:v>
                </c:pt>
                <c:pt idx="40">
                  <c:v>42676</c:v>
                </c:pt>
                <c:pt idx="41">
                  <c:v>42675</c:v>
                </c:pt>
                <c:pt idx="42">
                  <c:v>42674</c:v>
                </c:pt>
                <c:pt idx="43">
                  <c:v>42671</c:v>
                </c:pt>
                <c:pt idx="44">
                  <c:v>42670</c:v>
                </c:pt>
                <c:pt idx="45">
                  <c:v>42669</c:v>
                </c:pt>
                <c:pt idx="46">
                  <c:v>42668</c:v>
                </c:pt>
                <c:pt idx="47">
                  <c:v>42667</c:v>
                </c:pt>
                <c:pt idx="48">
                  <c:v>42664</c:v>
                </c:pt>
                <c:pt idx="49">
                  <c:v>42663</c:v>
                </c:pt>
                <c:pt idx="50">
                  <c:v>42662</c:v>
                </c:pt>
                <c:pt idx="51">
                  <c:v>42661</c:v>
                </c:pt>
                <c:pt idx="52">
                  <c:v>42660</c:v>
                </c:pt>
                <c:pt idx="53">
                  <c:v>42657</c:v>
                </c:pt>
                <c:pt idx="54">
                  <c:v>42656</c:v>
                </c:pt>
                <c:pt idx="55">
                  <c:v>42655</c:v>
                </c:pt>
                <c:pt idx="56">
                  <c:v>42654</c:v>
                </c:pt>
                <c:pt idx="57">
                  <c:v>42653</c:v>
                </c:pt>
                <c:pt idx="58">
                  <c:v>42650</c:v>
                </c:pt>
                <c:pt idx="59">
                  <c:v>42649</c:v>
                </c:pt>
                <c:pt idx="60">
                  <c:v>42648</c:v>
                </c:pt>
                <c:pt idx="61">
                  <c:v>42647</c:v>
                </c:pt>
                <c:pt idx="62">
                  <c:v>42646</c:v>
                </c:pt>
                <c:pt idx="63">
                  <c:v>42643</c:v>
                </c:pt>
                <c:pt idx="64">
                  <c:v>42642</c:v>
                </c:pt>
                <c:pt idx="65">
                  <c:v>42641</c:v>
                </c:pt>
              </c:numCache>
            </c:numRef>
          </c:cat>
          <c:val>
            <c:numRef>
              <c:f>AOBC!$AA$2:$AA$69</c:f>
              <c:numCache>
                <c:formatCode>General</c:formatCode>
                <c:ptCount val="68"/>
                <c:pt idx="0">
                  <c:v>21.08</c:v>
                </c:pt>
                <c:pt idx="1">
                  <c:v>21.33</c:v>
                </c:pt>
                <c:pt idx="2">
                  <c:v>21.11</c:v>
                </c:pt>
                <c:pt idx="3">
                  <c:v>21.56</c:v>
                </c:pt>
                <c:pt idx="4">
                  <c:v>22.11</c:v>
                </c:pt>
                <c:pt idx="5">
                  <c:v>21.6</c:v>
                </c:pt>
                <c:pt idx="6">
                  <c:v>22.01</c:v>
                </c:pt>
                <c:pt idx="7">
                  <c:v>21.97</c:v>
                </c:pt>
                <c:pt idx="8">
                  <c:v>21.81</c:v>
                </c:pt>
                <c:pt idx="9">
                  <c:v>21.59</c:v>
                </c:pt>
                <c:pt idx="10">
                  <c:v>21.15</c:v>
                </c:pt>
                <c:pt idx="11">
                  <c:v>21.2</c:v>
                </c:pt>
                <c:pt idx="12">
                  <c:v>21.26</c:v>
                </c:pt>
                <c:pt idx="13">
                  <c:v>21.09</c:v>
                </c:pt>
                <c:pt idx="14">
                  <c:v>21.07</c:v>
                </c:pt>
                <c:pt idx="15">
                  <c:v>21.23</c:v>
                </c:pt>
                <c:pt idx="16">
                  <c:v>20.55</c:v>
                </c:pt>
                <c:pt idx="17">
                  <c:v>20.89</c:v>
                </c:pt>
                <c:pt idx="18">
                  <c:v>20.93</c:v>
                </c:pt>
                <c:pt idx="19">
                  <c:v>21.1</c:v>
                </c:pt>
                <c:pt idx="20">
                  <c:v>23.98</c:v>
                </c:pt>
                <c:pt idx="21">
                  <c:v>23.33</c:v>
                </c:pt>
                <c:pt idx="22">
                  <c:v>24</c:v>
                </c:pt>
                <c:pt idx="23">
                  <c:v>23.88</c:v>
                </c:pt>
                <c:pt idx="24">
                  <c:v>23.82</c:v>
                </c:pt>
                <c:pt idx="25">
                  <c:v>23.51</c:v>
                </c:pt>
                <c:pt idx="26">
                  <c:v>24.01</c:v>
                </c:pt>
                <c:pt idx="27">
                  <c:v>24.14</c:v>
                </c:pt>
                <c:pt idx="28">
                  <c:v>24.13</c:v>
                </c:pt>
                <c:pt idx="29">
                  <c:v>24.4</c:v>
                </c:pt>
                <c:pt idx="30">
                  <c:v>23.99</c:v>
                </c:pt>
                <c:pt idx="31">
                  <c:v>23.66</c:v>
                </c:pt>
                <c:pt idx="32">
                  <c:v>23.58</c:v>
                </c:pt>
                <c:pt idx="33">
                  <c:v>21.24</c:v>
                </c:pt>
                <c:pt idx="34">
                  <c:v>21.98</c:v>
                </c:pt>
                <c:pt idx="35">
                  <c:v>24.12</c:v>
                </c:pt>
                <c:pt idx="36">
                  <c:v>28.45</c:v>
                </c:pt>
                <c:pt idx="37">
                  <c:v>27.85</c:v>
                </c:pt>
                <c:pt idx="38">
                  <c:v>27.24</c:v>
                </c:pt>
                <c:pt idx="39">
                  <c:v>26.69</c:v>
                </c:pt>
                <c:pt idx="40">
                  <c:v>26.32</c:v>
                </c:pt>
                <c:pt idx="41">
                  <c:v>26.06</c:v>
                </c:pt>
                <c:pt idx="42">
                  <c:v>26.43</c:v>
                </c:pt>
                <c:pt idx="43">
                  <c:v>25.71</c:v>
                </c:pt>
                <c:pt idx="44">
                  <c:v>25.73</c:v>
                </c:pt>
                <c:pt idx="45">
                  <c:v>26.27</c:v>
                </c:pt>
                <c:pt idx="46">
                  <c:v>26.69</c:v>
                </c:pt>
                <c:pt idx="47">
                  <c:v>26.8</c:v>
                </c:pt>
                <c:pt idx="48">
                  <c:v>26.59</c:v>
                </c:pt>
                <c:pt idx="49">
                  <c:v>26.64</c:v>
                </c:pt>
                <c:pt idx="50">
                  <c:v>26.5</c:v>
                </c:pt>
                <c:pt idx="51">
                  <c:v>26.25</c:v>
                </c:pt>
                <c:pt idx="52">
                  <c:v>25.97</c:v>
                </c:pt>
                <c:pt idx="53">
                  <c:v>25.31</c:v>
                </c:pt>
                <c:pt idx="54">
                  <c:v>25.38</c:v>
                </c:pt>
                <c:pt idx="55">
                  <c:v>25.29</c:v>
                </c:pt>
                <c:pt idx="56">
                  <c:v>25.03</c:v>
                </c:pt>
                <c:pt idx="57">
                  <c:v>25.59</c:v>
                </c:pt>
                <c:pt idx="58">
                  <c:v>25.33</c:v>
                </c:pt>
                <c:pt idx="59">
                  <c:v>25.21</c:v>
                </c:pt>
                <c:pt idx="60">
                  <c:v>26.16</c:v>
                </c:pt>
                <c:pt idx="61">
                  <c:v>26.24</c:v>
                </c:pt>
                <c:pt idx="62">
                  <c:v>26.58</c:v>
                </c:pt>
                <c:pt idx="63">
                  <c:v>26.59</c:v>
                </c:pt>
                <c:pt idx="64">
                  <c:v>25.82</c:v>
                </c:pt>
                <c:pt idx="65">
                  <c:v>26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30140192"/>
        <c:axId val="630140584"/>
      </c:lineChart>
      <c:dateAx>
        <c:axId val="63014019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0140584"/>
        <c:crosses val="autoZero"/>
        <c:auto val="1"/>
        <c:lblOffset val="100"/>
        <c:baseTimeUnit val="days"/>
      </c:dateAx>
      <c:valAx>
        <c:axId val="630140584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01401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LUV!$AA$1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LUV!$W$2:$W$67</c:f>
              <c:numCache>
                <c:formatCode>d\-mmm\-yy</c:formatCode>
                <c:ptCount val="66"/>
                <c:pt idx="0">
                  <c:v>42768</c:v>
                </c:pt>
                <c:pt idx="1">
                  <c:v>42767</c:v>
                </c:pt>
                <c:pt idx="2">
                  <c:v>42766</c:v>
                </c:pt>
                <c:pt idx="3">
                  <c:v>42765</c:v>
                </c:pt>
                <c:pt idx="4">
                  <c:v>42762</c:v>
                </c:pt>
                <c:pt idx="5">
                  <c:v>42761</c:v>
                </c:pt>
                <c:pt idx="6">
                  <c:v>42760</c:v>
                </c:pt>
                <c:pt idx="7">
                  <c:v>42759</c:v>
                </c:pt>
                <c:pt idx="8">
                  <c:v>42758</c:v>
                </c:pt>
                <c:pt idx="9">
                  <c:v>42755</c:v>
                </c:pt>
                <c:pt idx="10">
                  <c:v>42754</c:v>
                </c:pt>
                <c:pt idx="11">
                  <c:v>42753</c:v>
                </c:pt>
                <c:pt idx="12">
                  <c:v>42752</c:v>
                </c:pt>
                <c:pt idx="13">
                  <c:v>42748</c:v>
                </c:pt>
                <c:pt idx="14">
                  <c:v>42747</c:v>
                </c:pt>
                <c:pt idx="15">
                  <c:v>42746</c:v>
                </c:pt>
                <c:pt idx="16">
                  <c:v>42745</c:v>
                </c:pt>
                <c:pt idx="17">
                  <c:v>42744</c:v>
                </c:pt>
                <c:pt idx="18">
                  <c:v>42741</c:v>
                </c:pt>
                <c:pt idx="19">
                  <c:v>42740</c:v>
                </c:pt>
                <c:pt idx="20">
                  <c:v>42739</c:v>
                </c:pt>
                <c:pt idx="21">
                  <c:v>42738</c:v>
                </c:pt>
                <c:pt idx="22">
                  <c:v>42734</c:v>
                </c:pt>
                <c:pt idx="23">
                  <c:v>42733</c:v>
                </c:pt>
                <c:pt idx="24">
                  <c:v>42732</c:v>
                </c:pt>
                <c:pt idx="25">
                  <c:v>42731</c:v>
                </c:pt>
                <c:pt idx="26">
                  <c:v>42727</c:v>
                </c:pt>
                <c:pt idx="27">
                  <c:v>42726</c:v>
                </c:pt>
                <c:pt idx="28">
                  <c:v>42725</c:v>
                </c:pt>
                <c:pt idx="29">
                  <c:v>42724</c:v>
                </c:pt>
                <c:pt idx="30">
                  <c:v>42723</c:v>
                </c:pt>
                <c:pt idx="31">
                  <c:v>42720</c:v>
                </c:pt>
                <c:pt idx="32">
                  <c:v>42719</c:v>
                </c:pt>
                <c:pt idx="33">
                  <c:v>42718</c:v>
                </c:pt>
                <c:pt idx="34">
                  <c:v>42717</c:v>
                </c:pt>
                <c:pt idx="35">
                  <c:v>42716</c:v>
                </c:pt>
                <c:pt idx="36">
                  <c:v>42713</c:v>
                </c:pt>
                <c:pt idx="37">
                  <c:v>42712</c:v>
                </c:pt>
                <c:pt idx="38">
                  <c:v>42711</c:v>
                </c:pt>
                <c:pt idx="39">
                  <c:v>42710</c:v>
                </c:pt>
                <c:pt idx="40">
                  <c:v>42710</c:v>
                </c:pt>
                <c:pt idx="41">
                  <c:v>42709</c:v>
                </c:pt>
                <c:pt idx="42">
                  <c:v>42706</c:v>
                </c:pt>
                <c:pt idx="43">
                  <c:v>42705</c:v>
                </c:pt>
                <c:pt idx="44">
                  <c:v>42704</c:v>
                </c:pt>
                <c:pt idx="45">
                  <c:v>42703</c:v>
                </c:pt>
                <c:pt idx="46">
                  <c:v>42702</c:v>
                </c:pt>
                <c:pt idx="47">
                  <c:v>42699</c:v>
                </c:pt>
                <c:pt idx="48">
                  <c:v>42697</c:v>
                </c:pt>
                <c:pt idx="49">
                  <c:v>42696</c:v>
                </c:pt>
                <c:pt idx="50">
                  <c:v>42695</c:v>
                </c:pt>
                <c:pt idx="51">
                  <c:v>42692</c:v>
                </c:pt>
                <c:pt idx="52">
                  <c:v>42691</c:v>
                </c:pt>
                <c:pt idx="53">
                  <c:v>42690</c:v>
                </c:pt>
                <c:pt idx="54">
                  <c:v>42689</c:v>
                </c:pt>
                <c:pt idx="55">
                  <c:v>42688</c:v>
                </c:pt>
                <c:pt idx="56">
                  <c:v>42685</c:v>
                </c:pt>
                <c:pt idx="57">
                  <c:v>42684</c:v>
                </c:pt>
                <c:pt idx="58">
                  <c:v>42683</c:v>
                </c:pt>
                <c:pt idx="59">
                  <c:v>42682</c:v>
                </c:pt>
                <c:pt idx="60">
                  <c:v>42681</c:v>
                </c:pt>
                <c:pt idx="61">
                  <c:v>42678</c:v>
                </c:pt>
                <c:pt idx="62">
                  <c:v>42677</c:v>
                </c:pt>
                <c:pt idx="63">
                  <c:v>42676</c:v>
                </c:pt>
                <c:pt idx="64">
                  <c:v>42675</c:v>
                </c:pt>
                <c:pt idx="65">
                  <c:v>42674</c:v>
                </c:pt>
              </c:numCache>
            </c:numRef>
          </c:cat>
          <c:val>
            <c:numRef>
              <c:f>LUV!$AA$2:$AA$69</c:f>
              <c:numCache>
                <c:formatCode>General</c:formatCode>
                <c:ptCount val="68"/>
                <c:pt idx="0">
                  <c:v>52.86</c:v>
                </c:pt>
                <c:pt idx="1">
                  <c:v>52.73</c:v>
                </c:pt>
                <c:pt idx="2">
                  <c:v>52.31</c:v>
                </c:pt>
                <c:pt idx="3">
                  <c:v>52.35</c:v>
                </c:pt>
                <c:pt idx="4">
                  <c:v>52.7</c:v>
                </c:pt>
                <c:pt idx="5">
                  <c:v>53.92</c:v>
                </c:pt>
                <c:pt idx="6">
                  <c:v>49.46</c:v>
                </c:pt>
                <c:pt idx="7">
                  <c:v>49.65</c:v>
                </c:pt>
                <c:pt idx="8">
                  <c:v>49.94</c:v>
                </c:pt>
                <c:pt idx="9">
                  <c:v>51.09</c:v>
                </c:pt>
                <c:pt idx="10">
                  <c:v>50.07</c:v>
                </c:pt>
                <c:pt idx="11">
                  <c:v>50.38</c:v>
                </c:pt>
                <c:pt idx="12">
                  <c:v>50.24</c:v>
                </c:pt>
                <c:pt idx="13">
                  <c:v>51.15</c:v>
                </c:pt>
                <c:pt idx="14">
                  <c:v>51.01</c:v>
                </c:pt>
                <c:pt idx="15">
                  <c:v>51.68</c:v>
                </c:pt>
                <c:pt idx="16">
                  <c:v>51.34</c:v>
                </c:pt>
                <c:pt idx="17">
                  <c:v>50.3</c:v>
                </c:pt>
                <c:pt idx="18">
                  <c:v>49.93</c:v>
                </c:pt>
                <c:pt idx="19">
                  <c:v>50.47</c:v>
                </c:pt>
                <c:pt idx="20">
                  <c:v>51.3</c:v>
                </c:pt>
                <c:pt idx="21">
                  <c:v>49.98</c:v>
                </c:pt>
                <c:pt idx="22">
                  <c:v>49.84</c:v>
                </c:pt>
                <c:pt idx="23">
                  <c:v>50.2</c:v>
                </c:pt>
                <c:pt idx="24">
                  <c:v>50.17</c:v>
                </c:pt>
                <c:pt idx="25">
                  <c:v>50.49</c:v>
                </c:pt>
                <c:pt idx="26">
                  <c:v>50.45</c:v>
                </c:pt>
                <c:pt idx="27">
                  <c:v>50.25</c:v>
                </c:pt>
                <c:pt idx="28">
                  <c:v>50.65</c:v>
                </c:pt>
                <c:pt idx="29">
                  <c:v>50.89</c:v>
                </c:pt>
                <c:pt idx="30">
                  <c:v>50.35</c:v>
                </c:pt>
                <c:pt idx="31">
                  <c:v>49.93</c:v>
                </c:pt>
                <c:pt idx="32">
                  <c:v>50.59</c:v>
                </c:pt>
                <c:pt idx="33">
                  <c:v>49.28</c:v>
                </c:pt>
                <c:pt idx="34">
                  <c:v>49.55</c:v>
                </c:pt>
                <c:pt idx="35">
                  <c:v>49.37</c:v>
                </c:pt>
                <c:pt idx="36">
                  <c:v>49.79</c:v>
                </c:pt>
                <c:pt idx="37">
                  <c:v>49.6</c:v>
                </c:pt>
                <c:pt idx="38">
                  <c:v>49.85</c:v>
                </c:pt>
                <c:pt idx="39">
                  <c:v>47.68</c:v>
                </c:pt>
                <c:pt idx="41">
                  <c:v>47.07</c:v>
                </c:pt>
                <c:pt idx="42">
                  <c:v>47.91</c:v>
                </c:pt>
                <c:pt idx="43">
                  <c:v>47.07</c:v>
                </c:pt>
                <c:pt idx="44">
                  <c:v>46.61</c:v>
                </c:pt>
                <c:pt idx="45">
                  <c:v>47.24</c:v>
                </c:pt>
                <c:pt idx="46">
                  <c:v>47.52</c:v>
                </c:pt>
                <c:pt idx="47">
                  <c:v>47.45</c:v>
                </c:pt>
                <c:pt idx="48">
                  <c:v>47.37</c:v>
                </c:pt>
                <c:pt idx="49">
                  <c:v>47.1</c:v>
                </c:pt>
                <c:pt idx="50">
                  <c:v>47.36</c:v>
                </c:pt>
                <c:pt idx="51">
                  <c:v>47.06</c:v>
                </c:pt>
                <c:pt idx="52">
                  <c:v>46.69</c:v>
                </c:pt>
                <c:pt idx="53">
                  <c:v>45.85</c:v>
                </c:pt>
                <c:pt idx="54">
                  <c:v>46.25</c:v>
                </c:pt>
                <c:pt idx="55">
                  <c:v>45.35</c:v>
                </c:pt>
                <c:pt idx="56">
                  <c:v>43.84</c:v>
                </c:pt>
                <c:pt idx="57">
                  <c:v>43.64</c:v>
                </c:pt>
                <c:pt idx="58">
                  <c:v>42.37</c:v>
                </c:pt>
                <c:pt idx="59">
                  <c:v>41.93</c:v>
                </c:pt>
                <c:pt idx="60">
                  <c:v>41.57</c:v>
                </c:pt>
                <c:pt idx="61">
                  <c:v>40.380000000000003</c:v>
                </c:pt>
                <c:pt idx="62">
                  <c:v>39.700000000000003</c:v>
                </c:pt>
                <c:pt idx="63">
                  <c:v>39.61</c:v>
                </c:pt>
                <c:pt idx="64">
                  <c:v>39.68</c:v>
                </c:pt>
                <c:pt idx="65">
                  <c:v>40.049999999999997</c:v>
                </c:pt>
                <c:pt idx="66">
                  <c:v>39.18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30142544"/>
        <c:axId val="630142936"/>
      </c:lineChart>
      <c:dateAx>
        <c:axId val="63014254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0142936"/>
        <c:crosses val="autoZero"/>
        <c:auto val="1"/>
        <c:lblOffset val="100"/>
        <c:baseTimeUnit val="days"/>
      </c:dateAx>
      <c:valAx>
        <c:axId val="630142936"/>
        <c:scaling>
          <c:orientation val="minMax"/>
          <c:min val="3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01425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CCE!$AA$1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CCE!$W$2:$W$68</c:f>
              <c:numCache>
                <c:formatCode>d\-mmm\-yy</c:formatCode>
                <c:ptCount val="67"/>
                <c:pt idx="0">
                  <c:v>42768</c:v>
                </c:pt>
                <c:pt idx="1">
                  <c:v>42767</c:v>
                </c:pt>
                <c:pt idx="2">
                  <c:v>42766</c:v>
                </c:pt>
                <c:pt idx="3">
                  <c:v>42765</c:v>
                </c:pt>
                <c:pt idx="4">
                  <c:v>42762</c:v>
                </c:pt>
                <c:pt idx="5">
                  <c:v>42761</c:v>
                </c:pt>
                <c:pt idx="6">
                  <c:v>42760</c:v>
                </c:pt>
                <c:pt idx="7">
                  <c:v>42759</c:v>
                </c:pt>
                <c:pt idx="8">
                  <c:v>42758</c:v>
                </c:pt>
                <c:pt idx="9">
                  <c:v>42755</c:v>
                </c:pt>
                <c:pt idx="10">
                  <c:v>42754</c:v>
                </c:pt>
                <c:pt idx="11">
                  <c:v>42753</c:v>
                </c:pt>
                <c:pt idx="12">
                  <c:v>42752</c:v>
                </c:pt>
                <c:pt idx="13">
                  <c:v>42748</c:v>
                </c:pt>
                <c:pt idx="14">
                  <c:v>42747</c:v>
                </c:pt>
                <c:pt idx="15">
                  <c:v>42746</c:v>
                </c:pt>
                <c:pt idx="16">
                  <c:v>42745</c:v>
                </c:pt>
                <c:pt idx="17">
                  <c:v>42744</c:v>
                </c:pt>
                <c:pt idx="18">
                  <c:v>42741</c:v>
                </c:pt>
                <c:pt idx="19">
                  <c:v>42740</c:v>
                </c:pt>
                <c:pt idx="20">
                  <c:v>42739</c:v>
                </c:pt>
                <c:pt idx="21">
                  <c:v>42738</c:v>
                </c:pt>
                <c:pt idx="22">
                  <c:v>42734</c:v>
                </c:pt>
                <c:pt idx="23">
                  <c:v>42733</c:v>
                </c:pt>
                <c:pt idx="24">
                  <c:v>42732</c:v>
                </c:pt>
                <c:pt idx="25">
                  <c:v>42732</c:v>
                </c:pt>
                <c:pt idx="26">
                  <c:v>42731</c:v>
                </c:pt>
                <c:pt idx="27">
                  <c:v>42727</c:v>
                </c:pt>
                <c:pt idx="28">
                  <c:v>42726</c:v>
                </c:pt>
                <c:pt idx="29">
                  <c:v>42725</c:v>
                </c:pt>
                <c:pt idx="30">
                  <c:v>42724</c:v>
                </c:pt>
                <c:pt idx="31">
                  <c:v>42723</c:v>
                </c:pt>
                <c:pt idx="32">
                  <c:v>42720</c:v>
                </c:pt>
                <c:pt idx="33">
                  <c:v>42719</c:v>
                </c:pt>
                <c:pt idx="34">
                  <c:v>42718</c:v>
                </c:pt>
                <c:pt idx="35">
                  <c:v>42717</c:v>
                </c:pt>
                <c:pt idx="36">
                  <c:v>42716</c:v>
                </c:pt>
                <c:pt idx="37">
                  <c:v>42713</c:v>
                </c:pt>
                <c:pt idx="38">
                  <c:v>42712</c:v>
                </c:pt>
                <c:pt idx="39">
                  <c:v>42711</c:v>
                </c:pt>
                <c:pt idx="40">
                  <c:v>42710</c:v>
                </c:pt>
                <c:pt idx="41">
                  <c:v>42709</c:v>
                </c:pt>
                <c:pt idx="42">
                  <c:v>42706</c:v>
                </c:pt>
                <c:pt idx="43">
                  <c:v>42705</c:v>
                </c:pt>
                <c:pt idx="44">
                  <c:v>42704</c:v>
                </c:pt>
                <c:pt idx="45">
                  <c:v>42703</c:v>
                </c:pt>
                <c:pt idx="46">
                  <c:v>42702</c:v>
                </c:pt>
                <c:pt idx="47">
                  <c:v>42699</c:v>
                </c:pt>
                <c:pt idx="48">
                  <c:v>42697</c:v>
                </c:pt>
                <c:pt idx="49">
                  <c:v>42696</c:v>
                </c:pt>
                <c:pt idx="50">
                  <c:v>42695</c:v>
                </c:pt>
                <c:pt idx="51">
                  <c:v>42692</c:v>
                </c:pt>
                <c:pt idx="52">
                  <c:v>42691</c:v>
                </c:pt>
                <c:pt idx="53">
                  <c:v>42690</c:v>
                </c:pt>
                <c:pt idx="54">
                  <c:v>42689</c:v>
                </c:pt>
                <c:pt idx="55">
                  <c:v>42688</c:v>
                </c:pt>
                <c:pt idx="56">
                  <c:v>42685</c:v>
                </c:pt>
                <c:pt idx="57">
                  <c:v>42684</c:v>
                </c:pt>
                <c:pt idx="58">
                  <c:v>42683</c:v>
                </c:pt>
                <c:pt idx="59">
                  <c:v>42682</c:v>
                </c:pt>
                <c:pt idx="60">
                  <c:v>42681</c:v>
                </c:pt>
                <c:pt idx="61">
                  <c:v>42678</c:v>
                </c:pt>
                <c:pt idx="62">
                  <c:v>42677</c:v>
                </c:pt>
                <c:pt idx="63">
                  <c:v>42676</c:v>
                </c:pt>
                <c:pt idx="64">
                  <c:v>42675</c:v>
                </c:pt>
                <c:pt idx="65">
                  <c:v>42674</c:v>
                </c:pt>
                <c:pt idx="66">
                  <c:v>42671</c:v>
                </c:pt>
              </c:numCache>
            </c:numRef>
          </c:cat>
          <c:val>
            <c:numRef>
              <c:f>CCE!$AA$2:$AA$68</c:f>
              <c:numCache>
                <c:formatCode>General</c:formatCode>
                <c:ptCount val="67"/>
                <c:pt idx="0">
                  <c:v>34.950000000000003</c:v>
                </c:pt>
                <c:pt idx="1">
                  <c:v>34.74</c:v>
                </c:pt>
                <c:pt idx="2">
                  <c:v>34.53</c:v>
                </c:pt>
                <c:pt idx="3">
                  <c:v>34.130000000000003</c:v>
                </c:pt>
                <c:pt idx="4">
                  <c:v>34.33</c:v>
                </c:pt>
                <c:pt idx="5">
                  <c:v>34.43</c:v>
                </c:pt>
                <c:pt idx="6">
                  <c:v>34.81</c:v>
                </c:pt>
                <c:pt idx="7">
                  <c:v>34.549999999999997</c:v>
                </c:pt>
                <c:pt idx="8">
                  <c:v>34.25</c:v>
                </c:pt>
                <c:pt idx="9">
                  <c:v>34.03</c:v>
                </c:pt>
                <c:pt idx="10">
                  <c:v>33.86</c:v>
                </c:pt>
                <c:pt idx="11">
                  <c:v>32.979999999999997</c:v>
                </c:pt>
                <c:pt idx="12">
                  <c:v>32.21</c:v>
                </c:pt>
                <c:pt idx="13">
                  <c:v>32.15</c:v>
                </c:pt>
                <c:pt idx="14">
                  <c:v>32.24</c:v>
                </c:pt>
                <c:pt idx="15">
                  <c:v>32.5</c:v>
                </c:pt>
                <c:pt idx="16">
                  <c:v>31.5</c:v>
                </c:pt>
                <c:pt idx="17">
                  <c:v>31.96</c:v>
                </c:pt>
                <c:pt idx="18">
                  <c:v>31.93</c:v>
                </c:pt>
                <c:pt idx="19">
                  <c:v>31.95</c:v>
                </c:pt>
                <c:pt idx="20">
                  <c:v>31.59</c:v>
                </c:pt>
                <c:pt idx="21">
                  <c:v>31.37</c:v>
                </c:pt>
                <c:pt idx="22">
                  <c:v>31.4</c:v>
                </c:pt>
                <c:pt idx="23">
                  <c:v>31.58</c:v>
                </c:pt>
                <c:pt idx="24">
                  <c:v>31.62</c:v>
                </c:pt>
                <c:pt idx="26">
                  <c:v>31.91</c:v>
                </c:pt>
                <c:pt idx="27">
                  <c:v>32.19</c:v>
                </c:pt>
                <c:pt idx="28">
                  <c:v>32.29</c:v>
                </c:pt>
                <c:pt idx="29">
                  <c:v>32.4</c:v>
                </c:pt>
                <c:pt idx="30">
                  <c:v>32.24</c:v>
                </c:pt>
                <c:pt idx="31">
                  <c:v>32.409999999999997</c:v>
                </c:pt>
                <c:pt idx="32">
                  <c:v>32.47</c:v>
                </c:pt>
                <c:pt idx="33">
                  <c:v>32.15</c:v>
                </c:pt>
                <c:pt idx="34">
                  <c:v>31.58</c:v>
                </c:pt>
                <c:pt idx="35">
                  <c:v>31.83</c:v>
                </c:pt>
                <c:pt idx="36">
                  <c:v>32.130000000000003</c:v>
                </c:pt>
                <c:pt idx="37">
                  <c:v>32.299999999999997</c:v>
                </c:pt>
                <c:pt idx="38">
                  <c:v>31.64</c:v>
                </c:pt>
                <c:pt idx="39">
                  <c:v>32.049999999999997</c:v>
                </c:pt>
                <c:pt idx="40">
                  <c:v>31.31</c:v>
                </c:pt>
                <c:pt idx="41">
                  <c:v>31.59</c:v>
                </c:pt>
                <c:pt idx="42">
                  <c:v>31.52</c:v>
                </c:pt>
                <c:pt idx="43">
                  <c:v>31.4</c:v>
                </c:pt>
                <c:pt idx="44">
                  <c:v>32.46</c:v>
                </c:pt>
                <c:pt idx="45">
                  <c:v>33.01</c:v>
                </c:pt>
                <c:pt idx="46">
                  <c:v>33.47</c:v>
                </c:pt>
                <c:pt idx="47">
                  <c:v>33.49</c:v>
                </c:pt>
                <c:pt idx="48">
                  <c:v>33.24</c:v>
                </c:pt>
                <c:pt idx="49">
                  <c:v>33.729999999999997</c:v>
                </c:pt>
                <c:pt idx="50">
                  <c:v>33.96</c:v>
                </c:pt>
                <c:pt idx="51">
                  <c:v>33.729999999999997</c:v>
                </c:pt>
                <c:pt idx="52">
                  <c:v>34.07</c:v>
                </c:pt>
                <c:pt idx="53">
                  <c:v>34.71</c:v>
                </c:pt>
                <c:pt idx="54">
                  <c:v>35.130000000000003</c:v>
                </c:pt>
                <c:pt idx="55">
                  <c:v>35.07</c:v>
                </c:pt>
                <c:pt idx="56">
                  <c:v>35.47</c:v>
                </c:pt>
                <c:pt idx="57">
                  <c:v>34.92</c:v>
                </c:pt>
                <c:pt idx="58">
                  <c:v>38.270000000000003</c:v>
                </c:pt>
                <c:pt idx="59">
                  <c:v>39.04</c:v>
                </c:pt>
                <c:pt idx="60">
                  <c:v>38.56</c:v>
                </c:pt>
                <c:pt idx="61">
                  <c:v>37.92</c:v>
                </c:pt>
                <c:pt idx="62">
                  <c:v>38.74</c:v>
                </c:pt>
                <c:pt idx="63">
                  <c:v>38.75</c:v>
                </c:pt>
                <c:pt idx="64">
                  <c:v>38.53</c:v>
                </c:pt>
                <c:pt idx="65">
                  <c:v>38.44</c:v>
                </c:pt>
                <c:pt idx="66">
                  <c:v>38.24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30144896"/>
        <c:axId val="630145288"/>
      </c:lineChart>
      <c:dateAx>
        <c:axId val="63014489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0145288"/>
        <c:crosses val="autoZero"/>
        <c:auto val="1"/>
        <c:lblOffset val="100"/>
        <c:baseTimeUnit val="days"/>
      </c:dateAx>
      <c:valAx>
        <c:axId val="630145288"/>
        <c:scaling>
          <c:orientation val="minMax"/>
          <c:min val="2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01448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BMY!$AA$1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BMY!$W$2:$W$67</c:f>
              <c:numCache>
                <c:formatCode>d\-mmm\-yy</c:formatCode>
                <c:ptCount val="66"/>
                <c:pt idx="0">
                  <c:v>42768</c:v>
                </c:pt>
                <c:pt idx="1">
                  <c:v>42767</c:v>
                </c:pt>
                <c:pt idx="2">
                  <c:v>42766</c:v>
                </c:pt>
                <c:pt idx="3">
                  <c:v>42765</c:v>
                </c:pt>
                <c:pt idx="4">
                  <c:v>42762</c:v>
                </c:pt>
                <c:pt idx="5">
                  <c:v>42761</c:v>
                </c:pt>
                <c:pt idx="6">
                  <c:v>42760</c:v>
                </c:pt>
                <c:pt idx="7">
                  <c:v>42759</c:v>
                </c:pt>
                <c:pt idx="8">
                  <c:v>42758</c:v>
                </c:pt>
                <c:pt idx="9">
                  <c:v>42755</c:v>
                </c:pt>
                <c:pt idx="10">
                  <c:v>42754</c:v>
                </c:pt>
                <c:pt idx="11">
                  <c:v>42753</c:v>
                </c:pt>
                <c:pt idx="12">
                  <c:v>42752</c:v>
                </c:pt>
                <c:pt idx="13">
                  <c:v>42748</c:v>
                </c:pt>
                <c:pt idx="14">
                  <c:v>42747</c:v>
                </c:pt>
                <c:pt idx="15">
                  <c:v>42746</c:v>
                </c:pt>
                <c:pt idx="16">
                  <c:v>42745</c:v>
                </c:pt>
                <c:pt idx="17">
                  <c:v>42744</c:v>
                </c:pt>
                <c:pt idx="18">
                  <c:v>42741</c:v>
                </c:pt>
                <c:pt idx="19">
                  <c:v>42740</c:v>
                </c:pt>
                <c:pt idx="20">
                  <c:v>42739</c:v>
                </c:pt>
                <c:pt idx="21">
                  <c:v>42739</c:v>
                </c:pt>
                <c:pt idx="22">
                  <c:v>42738</c:v>
                </c:pt>
                <c:pt idx="23">
                  <c:v>42734</c:v>
                </c:pt>
                <c:pt idx="24">
                  <c:v>42733</c:v>
                </c:pt>
                <c:pt idx="25">
                  <c:v>42732</c:v>
                </c:pt>
                <c:pt idx="26">
                  <c:v>42731</c:v>
                </c:pt>
                <c:pt idx="27">
                  <c:v>42727</c:v>
                </c:pt>
                <c:pt idx="28">
                  <c:v>42726</c:v>
                </c:pt>
                <c:pt idx="29">
                  <c:v>42725</c:v>
                </c:pt>
                <c:pt idx="30">
                  <c:v>42724</c:v>
                </c:pt>
                <c:pt idx="31">
                  <c:v>42723</c:v>
                </c:pt>
                <c:pt idx="32">
                  <c:v>42720</c:v>
                </c:pt>
                <c:pt idx="33">
                  <c:v>42719</c:v>
                </c:pt>
                <c:pt idx="34">
                  <c:v>42718</c:v>
                </c:pt>
                <c:pt idx="35">
                  <c:v>42717</c:v>
                </c:pt>
                <c:pt idx="36">
                  <c:v>42716</c:v>
                </c:pt>
                <c:pt idx="37">
                  <c:v>42713</c:v>
                </c:pt>
                <c:pt idx="38">
                  <c:v>42712</c:v>
                </c:pt>
                <c:pt idx="39">
                  <c:v>42711</c:v>
                </c:pt>
                <c:pt idx="40">
                  <c:v>42710</c:v>
                </c:pt>
                <c:pt idx="41">
                  <c:v>42709</c:v>
                </c:pt>
                <c:pt idx="42">
                  <c:v>42706</c:v>
                </c:pt>
                <c:pt idx="43">
                  <c:v>42705</c:v>
                </c:pt>
                <c:pt idx="44">
                  <c:v>42704</c:v>
                </c:pt>
                <c:pt idx="45">
                  <c:v>42703</c:v>
                </c:pt>
                <c:pt idx="46">
                  <c:v>42702</c:v>
                </c:pt>
                <c:pt idx="47">
                  <c:v>42699</c:v>
                </c:pt>
                <c:pt idx="48">
                  <c:v>42697</c:v>
                </c:pt>
                <c:pt idx="49">
                  <c:v>42696</c:v>
                </c:pt>
                <c:pt idx="50">
                  <c:v>42695</c:v>
                </c:pt>
                <c:pt idx="51">
                  <c:v>42692</c:v>
                </c:pt>
                <c:pt idx="52">
                  <c:v>42691</c:v>
                </c:pt>
                <c:pt idx="53">
                  <c:v>42690</c:v>
                </c:pt>
                <c:pt idx="54">
                  <c:v>42689</c:v>
                </c:pt>
                <c:pt idx="55">
                  <c:v>42688</c:v>
                </c:pt>
                <c:pt idx="56">
                  <c:v>42685</c:v>
                </c:pt>
                <c:pt idx="57">
                  <c:v>42684</c:v>
                </c:pt>
                <c:pt idx="58">
                  <c:v>42683</c:v>
                </c:pt>
                <c:pt idx="59">
                  <c:v>42682</c:v>
                </c:pt>
                <c:pt idx="60">
                  <c:v>42681</c:v>
                </c:pt>
                <c:pt idx="61">
                  <c:v>42678</c:v>
                </c:pt>
                <c:pt idx="62">
                  <c:v>42677</c:v>
                </c:pt>
                <c:pt idx="63">
                  <c:v>42676</c:v>
                </c:pt>
                <c:pt idx="64">
                  <c:v>42675</c:v>
                </c:pt>
                <c:pt idx="65">
                  <c:v>42674</c:v>
                </c:pt>
              </c:numCache>
            </c:numRef>
          </c:cat>
          <c:val>
            <c:numRef>
              <c:f>BMY!$AA$2:$AA$70</c:f>
              <c:numCache>
                <c:formatCode>General</c:formatCode>
                <c:ptCount val="69"/>
                <c:pt idx="0">
                  <c:v>50.5</c:v>
                </c:pt>
                <c:pt idx="1">
                  <c:v>49.29</c:v>
                </c:pt>
                <c:pt idx="2">
                  <c:v>49.16</c:v>
                </c:pt>
                <c:pt idx="3">
                  <c:v>48.69</c:v>
                </c:pt>
                <c:pt idx="4">
                  <c:v>47.74</c:v>
                </c:pt>
                <c:pt idx="5">
                  <c:v>46.82</c:v>
                </c:pt>
                <c:pt idx="6">
                  <c:v>49.55</c:v>
                </c:pt>
                <c:pt idx="7">
                  <c:v>48.96</c:v>
                </c:pt>
                <c:pt idx="8">
                  <c:v>50</c:v>
                </c:pt>
                <c:pt idx="9">
                  <c:v>49.23</c:v>
                </c:pt>
                <c:pt idx="10">
                  <c:v>55.49</c:v>
                </c:pt>
                <c:pt idx="11">
                  <c:v>56.07</c:v>
                </c:pt>
                <c:pt idx="12">
                  <c:v>56.28</c:v>
                </c:pt>
                <c:pt idx="13">
                  <c:v>56.22</c:v>
                </c:pt>
                <c:pt idx="14">
                  <c:v>56.55</c:v>
                </c:pt>
                <c:pt idx="15">
                  <c:v>56.8</c:v>
                </c:pt>
                <c:pt idx="16">
                  <c:v>59.98</c:v>
                </c:pt>
                <c:pt idx="17">
                  <c:v>59.73</c:v>
                </c:pt>
                <c:pt idx="18">
                  <c:v>59.95</c:v>
                </c:pt>
                <c:pt idx="19">
                  <c:v>60.13</c:v>
                </c:pt>
                <c:pt idx="20">
                  <c:v>59.14</c:v>
                </c:pt>
                <c:pt idx="22">
                  <c:v>59.45</c:v>
                </c:pt>
                <c:pt idx="23">
                  <c:v>58.44</c:v>
                </c:pt>
                <c:pt idx="24">
                  <c:v>58.9</c:v>
                </c:pt>
                <c:pt idx="25">
                  <c:v>58.61</c:v>
                </c:pt>
                <c:pt idx="26">
                  <c:v>59.33</c:v>
                </c:pt>
                <c:pt idx="27">
                  <c:v>59.61</c:v>
                </c:pt>
                <c:pt idx="28">
                  <c:v>58.76</c:v>
                </c:pt>
                <c:pt idx="29">
                  <c:v>58.69</c:v>
                </c:pt>
                <c:pt idx="30">
                  <c:v>59.12</c:v>
                </c:pt>
                <c:pt idx="31">
                  <c:v>59.42</c:v>
                </c:pt>
                <c:pt idx="32">
                  <c:v>58.62</c:v>
                </c:pt>
                <c:pt idx="33">
                  <c:v>58.65</c:v>
                </c:pt>
                <c:pt idx="34">
                  <c:v>58.5</c:v>
                </c:pt>
                <c:pt idx="35">
                  <c:v>57.17</c:v>
                </c:pt>
                <c:pt idx="36">
                  <c:v>56.55</c:v>
                </c:pt>
                <c:pt idx="37">
                  <c:v>57.04</c:v>
                </c:pt>
                <c:pt idx="38">
                  <c:v>55.23</c:v>
                </c:pt>
                <c:pt idx="39">
                  <c:v>55.24</c:v>
                </c:pt>
                <c:pt idx="40">
                  <c:v>56.03</c:v>
                </c:pt>
                <c:pt idx="41">
                  <c:v>55.55</c:v>
                </c:pt>
                <c:pt idx="42">
                  <c:v>55.96</c:v>
                </c:pt>
                <c:pt idx="43">
                  <c:v>55.8</c:v>
                </c:pt>
                <c:pt idx="44">
                  <c:v>56.44</c:v>
                </c:pt>
                <c:pt idx="45">
                  <c:v>56.36</c:v>
                </c:pt>
                <c:pt idx="46">
                  <c:v>56.51</c:v>
                </c:pt>
                <c:pt idx="47">
                  <c:v>56.98</c:v>
                </c:pt>
                <c:pt idx="48">
                  <c:v>56.75</c:v>
                </c:pt>
                <c:pt idx="49">
                  <c:v>56.55</c:v>
                </c:pt>
                <c:pt idx="50">
                  <c:v>56.73</c:v>
                </c:pt>
                <c:pt idx="51">
                  <c:v>56.76</c:v>
                </c:pt>
                <c:pt idx="52">
                  <c:v>56.68</c:v>
                </c:pt>
                <c:pt idx="53">
                  <c:v>56.2</c:v>
                </c:pt>
                <c:pt idx="54">
                  <c:v>56.69</c:v>
                </c:pt>
                <c:pt idx="55">
                  <c:v>56.56</c:v>
                </c:pt>
                <c:pt idx="56">
                  <c:v>56.37</c:v>
                </c:pt>
                <c:pt idx="57">
                  <c:v>56.66</c:v>
                </c:pt>
                <c:pt idx="58">
                  <c:v>56.3</c:v>
                </c:pt>
                <c:pt idx="59">
                  <c:v>53.16</c:v>
                </c:pt>
                <c:pt idx="60">
                  <c:v>52.62</c:v>
                </c:pt>
                <c:pt idx="61">
                  <c:v>51.01</c:v>
                </c:pt>
                <c:pt idx="62">
                  <c:v>50.21</c:v>
                </c:pt>
                <c:pt idx="63">
                  <c:v>50.57</c:v>
                </c:pt>
                <c:pt idx="64">
                  <c:v>50.8</c:v>
                </c:pt>
                <c:pt idx="65">
                  <c:v>50.91</c:v>
                </c:pt>
                <c:pt idx="66">
                  <c:v>51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30147248"/>
        <c:axId val="630147640"/>
      </c:lineChart>
      <c:dateAx>
        <c:axId val="63014724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0147640"/>
        <c:crosses val="autoZero"/>
        <c:auto val="1"/>
        <c:lblOffset val="100"/>
        <c:baseTimeUnit val="days"/>
      </c:dateAx>
      <c:valAx>
        <c:axId val="630147640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01472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AKAM!$AA$1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AKAM!$W$2:$W$67</c:f>
              <c:numCache>
                <c:formatCode>d\-mmm\-yy</c:formatCode>
                <c:ptCount val="66"/>
                <c:pt idx="0">
                  <c:v>42768</c:v>
                </c:pt>
                <c:pt idx="1">
                  <c:v>42767</c:v>
                </c:pt>
                <c:pt idx="2">
                  <c:v>42766</c:v>
                </c:pt>
                <c:pt idx="3">
                  <c:v>42765</c:v>
                </c:pt>
                <c:pt idx="4">
                  <c:v>42762</c:v>
                </c:pt>
                <c:pt idx="5">
                  <c:v>42761</c:v>
                </c:pt>
                <c:pt idx="6">
                  <c:v>42760</c:v>
                </c:pt>
                <c:pt idx="7">
                  <c:v>42759</c:v>
                </c:pt>
                <c:pt idx="8">
                  <c:v>42758</c:v>
                </c:pt>
                <c:pt idx="9">
                  <c:v>42755</c:v>
                </c:pt>
                <c:pt idx="10">
                  <c:v>42754</c:v>
                </c:pt>
                <c:pt idx="11">
                  <c:v>42753</c:v>
                </c:pt>
                <c:pt idx="12">
                  <c:v>42752</c:v>
                </c:pt>
                <c:pt idx="13">
                  <c:v>42748</c:v>
                </c:pt>
                <c:pt idx="14">
                  <c:v>42747</c:v>
                </c:pt>
                <c:pt idx="15">
                  <c:v>42746</c:v>
                </c:pt>
                <c:pt idx="16">
                  <c:v>42745</c:v>
                </c:pt>
                <c:pt idx="17">
                  <c:v>42744</c:v>
                </c:pt>
                <c:pt idx="18">
                  <c:v>42741</c:v>
                </c:pt>
                <c:pt idx="19">
                  <c:v>42740</c:v>
                </c:pt>
                <c:pt idx="20">
                  <c:v>42739</c:v>
                </c:pt>
                <c:pt idx="21">
                  <c:v>42738</c:v>
                </c:pt>
                <c:pt idx="22">
                  <c:v>42734</c:v>
                </c:pt>
                <c:pt idx="23">
                  <c:v>42733</c:v>
                </c:pt>
                <c:pt idx="24">
                  <c:v>42732</c:v>
                </c:pt>
                <c:pt idx="25">
                  <c:v>42731</c:v>
                </c:pt>
                <c:pt idx="26">
                  <c:v>42727</c:v>
                </c:pt>
                <c:pt idx="27">
                  <c:v>42726</c:v>
                </c:pt>
                <c:pt idx="28">
                  <c:v>42725</c:v>
                </c:pt>
                <c:pt idx="29">
                  <c:v>42724</c:v>
                </c:pt>
                <c:pt idx="30">
                  <c:v>42723</c:v>
                </c:pt>
                <c:pt idx="31">
                  <c:v>42720</c:v>
                </c:pt>
                <c:pt idx="32">
                  <c:v>42719</c:v>
                </c:pt>
                <c:pt idx="33">
                  <c:v>42718</c:v>
                </c:pt>
                <c:pt idx="34">
                  <c:v>42717</c:v>
                </c:pt>
                <c:pt idx="35">
                  <c:v>42716</c:v>
                </c:pt>
                <c:pt idx="36">
                  <c:v>42713</c:v>
                </c:pt>
                <c:pt idx="37">
                  <c:v>42712</c:v>
                </c:pt>
                <c:pt idx="38">
                  <c:v>42711</c:v>
                </c:pt>
                <c:pt idx="39">
                  <c:v>42710</c:v>
                </c:pt>
                <c:pt idx="40">
                  <c:v>42709</c:v>
                </c:pt>
                <c:pt idx="41">
                  <c:v>42706</c:v>
                </c:pt>
                <c:pt idx="42">
                  <c:v>42705</c:v>
                </c:pt>
                <c:pt idx="43">
                  <c:v>42704</c:v>
                </c:pt>
                <c:pt idx="44">
                  <c:v>42703</c:v>
                </c:pt>
                <c:pt idx="45">
                  <c:v>42702</c:v>
                </c:pt>
                <c:pt idx="46">
                  <c:v>42699</c:v>
                </c:pt>
                <c:pt idx="47">
                  <c:v>42697</c:v>
                </c:pt>
                <c:pt idx="48">
                  <c:v>42696</c:v>
                </c:pt>
                <c:pt idx="49">
                  <c:v>42695</c:v>
                </c:pt>
                <c:pt idx="50">
                  <c:v>42692</c:v>
                </c:pt>
                <c:pt idx="51">
                  <c:v>42691</c:v>
                </c:pt>
                <c:pt idx="52">
                  <c:v>42690</c:v>
                </c:pt>
                <c:pt idx="53">
                  <c:v>42689</c:v>
                </c:pt>
                <c:pt idx="54">
                  <c:v>42688</c:v>
                </c:pt>
                <c:pt idx="55">
                  <c:v>42685</c:v>
                </c:pt>
                <c:pt idx="56">
                  <c:v>42684</c:v>
                </c:pt>
                <c:pt idx="57">
                  <c:v>42683</c:v>
                </c:pt>
                <c:pt idx="58">
                  <c:v>42682</c:v>
                </c:pt>
                <c:pt idx="59">
                  <c:v>42681</c:v>
                </c:pt>
                <c:pt idx="60">
                  <c:v>42678</c:v>
                </c:pt>
                <c:pt idx="61">
                  <c:v>42677</c:v>
                </c:pt>
                <c:pt idx="62">
                  <c:v>42676</c:v>
                </c:pt>
                <c:pt idx="63">
                  <c:v>42675</c:v>
                </c:pt>
                <c:pt idx="64">
                  <c:v>42674</c:v>
                </c:pt>
                <c:pt idx="65">
                  <c:v>42671</c:v>
                </c:pt>
              </c:numCache>
            </c:numRef>
          </c:cat>
          <c:val>
            <c:numRef>
              <c:f>AKAM!$AA$2:$AA$69</c:f>
              <c:numCache>
                <c:formatCode>General</c:formatCode>
                <c:ptCount val="68"/>
                <c:pt idx="0">
                  <c:v>69.400000000000006</c:v>
                </c:pt>
                <c:pt idx="1">
                  <c:v>68.7</c:v>
                </c:pt>
                <c:pt idx="2">
                  <c:v>68.59</c:v>
                </c:pt>
                <c:pt idx="3">
                  <c:v>67.81</c:v>
                </c:pt>
                <c:pt idx="4">
                  <c:v>67.97</c:v>
                </c:pt>
                <c:pt idx="5">
                  <c:v>67.78</c:v>
                </c:pt>
                <c:pt idx="6">
                  <c:v>68.73</c:v>
                </c:pt>
                <c:pt idx="7">
                  <c:v>67.739999999999995</c:v>
                </c:pt>
                <c:pt idx="8">
                  <c:v>67.97</c:v>
                </c:pt>
                <c:pt idx="9">
                  <c:v>69.150000000000006</c:v>
                </c:pt>
                <c:pt idx="10">
                  <c:v>68.98</c:v>
                </c:pt>
                <c:pt idx="11">
                  <c:v>69.599999999999994</c:v>
                </c:pt>
                <c:pt idx="12">
                  <c:v>69.790000000000006</c:v>
                </c:pt>
                <c:pt idx="13">
                  <c:v>70.02</c:v>
                </c:pt>
                <c:pt idx="14">
                  <c:v>69.930000000000007</c:v>
                </c:pt>
                <c:pt idx="15">
                  <c:v>70.12</c:v>
                </c:pt>
                <c:pt idx="16">
                  <c:v>70.28</c:v>
                </c:pt>
                <c:pt idx="17">
                  <c:v>70</c:v>
                </c:pt>
                <c:pt idx="18">
                  <c:v>69.790000000000006</c:v>
                </c:pt>
                <c:pt idx="19">
                  <c:v>69.55</c:v>
                </c:pt>
                <c:pt idx="20">
                  <c:v>68.33</c:v>
                </c:pt>
                <c:pt idx="21">
                  <c:v>67.569999999999993</c:v>
                </c:pt>
                <c:pt idx="22">
                  <c:v>66.680000000000007</c:v>
                </c:pt>
                <c:pt idx="23">
                  <c:v>67.040000000000006</c:v>
                </c:pt>
                <c:pt idx="24">
                  <c:v>67.27</c:v>
                </c:pt>
                <c:pt idx="25">
                  <c:v>68.09</c:v>
                </c:pt>
                <c:pt idx="26">
                  <c:v>67.63</c:v>
                </c:pt>
                <c:pt idx="27">
                  <c:v>67.37</c:v>
                </c:pt>
                <c:pt idx="28">
                  <c:v>67.87</c:v>
                </c:pt>
                <c:pt idx="29">
                  <c:v>68.7</c:v>
                </c:pt>
                <c:pt idx="30">
                  <c:v>67.760000000000005</c:v>
                </c:pt>
                <c:pt idx="31">
                  <c:v>67.19</c:v>
                </c:pt>
                <c:pt idx="32">
                  <c:v>67.58</c:v>
                </c:pt>
                <c:pt idx="33">
                  <c:v>66.989999999999995</c:v>
                </c:pt>
                <c:pt idx="34">
                  <c:v>65.14</c:v>
                </c:pt>
                <c:pt idx="35">
                  <c:v>64.25</c:v>
                </c:pt>
                <c:pt idx="36">
                  <c:v>64.94</c:v>
                </c:pt>
                <c:pt idx="37">
                  <c:v>66.31</c:v>
                </c:pt>
                <c:pt idx="38">
                  <c:v>66.150000000000006</c:v>
                </c:pt>
                <c:pt idx="39">
                  <c:v>64.930000000000007</c:v>
                </c:pt>
                <c:pt idx="40">
                  <c:v>64.31</c:v>
                </c:pt>
                <c:pt idx="41">
                  <c:v>63.87</c:v>
                </c:pt>
                <c:pt idx="42">
                  <c:v>63.51</c:v>
                </c:pt>
                <c:pt idx="43">
                  <c:v>66.7</c:v>
                </c:pt>
                <c:pt idx="44">
                  <c:v>67.28</c:v>
                </c:pt>
                <c:pt idx="45">
                  <c:v>66.17</c:v>
                </c:pt>
                <c:pt idx="46">
                  <c:v>66.95</c:v>
                </c:pt>
                <c:pt idx="47">
                  <c:v>66.48</c:v>
                </c:pt>
                <c:pt idx="48">
                  <c:v>66.819999999999993</c:v>
                </c:pt>
                <c:pt idx="49">
                  <c:v>66.900000000000006</c:v>
                </c:pt>
                <c:pt idx="50">
                  <c:v>66.44</c:v>
                </c:pt>
                <c:pt idx="51">
                  <c:v>66.599999999999994</c:v>
                </c:pt>
                <c:pt idx="52">
                  <c:v>65.900000000000006</c:v>
                </c:pt>
                <c:pt idx="53">
                  <c:v>65.47</c:v>
                </c:pt>
                <c:pt idx="54">
                  <c:v>65.44</c:v>
                </c:pt>
                <c:pt idx="55">
                  <c:v>65.45</c:v>
                </c:pt>
                <c:pt idx="56">
                  <c:v>66.22</c:v>
                </c:pt>
                <c:pt idx="57">
                  <c:v>66.53</c:v>
                </c:pt>
                <c:pt idx="58">
                  <c:v>66.37</c:v>
                </c:pt>
                <c:pt idx="59">
                  <c:v>66.52</c:v>
                </c:pt>
                <c:pt idx="60">
                  <c:v>65.81</c:v>
                </c:pt>
                <c:pt idx="61">
                  <c:v>66.52</c:v>
                </c:pt>
                <c:pt idx="62">
                  <c:v>67.31</c:v>
                </c:pt>
                <c:pt idx="63">
                  <c:v>68.099999999999994</c:v>
                </c:pt>
                <c:pt idx="64">
                  <c:v>69.47</c:v>
                </c:pt>
                <c:pt idx="65">
                  <c:v>69.91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30149600"/>
        <c:axId val="630149992"/>
      </c:lineChart>
      <c:dateAx>
        <c:axId val="63014960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0149992"/>
        <c:crosses val="autoZero"/>
        <c:auto val="1"/>
        <c:lblOffset val="100"/>
        <c:baseTimeUnit val="days"/>
      </c:dateAx>
      <c:valAx>
        <c:axId val="630149992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01496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CVS!$AA$1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CVS!$W$2:$W$67</c:f>
              <c:numCache>
                <c:formatCode>d\-mmm\-yy</c:formatCode>
                <c:ptCount val="66"/>
                <c:pt idx="0">
                  <c:v>42768</c:v>
                </c:pt>
                <c:pt idx="1">
                  <c:v>42767</c:v>
                </c:pt>
                <c:pt idx="2">
                  <c:v>42766</c:v>
                </c:pt>
                <c:pt idx="3">
                  <c:v>42765</c:v>
                </c:pt>
                <c:pt idx="4">
                  <c:v>42762</c:v>
                </c:pt>
                <c:pt idx="5">
                  <c:v>42761</c:v>
                </c:pt>
                <c:pt idx="6">
                  <c:v>42760</c:v>
                </c:pt>
                <c:pt idx="7">
                  <c:v>42759</c:v>
                </c:pt>
                <c:pt idx="8">
                  <c:v>42758</c:v>
                </c:pt>
                <c:pt idx="9">
                  <c:v>42755</c:v>
                </c:pt>
                <c:pt idx="10">
                  <c:v>42755</c:v>
                </c:pt>
                <c:pt idx="11">
                  <c:v>42754</c:v>
                </c:pt>
                <c:pt idx="12">
                  <c:v>42753</c:v>
                </c:pt>
                <c:pt idx="13">
                  <c:v>42752</c:v>
                </c:pt>
                <c:pt idx="14">
                  <c:v>42748</c:v>
                </c:pt>
                <c:pt idx="15">
                  <c:v>42747</c:v>
                </c:pt>
                <c:pt idx="16">
                  <c:v>42746</c:v>
                </c:pt>
                <c:pt idx="17">
                  <c:v>42745</c:v>
                </c:pt>
                <c:pt idx="18">
                  <c:v>42744</c:v>
                </c:pt>
                <c:pt idx="19">
                  <c:v>42741</c:v>
                </c:pt>
                <c:pt idx="20">
                  <c:v>42740</c:v>
                </c:pt>
                <c:pt idx="21">
                  <c:v>42739</c:v>
                </c:pt>
                <c:pt idx="22">
                  <c:v>42738</c:v>
                </c:pt>
                <c:pt idx="23">
                  <c:v>42734</c:v>
                </c:pt>
                <c:pt idx="24">
                  <c:v>42733</c:v>
                </c:pt>
                <c:pt idx="25">
                  <c:v>42732</c:v>
                </c:pt>
                <c:pt idx="26">
                  <c:v>42731</c:v>
                </c:pt>
                <c:pt idx="27">
                  <c:v>42727</c:v>
                </c:pt>
                <c:pt idx="28">
                  <c:v>42726</c:v>
                </c:pt>
                <c:pt idx="29">
                  <c:v>42725</c:v>
                </c:pt>
                <c:pt idx="30">
                  <c:v>42724</c:v>
                </c:pt>
                <c:pt idx="31">
                  <c:v>42723</c:v>
                </c:pt>
                <c:pt idx="32">
                  <c:v>42720</c:v>
                </c:pt>
                <c:pt idx="33">
                  <c:v>42719</c:v>
                </c:pt>
                <c:pt idx="34">
                  <c:v>42718</c:v>
                </c:pt>
                <c:pt idx="35">
                  <c:v>42717</c:v>
                </c:pt>
                <c:pt idx="36">
                  <c:v>42716</c:v>
                </c:pt>
                <c:pt idx="37">
                  <c:v>42713</c:v>
                </c:pt>
                <c:pt idx="38">
                  <c:v>42712</c:v>
                </c:pt>
                <c:pt idx="39">
                  <c:v>42711</c:v>
                </c:pt>
                <c:pt idx="40">
                  <c:v>42710</c:v>
                </c:pt>
                <c:pt idx="41">
                  <c:v>42709</c:v>
                </c:pt>
                <c:pt idx="42">
                  <c:v>42706</c:v>
                </c:pt>
                <c:pt idx="43">
                  <c:v>42705</c:v>
                </c:pt>
                <c:pt idx="44">
                  <c:v>42704</c:v>
                </c:pt>
                <c:pt idx="45">
                  <c:v>42703</c:v>
                </c:pt>
                <c:pt idx="46">
                  <c:v>42702</c:v>
                </c:pt>
                <c:pt idx="47">
                  <c:v>42699</c:v>
                </c:pt>
                <c:pt idx="48">
                  <c:v>42697</c:v>
                </c:pt>
                <c:pt idx="49">
                  <c:v>42696</c:v>
                </c:pt>
                <c:pt idx="50">
                  <c:v>42695</c:v>
                </c:pt>
                <c:pt idx="51">
                  <c:v>42692</c:v>
                </c:pt>
                <c:pt idx="52">
                  <c:v>42691</c:v>
                </c:pt>
                <c:pt idx="53">
                  <c:v>42690</c:v>
                </c:pt>
                <c:pt idx="54">
                  <c:v>42689</c:v>
                </c:pt>
                <c:pt idx="55">
                  <c:v>42688</c:v>
                </c:pt>
                <c:pt idx="56">
                  <c:v>42685</c:v>
                </c:pt>
                <c:pt idx="57">
                  <c:v>42684</c:v>
                </c:pt>
                <c:pt idx="58">
                  <c:v>42683</c:v>
                </c:pt>
                <c:pt idx="59">
                  <c:v>42682</c:v>
                </c:pt>
                <c:pt idx="60">
                  <c:v>42681</c:v>
                </c:pt>
                <c:pt idx="61">
                  <c:v>42678</c:v>
                </c:pt>
                <c:pt idx="62">
                  <c:v>42677</c:v>
                </c:pt>
                <c:pt idx="63">
                  <c:v>42676</c:v>
                </c:pt>
                <c:pt idx="64">
                  <c:v>42675</c:v>
                </c:pt>
                <c:pt idx="65">
                  <c:v>42674</c:v>
                </c:pt>
              </c:numCache>
            </c:numRef>
          </c:cat>
          <c:val>
            <c:numRef>
              <c:f>CVS!$AA$2:$AA$69</c:f>
              <c:numCache>
                <c:formatCode>General</c:formatCode>
                <c:ptCount val="68"/>
                <c:pt idx="0">
                  <c:v>74.8</c:v>
                </c:pt>
                <c:pt idx="1">
                  <c:v>77.97</c:v>
                </c:pt>
                <c:pt idx="2">
                  <c:v>78.81</c:v>
                </c:pt>
                <c:pt idx="3">
                  <c:v>78.680000000000007</c:v>
                </c:pt>
                <c:pt idx="4">
                  <c:v>77.75</c:v>
                </c:pt>
                <c:pt idx="5">
                  <c:v>79.33</c:v>
                </c:pt>
                <c:pt idx="6">
                  <c:v>79.489999999999995</c:v>
                </c:pt>
                <c:pt idx="7">
                  <c:v>81.78</c:v>
                </c:pt>
                <c:pt idx="8">
                  <c:v>81.25</c:v>
                </c:pt>
                <c:pt idx="9">
                  <c:v>81.56</c:v>
                </c:pt>
                <c:pt idx="11">
                  <c:v>83.2</c:v>
                </c:pt>
                <c:pt idx="12">
                  <c:v>83.54</c:v>
                </c:pt>
                <c:pt idx="13">
                  <c:v>83.92</c:v>
                </c:pt>
                <c:pt idx="14">
                  <c:v>81.98</c:v>
                </c:pt>
                <c:pt idx="15">
                  <c:v>82.6</c:v>
                </c:pt>
                <c:pt idx="16">
                  <c:v>82.77</c:v>
                </c:pt>
                <c:pt idx="17">
                  <c:v>82.67</c:v>
                </c:pt>
                <c:pt idx="18">
                  <c:v>81.7</c:v>
                </c:pt>
                <c:pt idx="19">
                  <c:v>82.2</c:v>
                </c:pt>
                <c:pt idx="20">
                  <c:v>81.42</c:v>
                </c:pt>
                <c:pt idx="21">
                  <c:v>79.75</c:v>
                </c:pt>
                <c:pt idx="22">
                  <c:v>80.349999999999994</c:v>
                </c:pt>
                <c:pt idx="23">
                  <c:v>78.91</c:v>
                </c:pt>
                <c:pt idx="24">
                  <c:v>79</c:v>
                </c:pt>
                <c:pt idx="25">
                  <c:v>79.040000000000006</c:v>
                </c:pt>
                <c:pt idx="26">
                  <c:v>79.290000000000006</c:v>
                </c:pt>
                <c:pt idx="27">
                  <c:v>79.14</c:v>
                </c:pt>
                <c:pt idx="28">
                  <c:v>78.790000000000006</c:v>
                </c:pt>
                <c:pt idx="29">
                  <c:v>79.849999999999994</c:v>
                </c:pt>
                <c:pt idx="30">
                  <c:v>79.84</c:v>
                </c:pt>
                <c:pt idx="31">
                  <c:v>79.930000000000007</c:v>
                </c:pt>
                <c:pt idx="32">
                  <c:v>79.56</c:v>
                </c:pt>
                <c:pt idx="33">
                  <c:v>78.290000000000006</c:v>
                </c:pt>
                <c:pt idx="34">
                  <c:v>78.959999999999994</c:v>
                </c:pt>
                <c:pt idx="35">
                  <c:v>80.150000000000006</c:v>
                </c:pt>
                <c:pt idx="36">
                  <c:v>79.73</c:v>
                </c:pt>
                <c:pt idx="37">
                  <c:v>80.13</c:v>
                </c:pt>
                <c:pt idx="38">
                  <c:v>78.11</c:v>
                </c:pt>
                <c:pt idx="39">
                  <c:v>80.53</c:v>
                </c:pt>
                <c:pt idx="40">
                  <c:v>79.42</c:v>
                </c:pt>
                <c:pt idx="41">
                  <c:v>77.989999999999995</c:v>
                </c:pt>
                <c:pt idx="42">
                  <c:v>77.62</c:v>
                </c:pt>
                <c:pt idx="43">
                  <c:v>76.760000000000005</c:v>
                </c:pt>
                <c:pt idx="44">
                  <c:v>76.89</c:v>
                </c:pt>
                <c:pt idx="45">
                  <c:v>75.88</c:v>
                </c:pt>
                <c:pt idx="46">
                  <c:v>74.78</c:v>
                </c:pt>
                <c:pt idx="47">
                  <c:v>74.06</c:v>
                </c:pt>
                <c:pt idx="48">
                  <c:v>73.67</c:v>
                </c:pt>
                <c:pt idx="49">
                  <c:v>73.59</c:v>
                </c:pt>
                <c:pt idx="50">
                  <c:v>74.2</c:v>
                </c:pt>
                <c:pt idx="51">
                  <c:v>74.040000000000006</c:v>
                </c:pt>
                <c:pt idx="52">
                  <c:v>74.27</c:v>
                </c:pt>
                <c:pt idx="53">
                  <c:v>74.56</c:v>
                </c:pt>
                <c:pt idx="54">
                  <c:v>75.040000000000006</c:v>
                </c:pt>
                <c:pt idx="55">
                  <c:v>76</c:v>
                </c:pt>
                <c:pt idx="56">
                  <c:v>75.09</c:v>
                </c:pt>
                <c:pt idx="57">
                  <c:v>77.28</c:v>
                </c:pt>
                <c:pt idx="58">
                  <c:v>76.56</c:v>
                </c:pt>
                <c:pt idx="59">
                  <c:v>73.53</c:v>
                </c:pt>
                <c:pt idx="60">
                  <c:v>83.39</c:v>
                </c:pt>
                <c:pt idx="61">
                  <c:v>82.31</c:v>
                </c:pt>
                <c:pt idx="62">
                  <c:v>81.569999999999993</c:v>
                </c:pt>
                <c:pt idx="63">
                  <c:v>83.95</c:v>
                </c:pt>
                <c:pt idx="64">
                  <c:v>83.45</c:v>
                </c:pt>
                <c:pt idx="65">
                  <c:v>84.1</c:v>
                </c:pt>
                <c:pt idx="66">
                  <c:v>83.36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30035912"/>
        <c:axId val="630036304"/>
      </c:lineChart>
      <c:dateAx>
        <c:axId val="63003591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0036304"/>
        <c:crosses val="autoZero"/>
        <c:auto val="1"/>
        <c:lblOffset val="100"/>
        <c:baseTimeUnit val="days"/>
      </c:dateAx>
      <c:valAx>
        <c:axId val="630036304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00359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MRO!$AA$1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Pt>
            <c:idx val="19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9050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32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587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cat>
            <c:numRef>
              <c:f>MRO!$W$2:$W$67</c:f>
              <c:numCache>
                <c:formatCode>d\-mmm\-yy</c:formatCode>
                <c:ptCount val="66"/>
                <c:pt idx="0">
                  <c:v>42768</c:v>
                </c:pt>
                <c:pt idx="1">
                  <c:v>42767</c:v>
                </c:pt>
                <c:pt idx="2">
                  <c:v>42766</c:v>
                </c:pt>
                <c:pt idx="3">
                  <c:v>42765</c:v>
                </c:pt>
                <c:pt idx="4">
                  <c:v>42762</c:v>
                </c:pt>
                <c:pt idx="5">
                  <c:v>42761</c:v>
                </c:pt>
                <c:pt idx="6">
                  <c:v>42760</c:v>
                </c:pt>
                <c:pt idx="7">
                  <c:v>42759</c:v>
                </c:pt>
                <c:pt idx="8">
                  <c:v>42758</c:v>
                </c:pt>
                <c:pt idx="9">
                  <c:v>42755</c:v>
                </c:pt>
                <c:pt idx="10">
                  <c:v>42754</c:v>
                </c:pt>
                <c:pt idx="11">
                  <c:v>42753</c:v>
                </c:pt>
                <c:pt idx="12">
                  <c:v>42752</c:v>
                </c:pt>
                <c:pt idx="13">
                  <c:v>42748</c:v>
                </c:pt>
                <c:pt idx="14">
                  <c:v>42747</c:v>
                </c:pt>
                <c:pt idx="15">
                  <c:v>42746</c:v>
                </c:pt>
                <c:pt idx="16">
                  <c:v>42745</c:v>
                </c:pt>
                <c:pt idx="17">
                  <c:v>42744</c:v>
                </c:pt>
                <c:pt idx="18">
                  <c:v>42741</c:v>
                </c:pt>
                <c:pt idx="19">
                  <c:v>42740</c:v>
                </c:pt>
                <c:pt idx="20">
                  <c:v>42739</c:v>
                </c:pt>
                <c:pt idx="21">
                  <c:v>42738</c:v>
                </c:pt>
                <c:pt idx="22">
                  <c:v>42734</c:v>
                </c:pt>
                <c:pt idx="23">
                  <c:v>42733</c:v>
                </c:pt>
                <c:pt idx="24">
                  <c:v>42732</c:v>
                </c:pt>
                <c:pt idx="25">
                  <c:v>42731</c:v>
                </c:pt>
                <c:pt idx="26">
                  <c:v>42727</c:v>
                </c:pt>
                <c:pt idx="27">
                  <c:v>42726</c:v>
                </c:pt>
                <c:pt idx="28">
                  <c:v>42725</c:v>
                </c:pt>
                <c:pt idx="29">
                  <c:v>42724</c:v>
                </c:pt>
                <c:pt idx="30">
                  <c:v>42723</c:v>
                </c:pt>
                <c:pt idx="31">
                  <c:v>42720</c:v>
                </c:pt>
                <c:pt idx="32">
                  <c:v>42719</c:v>
                </c:pt>
                <c:pt idx="33">
                  <c:v>42718</c:v>
                </c:pt>
                <c:pt idx="34">
                  <c:v>42717</c:v>
                </c:pt>
                <c:pt idx="35">
                  <c:v>42716</c:v>
                </c:pt>
                <c:pt idx="36">
                  <c:v>42713</c:v>
                </c:pt>
                <c:pt idx="37">
                  <c:v>42712</c:v>
                </c:pt>
                <c:pt idx="38">
                  <c:v>42711</c:v>
                </c:pt>
                <c:pt idx="39">
                  <c:v>42710</c:v>
                </c:pt>
                <c:pt idx="40">
                  <c:v>42709</c:v>
                </c:pt>
                <c:pt idx="41">
                  <c:v>42706</c:v>
                </c:pt>
                <c:pt idx="42">
                  <c:v>42705</c:v>
                </c:pt>
                <c:pt idx="43">
                  <c:v>42704</c:v>
                </c:pt>
                <c:pt idx="44">
                  <c:v>42703</c:v>
                </c:pt>
                <c:pt idx="45">
                  <c:v>42702</c:v>
                </c:pt>
                <c:pt idx="46">
                  <c:v>42699</c:v>
                </c:pt>
                <c:pt idx="47">
                  <c:v>42697</c:v>
                </c:pt>
                <c:pt idx="48">
                  <c:v>42696</c:v>
                </c:pt>
                <c:pt idx="49">
                  <c:v>42695</c:v>
                </c:pt>
                <c:pt idx="50">
                  <c:v>42692</c:v>
                </c:pt>
                <c:pt idx="51">
                  <c:v>42691</c:v>
                </c:pt>
                <c:pt idx="52">
                  <c:v>42690</c:v>
                </c:pt>
                <c:pt idx="53">
                  <c:v>42689</c:v>
                </c:pt>
                <c:pt idx="54">
                  <c:v>42688</c:v>
                </c:pt>
                <c:pt idx="55">
                  <c:v>42688</c:v>
                </c:pt>
                <c:pt idx="56">
                  <c:v>42685</c:v>
                </c:pt>
                <c:pt idx="57">
                  <c:v>42684</c:v>
                </c:pt>
                <c:pt idx="58">
                  <c:v>42683</c:v>
                </c:pt>
                <c:pt idx="59">
                  <c:v>42682</c:v>
                </c:pt>
                <c:pt idx="60">
                  <c:v>42681</c:v>
                </c:pt>
                <c:pt idx="61">
                  <c:v>42678</c:v>
                </c:pt>
                <c:pt idx="62">
                  <c:v>42677</c:v>
                </c:pt>
                <c:pt idx="63">
                  <c:v>42676</c:v>
                </c:pt>
                <c:pt idx="64">
                  <c:v>42675</c:v>
                </c:pt>
                <c:pt idx="65">
                  <c:v>42674</c:v>
                </c:pt>
              </c:numCache>
            </c:numRef>
          </c:cat>
          <c:val>
            <c:numRef>
              <c:f>MRO!$AA$2:$AA$69</c:f>
              <c:numCache>
                <c:formatCode>General</c:formatCode>
                <c:ptCount val="68"/>
                <c:pt idx="0">
                  <c:v>16.68</c:v>
                </c:pt>
                <c:pt idx="1">
                  <c:v>16.59</c:v>
                </c:pt>
                <c:pt idx="2">
                  <c:v>16.75</c:v>
                </c:pt>
                <c:pt idx="3">
                  <c:v>16.53</c:v>
                </c:pt>
                <c:pt idx="4">
                  <c:v>17.41</c:v>
                </c:pt>
                <c:pt idx="5">
                  <c:v>17.75</c:v>
                </c:pt>
                <c:pt idx="6">
                  <c:v>17.75</c:v>
                </c:pt>
                <c:pt idx="7">
                  <c:v>17.7</c:v>
                </c:pt>
                <c:pt idx="8">
                  <c:v>17.420000000000002</c:v>
                </c:pt>
                <c:pt idx="9">
                  <c:v>17.61</c:v>
                </c:pt>
                <c:pt idx="10">
                  <c:v>17.27</c:v>
                </c:pt>
                <c:pt idx="11">
                  <c:v>17.329999999999998</c:v>
                </c:pt>
                <c:pt idx="12">
                  <c:v>17.440000000000001</c:v>
                </c:pt>
                <c:pt idx="13">
                  <c:v>17.45</c:v>
                </c:pt>
                <c:pt idx="14">
                  <c:v>17.440000000000001</c:v>
                </c:pt>
                <c:pt idx="15">
                  <c:v>17.690000000000001</c:v>
                </c:pt>
                <c:pt idx="16">
                  <c:v>17.48</c:v>
                </c:pt>
                <c:pt idx="17">
                  <c:v>17.399999999999999</c:v>
                </c:pt>
                <c:pt idx="18">
                  <c:v>17.88</c:v>
                </c:pt>
                <c:pt idx="19">
                  <c:v>18.18</c:v>
                </c:pt>
                <c:pt idx="20">
                  <c:v>18.05</c:v>
                </c:pt>
                <c:pt idx="21">
                  <c:v>17.760000000000002</c:v>
                </c:pt>
                <c:pt idx="22">
                  <c:v>17.309999999999999</c:v>
                </c:pt>
                <c:pt idx="23">
                  <c:v>17.57</c:v>
                </c:pt>
                <c:pt idx="24">
                  <c:v>17.850000000000001</c:v>
                </c:pt>
                <c:pt idx="25">
                  <c:v>18.14</c:v>
                </c:pt>
                <c:pt idx="26">
                  <c:v>18.059999999999999</c:v>
                </c:pt>
                <c:pt idx="27">
                  <c:v>18.04</c:v>
                </c:pt>
                <c:pt idx="28">
                  <c:v>18.079999999999998</c:v>
                </c:pt>
                <c:pt idx="29">
                  <c:v>18.309999999999999</c:v>
                </c:pt>
                <c:pt idx="30">
                  <c:v>18.510000000000002</c:v>
                </c:pt>
                <c:pt idx="31">
                  <c:v>18.59</c:v>
                </c:pt>
                <c:pt idx="32">
                  <c:v>18.239999999999998</c:v>
                </c:pt>
                <c:pt idx="33">
                  <c:v>18.2</c:v>
                </c:pt>
                <c:pt idx="34">
                  <c:v>18.8</c:v>
                </c:pt>
                <c:pt idx="35">
                  <c:v>18.489999999999998</c:v>
                </c:pt>
                <c:pt idx="36">
                  <c:v>18.25</c:v>
                </c:pt>
                <c:pt idx="37">
                  <c:v>18.38</c:v>
                </c:pt>
                <c:pt idx="38">
                  <c:v>18.420000000000002</c:v>
                </c:pt>
                <c:pt idx="39">
                  <c:v>18.350000000000001</c:v>
                </c:pt>
                <c:pt idx="40">
                  <c:v>18.39</c:v>
                </c:pt>
                <c:pt idx="41">
                  <c:v>18.2</c:v>
                </c:pt>
                <c:pt idx="42">
                  <c:v>17.89</c:v>
                </c:pt>
                <c:pt idx="43">
                  <c:v>18.059999999999999</c:v>
                </c:pt>
                <c:pt idx="44">
                  <c:v>14.95</c:v>
                </c:pt>
                <c:pt idx="45">
                  <c:v>15.54</c:v>
                </c:pt>
                <c:pt idx="46">
                  <c:v>16.28</c:v>
                </c:pt>
                <c:pt idx="47">
                  <c:v>16.78</c:v>
                </c:pt>
                <c:pt idx="48">
                  <c:v>16.55</c:v>
                </c:pt>
                <c:pt idx="49">
                  <c:v>16.48</c:v>
                </c:pt>
                <c:pt idx="50">
                  <c:v>15.62</c:v>
                </c:pt>
                <c:pt idx="51">
                  <c:v>15.46</c:v>
                </c:pt>
                <c:pt idx="52">
                  <c:v>15.56</c:v>
                </c:pt>
                <c:pt idx="53">
                  <c:v>15.7</c:v>
                </c:pt>
                <c:pt idx="54">
                  <c:v>14.93</c:v>
                </c:pt>
                <c:pt idx="56">
                  <c:v>14.89</c:v>
                </c:pt>
                <c:pt idx="57">
                  <c:v>15.14</c:v>
                </c:pt>
                <c:pt idx="58">
                  <c:v>14.88</c:v>
                </c:pt>
                <c:pt idx="59">
                  <c:v>14.25</c:v>
                </c:pt>
                <c:pt idx="60">
                  <c:v>14.15</c:v>
                </c:pt>
                <c:pt idx="61">
                  <c:v>13.69</c:v>
                </c:pt>
                <c:pt idx="62">
                  <c:v>14.15</c:v>
                </c:pt>
                <c:pt idx="63">
                  <c:v>12.78</c:v>
                </c:pt>
                <c:pt idx="64">
                  <c:v>13.27</c:v>
                </c:pt>
                <c:pt idx="65">
                  <c:v>13.18</c:v>
                </c:pt>
                <c:pt idx="66">
                  <c:v>13.72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30038264"/>
        <c:axId val="630038656"/>
      </c:lineChart>
      <c:dateAx>
        <c:axId val="630038264"/>
        <c:scaling>
          <c:orientation val="minMax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0038656"/>
        <c:crosses val="autoZero"/>
        <c:auto val="1"/>
        <c:lblOffset val="100"/>
        <c:baseTimeUnit val="days"/>
      </c:dateAx>
      <c:valAx>
        <c:axId val="630038656"/>
        <c:scaling>
          <c:orientation val="minMax"/>
          <c:min val="1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0038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KR!$W$2:$W$67</c:f>
              <c:numCache>
                <c:formatCode>d\-mmm\-yy</c:formatCode>
                <c:ptCount val="66"/>
                <c:pt idx="0">
                  <c:v>42768</c:v>
                </c:pt>
                <c:pt idx="1">
                  <c:v>42767</c:v>
                </c:pt>
                <c:pt idx="2">
                  <c:v>42766</c:v>
                </c:pt>
                <c:pt idx="3">
                  <c:v>42765</c:v>
                </c:pt>
                <c:pt idx="4">
                  <c:v>42762</c:v>
                </c:pt>
                <c:pt idx="5">
                  <c:v>42761</c:v>
                </c:pt>
                <c:pt idx="6">
                  <c:v>42760</c:v>
                </c:pt>
                <c:pt idx="7">
                  <c:v>42759</c:v>
                </c:pt>
                <c:pt idx="8">
                  <c:v>42758</c:v>
                </c:pt>
                <c:pt idx="9">
                  <c:v>42755</c:v>
                </c:pt>
                <c:pt idx="10">
                  <c:v>42754</c:v>
                </c:pt>
                <c:pt idx="11">
                  <c:v>42753</c:v>
                </c:pt>
                <c:pt idx="12">
                  <c:v>42752</c:v>
                </c:pt>
                <c:pt idx="13">
                  <c:v>42748</c:v>
                </c:pt>
                <c:pt idx="14">
                  <c:v>42747</c:v>
                </c:pt>
                <c:pt idx="15">
                  <c:v>42746</c:v>
                </c:pt>
                <c:pt idx="16">
                  <c:v>42745</c:v>
                </c:pt>
                <c:pt idx="17">
                  <c:v>42744</c:v>
                </c:pt>
                <c:pt idx="18">
                  <c:v>42741</c:v>
                </c:pt>
                <c:pt idx="19">
                  <c:v>42740</c:v>
                </c:pt>
                <c:pt idx="20">
                  <c:v>42739</c:v>
                </c:pt>
                <c:pt idx="21">
                  <c:v>42738</c:v>
                </c:pt>
                <c:pt idx="22">
                  <c:v>42734</c:v>
                </c:pt>
                <c:pt idx="23">
                  <c:v>42733</c:v>
                </c:pt>
                <c:pt idx="24">
                  <c:v>42732</c:v>
                </c:pt>
                <c:pt idx="25">
                  <c:v>42731</c:v>
                </c:pt>
                <c:pt idx="26">
                  <c:v>42727</c:v>
                </c:pt>
                <c:pt idx="27">
                  <c:v>42726</c:v>
                </c:pt>
                <c:pt idx="28">
                  <c:v>42725</c:v>
                </c:pt>
                <c:pt idx="29">
                  <c:v>42724</c:v>
                </c:pt>
                <c:pt idx="30">
                  <c:v>42723</c:v>
                </c:pt>
                <c:pt idx="31">
                  <c:v>42720</c:v>
                </c:pt>
                <c:pt idx="32">
                  <c:v>42719</c:v>
                </c:pt>
                <c:pt idx="33">
                  <c:v>42718</c:v>
                </c:pt>
                <c:pt idx="34">
                  <c:v>42717</c:v>
                </c:pt>
                <c:pt idx="35">
                  <c:v>42716</c:v>
                </c:pt>
                <c:pt idx="36">
                  <c:v>42713</c:v>
                </c:pt>
                <c:pt idx="37">
                  <c:v>42712</c:v>
                </c:pt>
                <c:pt idx="38">
                  <c:v>42711</c:v>
                </c:pt>
                <c:pt idx="39">
                  <c:v>42710</c:v>
                </c:pt>
                <c:pt idx="40">
                  <c:v>42709</c:v>
                </c:pt>
                <c:pt idx="41">
                  <c:v>42706</c:v>
                </c:pt>
                <c:pt idx="42">
                  <c:v>42705</c:v>
                </c:pt>
                <c:pt idx="43">
                  <c:v>42704</c:v>
                </c:pt>
                <c:pt idx="44">
                  <c:v>42703</c:v>
                </c:pt>
                <c:pt idx="45">
                  <c:v>42702</c:v>
                </c:pt>
                <c:pt idx="46">
                  <c:v>42699</c:v>
                </c:pt>
                <c:pt idx="47">
                  <c:v>42697</c:v>
                </c:pt>
                <c:pt idx="48">
                  <c:v>42696</c:v>
                </c:pt>
                <c:pt idx="49">
                  <c:v>42695</c:v>
                </c:pt>
                <c:pt idx="50">
                  <c:v>42692</c:v>
                </c:pt>
                <c:pt idx="51">
                  <c:v>42691</c:v>
                </c:pt>
                <c:pt idx="52">
                  <c:v>42690</c:v>
                </c:pt>
                <c:pt idx="53">
                  <c:v>42689</c:v>
                </c:pt>
                <c:pt idx="54">
                  <c:v>42688</c:v>
                </c:pt>
                <c:pt idx="55">
                  <c:v>42685</c:v>
                </c:pt>
                <c:pt idx="56">
                  <c:v>42684</c:v>
                </c:pt>
                <c:pt idx="57">
                  <c:v>42684</c:v>
                </c:pt>
                <c:pt idx="58">
                  <c:v>42683</c:v>
                </c:pt>
                <c:pt idx="59">
                  <c:v>42682</c:v>
                </c:pt>
                <c:pt idx="60">
                  <c:v>42681</c:v>
                </c:pt>
                <c:pt idx="61">
                  <c:v>42678</c:v>
                </c:pt>
                <c:pt idx="62">
                  <c:v>42677</c:v>
                </c:pt>
                <c:pt idx="63">
                  <c:v>42676</c:v>
                </c:pt>
                <c:pt idx="64">
                  <c:v>42675</c:v>
                </c:pt>
                <c:pt idx="65">
                  <c:v>42674</c:v>
                </c:pt>
              </c:numCache>
            </c:numRef>
          </c:cat>
          <c:val>
            <c:numRef>
              <c:f>KR!$AA$2:$AA$67</c:f>
              <c:numCache>
                <c:formatCode>General</c:formatCode>
                <c:ptCount val="66"/>
                <c:pt idx="0">
                  <c:v>34.1</c:v>
                </c:pt>
                <c:pt idx="1">
                  <c:v>33.44</c:v>
                </c:pt>
                <c:pt idx="2">
                  <c:v>33.96</c:v>
                </c:pt>
                <c:pt idx="3">
                  <c:v>33.6</c:v>
                </c:pt>
                <c:pt idx="4">
                  <c:v>33.36</c:v>
                </c:pt>
                <c:pt idx="5">
                  <c:v>33.74</c:v>
                </c:pt>
                <c:pt idx="6">
                  <c:v>33.47</c:v>
                </c:pt>
                <c:pt idx="7">
                  <c:v>33.39</c:v>
                </c:pt>
                <c:pt idx="8">
                  <c:v>33.53</c:v>
                </c:pt>
                <c:pt idx="9">
                  <c:v>34.090000000000003</c:v>
                </c:pt>
                <c:pt idx="10">
                  <c:v>34.26</c:v>
                </c:pt>
                <c:pt idx="11">
                  <c:v>34.909999999999997</c:v>
                </c:pt>
                <c:pt idx="12">
                  <c:v>34.840000000000003</c:v>
                </c:pt>
                <c:pt idx="13">
                  <c:v>34.1</c:v>
                </c:pt>
                <c:pt idx="14">
                  <c:v>33.520000000000003</c:v>
                </c:pt>
                <c:pt idx="15">
                  <c:v>33.07</c:v>
                </c:pt>
                <c:pt idx="16">
                  <c:v>33.19</c:v>
                </c:pt>
                <c:pt idx="17">
                  <c:v>32.92</c:v>
                </c:pt>
                <c:pt idx="18">
                  <c:v>33.11</c:v>
                </c:pt>
                <c:pt idx="19">
                  <c:v>33.21</c:v>
                </c:pt>
                <c:pt idx="20">
                  <c:v>33.24</c:v>
                </c:pt>
                <c:pt idx="21">
                  <c:v>33.72</c:v>
                </c:pt>
                <c:pt idx="22">
                  <c:v>34.51</c:v>
                </c:pt>
                <c:pt idx="23">
                  <c:v>34.590000000000003</c:v>
                </c:pt>
                <c:pt idx="24">
                  <c:v>34.68</c:v>
                </c:pt>
                <c:pt idx="25">
                  <c:v>35.17</c:v>
                </c:pt>
                <c:pt idx="26">
                  <c:v>35.08</c:v>
                </c:pt>
                <c:pt idx="27">
                  <c:v>34.979999999999997</c:v>
                </c:pt>
                <c:pt idx="28">
                  <c:v>35.21</c:v>
                </c:pt>
                <c:pt idx="29">
                  <c:v>35.49</c:v>
                </c:pt>
                <c:pt idx="30">
                  <c:v>35.880000000000003</c:v>
                </c:pt>
                <c:pt idx="31">
                  <c:v>35.94</c:v>
                </c:pt>
                <c:pt idx="32">
                  <c:v>35.96</c:v>
                </c:pt>
                <c:pt idx="33">
                  <c:v>34.72</c:v>
                </c:pt>
                <c:pt idx="34">
                  <c:v>34.42</c:v>
                </c:pt>
                <c:pt idx="35">
                  <c:v>34.22</c:v>
                </c:pt>
                <c:pt idx="36">
                  <c:v>34.78</c:v>
                </c:pt>
                <c:pt idx="37">
                  <c:v>34.19</c:v>
                </c:pt>
                <c:pt idx="38">
                  <c:v>33.630000000000003</c:v>
                </c:pt>
                <c:pt idx="39">
                  <c:v>33.07</c:v>
                </c:pt>
                <c:pt idx="40">
                  <c:v>32.93</c:v>
                </c:pt>
                <c:pt idx="41">
                  <c:v>33.299999999999997</c:v>
                </c:pt>
                <c:pt idx="42">
                  <c:v>33.36</c:v>
                </c:pt>
                <c:pt idx="43">
                  <c:v>32.299999999999997</c:v>
                </c:pt>
                <c:pt idx="44">
                  <c:v>33.1</c:v>
                </c:pt>
                <c:pt idx="45">
                  <c:v>33.659999999999997</c:v>
                </c:pt>
                <c:pt idx="46">
                  <c:v>33.880000000000003</c:v>
                </c:pt>
                <c:pt idx="47">
                  <c:v>33.700000000000003</c:v>
                </c:pt>
                <c:pt idx="48">
                  <c:v>33.47</c:v>
                </c:pt>
                <c:pt idx="49">
                  <c:v>33.53</c:v>
                </c:pt>
                <c:pt idx="50">
                  <c:v>33.450000000000003</c:v>
                </c:pt>
                <c:pt idx="51">
                  <c:v>33.520000000000003</c:v>
                </c:pt>
                <c:pt idx="52">
                  <c:v>33.700000000000003</c:v>
                </c:pt>
                <c:pt idx="53">
                  <c:v>34.86</c:v>
                </c:pt>
                <c:pt idx="54">
                  <c:v>34.64</c:v>
                </c:pt>
                <c:pt idx="55">
                  <c:v>33.520000000000003</c:v>
                </c:pt>
                <c:pt idx="56">
                  <c:v>32.869999999999997</c:v>
                </c:pt>
                <c:pt idx="58">
                  <c:v>32.29</c:v>
                </c:pt>
                <c:pt idx="59">
                  <c:v>30.9</c:v>
                </c:pt>
                <c:pt idx="60">
                  <c:v>31.24</c:v>
                </c:pt>
                <c:pt idx="61">
                  <c:v>30.92</c:v>
                </c:pt>
                <c:pt idx="62">
                  <c:v>31.02</c:v>
                </c:pt>
                <c:pt idx="63">
                  <c:v>32.22</c:v>
                </c:pt>
                <c:pt idx="64">
                  <c:v>30.79</c:v>
                </c:pt>
                <c:pt idx="65">
                  <c:v>30.98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30040616"/>
        <c:axId val="630041008"/>
      </c:lineChart>
      <c:dateAx>
        <c:axId val="6300406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0041008"/>
        <c:crosses val="autoZero"/>
        <c:auto val="1"/>
        <c:lblOffset val="100"/>
        <c:baseTimeUnit val="days"/>
      </c:dateAx>
      <c:valAx>
        <c:axId val="630041008"/>
        <c:scaling>
          <c:orientation val="minMax"/>
          <c:min val="2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00406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F!$W$2:$W$68</c:f>
              <c:numCache>
                <c:formatCode>d\-mmm\-yy</c:formatCode>
                <c:ptCount val="67"/>
                <c:pt idx="0">
                  <c:v>42768</c:v>
                </c:pt>
                <c:pt idx="1">
                  <c:v>42767</c:v>
                </c:pt>
                <c:pt idx="2">
                  <c:v>42766</c:v>
                </c:pt>
                <c:pt idx="3">
                  <c:v>42765</c:v>
                </c:pt>
                <c:pt idx="4">
                  <c:v>42762</c:v>
                </c:pt>
                <c:pt idx="5">
                  <c:v>42761</c:v>
                </c:pt>
                <c:pt idx="6">
                  <c:v>42760</c:v>
                </c:pt>
                <c:pt idx="7">
                  <c:v>42759</c:v>
                </c:pt>
                <c:pt idx="8">
                  <c:v>42758</c:v>
                </c:pt>
                <c:pt idx="9">
                  <c:v>42755</c:v>
                </c:pt>
                <c:pt idx="10">
                  <c:v>42754</c:v>
                </c:pt>
                <c:pt idx="11">
                  <c:v>42753</c:v>
                </c:pt>
                <c:pt idx="12">
                  <c:v>42753</c:v>
                </c:pt>
                <c:pt idx="13">
                  <c:v>42752</c:v>
                </c:pt>
                <c:pt idx="14">
                  <c:v>42748</c:v>
                </c:pt>
                <c:pt idx="15">
                  <c:v>42747</c:v>
                </c:pt>
                <c:pt idx="16">
                  <c:v>42746</c:v>
                </c:pt>
                <c:pt idx="17">
                  <c:v>42745</c:v>
                </c:pt>
                <c:pt idx="18">
                  <c:v>42744</c:v>
                </c:pt>
                <c:pt idx="19">
                  <c:v>42741</c:v>
                </c:pt>
                <c:pt idx="20">
                  <c:v>42740</c:v>
                </c:pt>
                <c:pt idx="21">
                  <c:v>42739</c:v>
                </c:pt>
                <c:pt idx="22">
                  <c:v>42738</c:v>
                </c:pt>
                <c:pt idx="23">
                  <c:v>42734</c:v>
                </c:pt>
                <c:pt idx="24">
                  <c:v>42733</c:v>
                </c:pt>
                <c:pt idx="25">
                  <c:v>42732</c:v>
                </c:pt>
                <c:pt idx="26">
                  <c:v>42731</c:v>
                </c:pt>
                <c:pt idx="27">
                  <c:v>42727</c:v>
                </c:pt>
                <c:pt idx="28">
                  <c:v>42726</c:v>
                </c:pt>
                <c:pt idx="29">
                  <c:v>42725</c:v>
                </c:pt>
                <c:pt idx="30">
                  <c:v>42724</c:v>
                </c:pt>
                <c:pt idx="31">
                  <c:v>42723</c:v>
                </c:pt>
                <c:pt idx="32">
                  <c:v>42720</c:v>
                </c:pt>
                <c:pt idx="33">
                  <c:v>42719</c:v>
                </c:pt>
                <c:pt idx="34">
                  <c:v>42718</c:v>
                </c:pt>
                <c:pt idx="35">
                  <c:v>42717</c:v>
                </c:pt>
                <c:pt idx="36">
                  <c:v>42716</c:v>
                </c:pt>
                <c:pt idx="37">
                  <c:v>42713</c:v>
                </c:pt>
                <c:pt idx="38">
                  <c:v>42712</c:v>
                </c:pt>
                <c:pt idx="39">
                  <c:v>42711</c:v>
                </c:pt>
                <c:pt idx="40">
                  <c:v>42710</c:v>
                </c:pt>
                <c:pt idx="41">
                  <c:v>42709</c:v>
                </c:pt>
                <c:pt idx="42">
                  <c:v>42706</c:v>
                </c:pt>
                <c:pt idx="43">
                  <c:v>42705</c:v>
                </c:pt>
                <c:pt idx="44">
                  <c:v>42704</c:v>
                </c:pt>
                <c:pt idx="45">
                  <c:v>42703</c:v>
                </c:pt>
                <c:pt idx="46">
                  <c:v>42702</c:v>
                </c:pt>
                <c:pt idx="47">
                  <c:v>42699</c:v>
                </c:pt>
                <c:pt idx="48">
                  <c:v>42697</c:v>
                </c:pt>
                <c:pt idx="49">
                  <c:v>42696</c:v>
                </c:pt>
                <c:pt idx="50">
                  <c:v>42695</c:v>
                </c:pt>
                <c:pt idx="51">
                  <c:v>42692</c:v>
                </c:pt>
                <c:pt idx="52">
                  <c:v>42691</c:v>
                </c:pt>
                <c:pt idx="53">
                  <c:v>42690</c:v>
                </c:pt>
                <c:pt idx="54">
                  <c:v>42689</c:v>
                </c:pt>
                <c:pt idx="55">
                  <c:v>42688</c:v>
                </c:pt>
                <c:pt idx="56">
                  <c:v>42685</c:v>
                </c:pt>
                <c:pt idx="57">
                  <c:v>42684</c:v>
                </c:pt>
                <c:pt idx="58">
                  <c:v>42683</c:v>
                </c:pt>
                <c:pt idx="59">
                  <c:v>42682</c:v>
                </c:pt>
                <c:pt idx="60">
                  <c:v>42681</c:v>
                </c:pt>
                <c:pt idx="61">
                  <c:v>42678</c:v>
                </c:pt>
                <c:pt idx="62">
                  <c:v>42677</c:v>
                </c:pt>
                <c:pt idx="63">
                  <c:v>42676</c:v>
                </c:pt>
                <c:pt idx="64">
                  <c:v>42675</c:v>
                </c:pt>
                <c:pt idx="65">
                  <c:v>42674</c:v>
                </c:pt>
                <c:pt idx="66">
                  <c:v>42671</c:v>
                </c:pt>
              </c:numCache>
            </c:numRef>
          </c:cat>
          <c:val>
            <c:numRef>
              <c:f>F!$AA$2:$AA$68</c:f>
              <c:numCache>
                <c:formatCode>General</c:formatCode>
                <c:ptCount val="67"/>
                <c:pt idx="0">
                  <c:v>12.28</c:v>
                </c:pt>
                <c:pt idx="1">
                  <c:v>12.32</c:v>
                </c:pt>
                <c:pt idx="2">
                  <c:v>12.36</c:v>
                </c:pt>
                <c:pt idx="3">
                  <c:v>12.37</c:v>
                </c:pt>
                <c:pt idx="4">
                  <c:v>12.49</c:v>
                </c:pt>
                <c:pt idx="5">
                  <c:v>12.37</c:v>
                </c:pt>
                <c:pt idx="6">
                  <c:v>12.79</c:v>
                </c:pt>
                <c:pt idx="7">
                  <c:v>12.61</c:v>
                </c:pt>
                <c:pt idx="8">
                  <c:v>12.31</c:v>
                </c:pt>
                <c:pt idx="9">
                  <c:v>12.36</c:v>
                </c:pt>
                <c:pt idx="10">
                  <c:v>12.43</c:v>
                </c:pt>
                <c:pt idx="11">
                  <c:v>12.41</c:v>
                </c:pt>
                <c:pt idx="13">
                  <c:v>12.61</c:v>
                </c:pt>
                <c:pt idx="14">
                  <c:v>12.63</c:v>
                </c:pt>
                <c:pt idx="15">
                  <c:v>12.59</c:v>
                </c:pt>
                <c:pt idx="16">
                  <c:v>12.67</c:v>
                </c:pt>
                <c:pt idx="17">
                  <c:v>12.85</c:v>
                </c:pt>
                <c:pt idx="18">
                  <c:v>12.63</c:v>
                </c:pt>
                <c:pt idx="19">
                  <c:v>12.76</c:v>
                </c:pt>
                <c:pt idx="20">
                  <c:v>12.77</c:v>
                </c:pt>
                <c:pt idx="21">
                  <c:v>13.17</c:v>
                </c:pt>
                <c:pt idx="22">
                  <c:v>12.59</c:v>
                </c:pt>
                <c:pt idx="23">
                  <c:v>12.13</c:v>
                </c:pt>
                <c:pt idx="24">
                  <c:v>12.23</c:v>
                </c:pt>
                <c:pt idx="25">
                  <c:v>12.25</c:v>
                </c:pt>
                <c:pt idx="26">
                  <c:v>12.39</c:v>
                </c:pt>
                <c:pt idx="27">
                  <c:v>12.46</c:v>
                </c:pt>
                <c:pt idx="28">
                  <c:v>12.4</c:v>
                </c:pt>
                <c:pt idx="29">
                  <c:v>12.64</c:v>
                </c:pt>
                <c:pt idx="30">
                  <c:v>12.78</c:v>
                </c:pt>
                <c:pt idx="31">
                  <c:v>12.66</c:v>
                </c:pt>
                <c:pt idx="32">
                  <c:v>12.63</c:v>
                </c:pt>
                <c:pt idx="33">
                  <c:v>12.58</c:v>
                </c:pt>
                <c:pt idx="34">
                  <c:v>12.53</c:v>
                </c:pt>
                <c:pt idx="35">
                  <c:v>12.77</c:v>
                </c:pt>
                <c:pt idx="36">
                  <c:v>12.82</c:v>
                </c:pt>
                <c:pt idx="37">
                  <c:v>13.17</c:v>
                </c:pt>
                <c:pt idx="38">
                  <c:v>13.03</c:v>
                </c:pt>
                <c:pt idx="39">
                  <c:v>13.06</c:v>
                </c:pt>
                <c:pt idx="40">
                  <c:v>12.56</c:v>
                </c:pt>
                <c:pt idx="41">
                  <c:v>12.44</c:v>
                </c:pt>
                <c:pt idx="42">
                  <c:v>12.24</c:v>
                </c:pt>
                <c:pt idx="43">
                  <c:v>12.43</c:v>
                </c:pt>
                <c:pt idx="44">
                  <c:v>11.96</c:v>
                </c:pt>
                <c:pt idx="45">
                  <c:v>11.92</c:v>
                </c:pt>
                <c:pt idx="46">
                  <c:v>11.92</c:v>
                </c:pt>
                <c:pt idx="47">
                  <c:v>12.04</c:v>
                </c:pt>
                <c:pt idx="48">
                  <c:v>11.9</c:v>
                </c:pt>
                <c:pt idx="49">
                  <c:v>11.89</c:v>
                </c:pt>
                <c:pt idx="50">
                  <c:v>11.79</c:v>
                </c:pt>
                <c:pt idx="51">
                  <c:v>11.76</c:v>
                </c:pt>
                <c:pt idx="52">
                  <c:v>11.87</c:v>
                </c:pt>
                <c:pt idx="53">
                  <c:v>12</c:v>
                </c:pt>
                <c:pt idx="54">
                  <c:v>12.04</c:v>
                </c:pt>
                <c:pt idx="55">
                  <c:v>12.06</c:v>
                </c:pt>
                <c:pt idx="56">
                  <c:v>12.28</c:v>
                </c:pt>
                <c:pt idx="57">
                  <c:v>11.94</c:v>
                </c:pt>
                <c:pt idx="58">
                  <c:v>11.58</c:v>
                </c:pt>
                <c:pt idx="59">
                  <c:v>11.48</c:v>
                </c:pt>
                <c:pt idx="60">
                  <c:v>11.58</c:v>
                </c:pt>
                <c:pt idx="61">
                  <c:v>11.34</c:v>
                </c:pt>
                <c:pt idx="62">
                  <c:v>11.35</c:v>
                </c:pt>
                <c:pt idx="63">
                  <c:v>11.4</c:v>
                </c:pt>
                <c:pt idx="64">
                  <c:v>11.61</c:v>
                </c:pt>
                <c:pt idx="65">
                  <c:v>11.74</c:v>
                </c:pt>
                <c:pt idx="66">
                  <c:v>11.72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30042576"/>
        <c:axId val="630042968"/>
      </c:lineChart>
      <c:dateAx>
        <c:axId val="63004257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0042968"/>
        <c:crosses val="autoZero"/>
        <c:auto val="1"/>
        <c:lblOffset val="100"/>
        <c:baseTimeUnit val="days"/>
      </c:dateAx>
      <c:valAx>
        <c:axId val="630042968"/>
        <c:scaling>
          <c:orientation val="minMax"/>
          <c:min val="1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00425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JNJ!$AA$1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JNJ!$W$2:$W$67</c:f>
              <c:numCache>
                <c:formatCode>d\-mmm\-yy</c:formatCode>
                <c:ptCount val="66"/>
                <c:pt idx="0">
                  <c:v>42768</c:v>
                </c:pt>
                <c:pt idx="1">
                  <c:v>42767</c:v>
                </c:pt>
                <c:pt idx="2">
                  <c:v>42766</c:v>
                </c:pt>
                <c:pt idx="3">
                  <c:v>42765</c:v>
                </c:pt>
                <c:pt idx="4">
                  <c:v>42762</c:v>
                </c:pt>
                <c:pt idx="5">
                  <c:v>42761</c:v>
                </c:pt>
                <c:pt idx="6">
                  <c:v>42760</c:v>
                </c:pt>
                <c:pt idx="7">
                  <c:v>42759</c:v>
                </c:pt>
                <c:pt idx="8">
                  <c:v>42758</c:v>
                </c:pt>
                <c:pt idx="9">
                  <c:v>42755</c:v>
                </c:pt>
                <c:pt idx="10">
                  <c:v>42754</c:v>
                </c:pt>
                <c:pt idx="11">
                  <c:v>42753</c:v>
                </c:pt>
                <c:pt idx="12">
                  <c:v>42752</c:v>
                </c:pt>
                <c:pt idx="13">
                  <c:v>42748</c:v>
                </c:pt>
                <c:pt idx="14">
                  <c:v>42747</c:v>
                </c:pt>
                <c:pt idx="15">
                  <c:v>42746</c:v>
                </c:pt>
                <c:pt idx="16">
                  <c:v>42745</c:v>
                </c:pt>
                <c:pt idx="17">
                  <c:v>42744</c:v>
                </c:pt>
                <c:pt idx="18">
                  <c:v>42741</c:v>
                </c:pt>
                <c:pt idx="19">
                  <c:v>42740</c:v>
                </c:pt>
                <c:pt idx="20">
                  <c:v>42739</c:v>
                </c:pt>
                <c:pt idx="21">
                  <c:v>42738</c:v>
                </c:pt>
                <c:pt idx="22">
                  <c:v>42734</c:v>
                </c:pt>
                <c:pt idx="23">
                  <c:v>42733</c:v>
                </c:pt>
                <c:pt idx="24">
                  <c:v>42732</c:v>
                </c:pt>
                <c:pt idx="25">
                  <c:v>42731</c:v>
                </c:pt>
                <c:pt idx="26">
                  <c:v>42727</c:v>
                </c:pt>
                <c:pt idx="27">
                  <c:v>42726</c:v>
                </c:pt>
                <c:pt idx="28">
                  <c:v>42725</c:v>
                </c:pt>
                <c:pt idx="29">
                  <c:v>42724</c:v>
                </c:pt>
                <c:pt idx="30">
                  <c:v>42723</c:v>
                </c:pt>
                <c:pt idx="31">
                  <c:v>42720</c:v>
                </c:pt>
                <c:pt idx="32">
                  <c:v>42719</c:v>
                </c:pt>
                <c:pt idx="33">
                  <c:v>42718</c:v>
                </c:pt>
                <c:pt idx="34">
                  <c:v>42717</c:v>
                </c:pt>
                <c:pt idx="35">
                  <c:v>42716</c:v>
                </c:pt>
                <c:pt idx="36">
                  <c:v>42713</c:v>
                </c:pt>
                <c:pt idx="37">
                  <c:v>42712</c:v>
                </c:pt>
                <c:pt idx="38">
                  <c:v>42711</c:v>
                </c:pt>
                <c:pt idx="39">
                  <c:v>42710</c:v>
                </c:pt>
                <c:pt idx="40">
                  <c:v>42709</c:v>
                </c:pt>
                <c:pt idx="41">
                  <c:v>42706</c:v>
                </c:pt>
                <c:pt idx="42">
                  <c:v>42705</c:v>
                </c:pt>
                <c:pt idx="43">
                  <c:v>42704</c:v>
                </c:pt>
                <c:pt idx="44">
                  <c:v>42703</c:v>
                </c:pt>
                <c:pt idx="45">
                  <c:v>42702</c:v>
                </c:pt>
                <c:pt idx="46">
                  <c:v>42699</c:v>
                </c:pt>
                <c:pt idx="47">
                  <c:v>42697</c:v>
                </c:pt>
                <c:pt idx="48">
                  <c:v>42696</c:v>
                </c:pt>
                <c:pt idx="49">
                  <c:v>42695</c:v>
                </c:pt>
                <c:pt idx="50">
                  <c:v>42692</c:v>
                </c:pt>
                <c:pt idx="51">
                  <c:v>42692</c:v>
                </c:pt>
                <c:pt idx="52">
                  <c:v>42691</c:v>
                </c:pt>
                <c:pt idx="53">
                  <c:v>42690</c:v>
                </c:pt>
                <c:pt idx="54">
                  <c:v>42689</c:v>
                </c:pt>
                <c:pt idx="55">
                  <c:v>42688</c:v>
                </c:pt>
                <c:pt idx="56">
                  <c:v>42685</c:v>
                </c:pt>
                <c:pt idx="57">
                  <c:v>42684</c:v>
                </c:pt>
                <c:pt idx="58">
                  <c:v>42683</c:v>
                </c:pt>
                <c:pt idx="59">
                  <c:v>42682</c:v>
                </c:pt>
                <c:pt idx="60">
                  <c:v>42681</c:v>
                </c:pt>
                <c:pt idx="61">
                  <c:v>42678</c:v>
                </c:pt>
                <c:pt idx="62">
                  <c:v>42677</c:v>
                </c:pt>
                <c:pt idx="63">
                  <c:v>42676</c:v>
                </c:pt>
                <c:pt idx="64">
                  <c:v>42675</c:v>
                </c:pt>
                <c:pt idx="65">
                  <c:v>42674</c:v>
                </c:pt>
              </c:numCache>
            </c:numRef>
          </c:cat>
          <c:val>
            <c:numRef>
              <c:f>JNJ!$AA$2:$AA$69</c:f>
              <c:numCache>
                <c:formatCode>General</c:formatCode>
                <c:ptCount val="68"/>
                <c:pt idx="0">
                  <c:v>113.57</c:v>
                </c:pt>
                <c:pt idx="1">
                  <c:v>113.23</c:v>
                </c:pt>
                <c:pt idx="2">
                  <c:v>113.25</c:v>
                </c:pt>
                <c:pt idx="3">
                  <c:v>113.13</c:v>
                </c:pt>
                <c:pt idx="4">
                  <c:v>113.38</c:v>
                </c:pt>
                <c:pt idx="5">
                  <c:v>111.84</c:v>
                </c:pt>
                <c:pt idx="6">
                  <c:v>112.8</c:v>
                </c:pt>
                <c:pt idx="7">
                  <c:v>111.76</c:v>
                </c:pt>
                <c:pt idx="8">
                  <c:v>113.91</c:v>
                </c:pt>
                <c:pt idx="9">
                  <c:v>114.15</c:v>
                </c:pt>
                <c:pt idx="10">
                  <c:v>114.2</c:v>
                </c:pt>
                <c:pt idx="11">
                  <c:v>114.7</c:v>
                </c:pt>
                <c:pt idx="12">
                  <c:v>114.87</c:v>
                </c:pt>
                <c:pt idx="13">
                  <c:v>114.6</c:v>
                </c:pt>
                <c:pt idx="14">
                  <c:v>114.62</c:v>
                </c:pt>
                <c:pt idx="15">
                  <c:v>114.73</c:v>
                </c:pt>
                <c:pt idx="16">
                  <c:v>116.16</c:v>
                </c:pt>
                <c:pt idx="17">
                  <c:v>116.28</c:v>
                </c:pt>
                <c:pt idx="18">
                  <c:v>116.3</c:v>
                </c:pt>
                <c:pt idx="19">
                  <c:v>116.86</c:v>
                </c:pt>
                <c:pt idx="20">
                  <c:v>115.65</c:v>
                </c:pt>
                <c:pt idx="21">
                  <c:v>115.84</c:v>
                </c:pt>
                <c:pt idx="22">
                  <c:v>115.21</c:v>
                </c:pt>
                <c:pt idx="23">
                  <c:v>115.49</c:v>
                </c:pt>
                <c:pt idx="24">
                  <c:v>115.1</c:v>
                </c:pt>
                <c:pt idx="25">
                  <c:v>115.91</c:v>
                </c:pt>
                <c:pt idx="26">
                  <c:v>115.96</c:v>
                </c:pt>
                <c:pt idx="27">
                  <c:v>115.44</c:v>
                </c:pt>
                <c:pt idx="28">
                  <c:v>115.31</c:v>
                </c:pt>
                <c:pt idx="29">
                  <c:v>115.66</c:v>
                </c:pt>
                <c:pt idx="30">
                  <c:v>116.02</c:v>
                </c:pt>
                <c:pt idx="31">
                  <c:v>115.88</c:v>
                </c:pt>
                <c:pt idx="32">
                  <c:v>115.89</c:v>
                </c:pt>
                <c:pt idx="33">
                  <c:v>114.99</c:v>
                </c:pt>
                <c:pt idx="34">
                  <c:v>115.89</c:v>
                </c:pt>
                <c:pt idx="35">
                  <c:v>115.36</c:v>
                </c:pt>
                <c:pt idx="36">
                  <c:v>112.26</c:v>
                </c:pt>
                <c:pt idx="37">
                  <c:v>110.99</c:v>
                </c:pt>
                <c:pt idx="38">
                  <c:v>111.1</c:v>
                </c:pt>
                <c:pt idx="39">
                  <c:v>112.06</c:v>
                </c:pt>
                <c:pt idx="40">
                  <c:v>111.94</c:v>
                </c:pt>
                <c:pt idx="41">
                  <c:v>111.96</c:v>
                </c:pt>
                <c:pt idx="42">
                  <c:v>111.38</c:v>
                </c:pt>
                <c:pt idx="43">
                  <c:v>111.3</c:v>
                </c:pt>
                <c:pt idx="44">
                  <c:v>112.48</c:v>
                </c:pt>
                <c:pt idx="45">
                  <c:v>113.13</c:v>
                </c:pt>
                <c:pt idx="46">
                  <c:v>114.13</c:v>
                </c:pt>
                <c:pt idx="47">
                  <c:v>113.07</c:v>
                </c:pt>
                <c:pt idx="48">
                  <c:v>112.74</c:v>
                </c:pt>
                <c:pt idx="49">
                  <c:v>115</c:v>
                </c:pt>
                <c:pt idx="50">
                  <c:v>115.36</c:v>
                </c:pt>
                <c:pt idx="52">
                  <c:v>116.57</c:v>
                </c:pt>
                <c:pt idx="53">
                  <c:v>116.36</c:v>
                </c:pt>
                <c:pt idx="54">
                  <c:v>116.32</c:v>
                </c:pt>
                <c:pt idx="55">
                  <c:v>116.6</c:v>
                </c:pt>
                <c:pt idx="56">
                  <c:v>118.47</c:v>
                </c:pt>
                <c:pt idx="57">
                  <c:v>119.54</c:v>
                </c:pt>
                <c:pt idx="58">
                  <c:v>120.31</c:v>
                </c:pt>
                <c:pt idx="59">
                  <c:v>117.05</c:v>
                </c:pt>
                <c:pt idx="60">
                  <c:v>116.66</c:v>
                </c:pt>
                <c:pt idx="61">
                  <c:v>115.11</c:v>
                </c:pt>
                <c:pt idx="62">
                  <c:v>115.03</c:v>
                </c:pt>
                <c:pt idx="63">
                  <c:v>114.86</c:v>
                </c:pt>
                <c:pt idx="64">
                  <c:v>115.34</c:v>
                </c:pt>
                <c:pt idx="65">
                  <c:v>115.99</c:v>
                </c:pt>
                <c:pt idx="66">
                  <c:v>115.33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30044928"/>
        <c:axId val="630045320"/>
      </c:lineChart>
      <c:dateAx>
        <c:axId val="63004492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0045320"/>
        <c:crosses val="autoZero"/>
        <c:auto val="1"/>
        <c:lblOffset val="100"/>
        <c:baseTimeUnit val="days"/>
      </c:dateAx>
      <c:valAx>
        <c:axId val="6300453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0044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CPN!$AA$1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CPN!$W$2:$W$67</c:f>
              <c:numCache>
                <c:formatCode>m/d/yyyy</c:formatCode>
                <c:ptCount val="66"/>
                <c:pt idx="0">
                  <c:v>42768</c:v>
                </c:pt>
                <c:pt idx="1">
                  <c:v>42767</c:v>
                </c:pt>
                <c:pt idx="2">
                  <c:v>42766</c:v>
                </c:pt>
                <c:pt idx="3">
                  <c:v>42765</c:v>
                </c:pt>
                <c:pt idx="4">
                  <c:v>42762</c:v>
                </c:pt>
                <c:pt idx="5">
                  <c:v>42761</c:v>
                </c:pt>
                <c:pt idx="6">
                  <c:v>42760</c:v>
                </c:pt>
                <c:pt idx="7">
                  <c:v>42759</c:v>
                </c:pt>
                <c:pt idx="8">
                  <c:v>42758</c:v>
                </c:pt>
                <c:pt idx="9">
                  <c:v>42755</c:v>
                </c:pt>
                <c:pt idx="10">
                  <c:v>42754</c:v>
                </c:pt>
                <c:pt idx="11">
                  <c:v>42753</c:v>
                </c:pt>
                <c:pt idx="12">
                  <c:v>42752</c:v>
                </c:pt>
                <c:pt idx="13">
                  <c:v>42748</c:v>
                </c:pt>
                <c:pt idx="14">
                  <c:v>42747</c:v>
                </c:pt>
                <c:pt idx="15">
                  <c:v>42746</c:v>
                </c:pt>
                <c:pt idx="16">
                  <c:v>42745</c:v>
                </c:pt>
                <c:pt idx="17">
                  <c:v>42744</c:v>
                </c:pt>
                <c:pt idx="18">
                  <c:v>42741</c:v>
                </c:pt>
                <c:pt idx="19">
                  <c:v>42740</c:v>
                </c:pt>
                <c:pt idx="20">
                  <c:v>42739</c:v>
                </c:pt>
                <c:pt idx="21">
                  <c:v>42738</c:v>
                </c:pt>
                <c:pt idx="22">
                  <c:v>42734</c:v>
                </c:pt>
                <c:pt idx="23">
                  <c:v>42733</c:v>
                </c:pt>
                <c:pt idx="24">
                  <c:v>42732</c:v>
                </c:pt>
                <c:pt idx="25">
                  <c:v>42731</c:v>
                </c:pt>
                <c:pt idx="26">
                  <c:v>42727</c:v>
                </c:pt>
                <c:pt idx="27">
                  <c:v>42726</c:v>
                </c:pt>
                <c:pt idx="28">
                  <c:v>42725</c:v>
                </c:pt>
                <c:pt idx="29">
                  <c:v>42724</c:v>
                </c:pt>
                <c:pt idx="30">
                  <c:v>42723</c:v>
                </c:pt>
                <c:pt idx="31">
                  <c:v>42720</c:v>
                </c:pt>
                <c:pt idx="32">
                  <c:v>42719</c:v>
                </c:pt>
                <c:pt idx="33">
                  <c:v>42718</c:v>
                </c:pt>
                <c:pt idx="34">
                  <c:v>42717</c:v>
                </c:pt>
                <c:pt idx="35">
                  <c:v>42716</c:v>
                </c:pt>
                <c:pt idx="36">
                  <c:v>42713</c:v>
                </c:pt>
                <c:pt idx="37">
                  <c:v>42712</c:v>
                </c:pt>
                <c:pt idx="38">
                  <c:v>42711</c:v>
                </c:pt>
                <c:pt idx="39">
                  <c:v>42710</c:v>
                </c:pt>
                <c:pt idx="40">
                  <c:v>42709</c:v>
                </c:pt>
                <c:pt idx="41">
                  <c:v>42706</c:v>
                </c:pt>
                <c:pt idx="42">
                  <c:v>42705</c:v>
                </c:pt>
                <c:pt idx="43">
                  <c:v>42704</c:v>
                </c:pt>
                <c:pt idx="44">
                  <c:v>42703</c:v>
                </c:pt>
                <c:pt idx="45">
                  <c:v>42702</c:v>
                </c:pt>
                <c:pt idx="46">
                  <c:v>42699</c:v>
                </c:pt>
                <c:pt idx="47">
                  <c:v>42697</c:v>
                </c:pt>
                <c:pt idx="48">
                  <c:v>42696</c:v>
                </c:pt>
                <c:pt idx="49">
                  <c:v>42695</c:v>
                </c:pt>
                <c:pt idx="50">
                  <c:v>42692</c:v>
                </c:pt>
                <c:pt idx="51">
                  <c:v>42691</c:v>
                </c:pt>
                <c:pt idx="52">
                  <c:v>42690</c:v>
                </c:pt>
                <c:pt idx="53">
                  <c:v>42689</c:v>
                </c:pt>
                <c:pt idx="54">
                  <c:v>42688</c:v>
                </c:pt>
                <c:pt idx="55">
                  <c:v>42685</c:v>
                </c:pt>
                <c:pt idx="56">
                  <c:v>42684</c:v>
                </c:pt>
                <c:pt idx="57">
                  <c:v>42683</c:v>
                </c:pt>
                <c:pt idx="58">
                  <c:v>42682</c:v>
                </c:pt>
                <c:pt idx="59">
                  <c:v>42681</c:v>
                </c:pt>
                <c:pt idx="60">
                  <c:v>42678</c:v>
                </c:pt>
                <c:pt idx="61">
                  <c:v>42677</c:v>
                </c:pt>
                <c:pt idx="62">
                  <c:v>42676</c:v>
                </c:pt>
                <c:pt idx="63">
                  <c:v>42675</c:v>
                </c:pt>
                <c:pt idx="64">
                  <c:v>42674</c:v>
                </c:pt>
                <c:pt idx="65">
                  <c:v>42671</c:v>
                </c:pt>
              </c:numCache>
            </c:numRef>
          </c:cat>
          <c:val>
            <c:numRef>
              <c:f>CPN!$AA$2:$AA$67</c:f>
              <c:numCache>
                <c:formatCode>0.00</c:formatCode>
                <c:ptCount val="66"/>
                <c:pt idx="0">
                  <c:v>11.51</c:v>
                </c:pt>
                <c:pt idx="1">
                  <c:v>11.47</c:v>
                </c:pt>
                <c:pt idx="2">
                  <c:v>11.8</c:v>
                </c:pt>
                <c:pt idx="3">
                  <c:v>11.55</c:v>
                </c:pt>
                <c:pt idx="4">
                  <c:v>11.77</c:v>
                </c:pt>
                <c:pt idx="5">
                  <c:v>11.77</c:v>
                </c:pt>
                <c:pt idx="6">
                  <c:v>11.81</c:v>
                </c:pt>
                <c:pt idx="7">
                  <c:v>11.84</c:v>
                </c:pt>
                <c:pt idx="8">
                  <c:v>11.71</c:v>
                </c:pt>
                <c:pt idx="9">
                  <c:v>12.07</c:v>
                </c:pt>
                <c:pt idx="10">
                  <c:v>12.19</c:v>
                </c:pt>
                <c:pt idx="11">
                  <c:v>12.2</c:v>
                </c:pt>
                <c:pt idx="12">
                  <c:v>12.41</c:v>
                </c:pt>
                <c:pt idx="13">
                  <c:v>12.23</c:v>
                </c:pt>
                <c:pt idx="14">
                  <c:v>12.13</c:v>
                </c:pt>
                <c:pt idx="15">
                  <c:v>12.12</c:v>
                </c:pt>
                <c:pt idx="16">
                  <c:v>11.85</c:v>
                </c:pt>
                <c:pt idx="17">
                  <c:v>11.83</c:v>
                </c:pt>
                <c:pt idx="18">
                  <c:v>12.07</c:v>
                </c:pt>
                <c:pt idx="19">
                  <c:v>11.66</c:v>
                </c:pt>
                <c:pt idx="20">
                  <c:v>11.7</c:v>
                </c:pt>
                <c:pt idx="21">
                  <c:v>11.45</c:v>
                </c:pt>
                <c:pt idx="22">
                  <c:v>11.43</c:v>
                </c:pt>
                <c:pt idx="23">
                  <c:v>11.64</c:v>
                </c:pt>
                <c:pt idx="24">
                  <c:v>11.46</c:v>
                </c:pt>
                <c:pt idx="25">
                  <c:v>11.71</c:v>
                </c:pt>
                <c:pt idx="26">
                  <c:v>11.64</c:v>
                </c:pt>
                <c:pt idx="27">
                  <c:v>11.54</c:v>
                </c:pt>
                <c:pt idx="28">
                  <c:v>11.51</c:v>
                </c:pt>
                <c:pt idx="29">
                  <c:v>11.47</c:v>
                </c:pt>
                <c:pt idx="30">
                  <c:v>11.67</c:v>
                </c:pt>
                <c:pt idx="31">
                  <c:v>11.56</c:v>
                </c:pt>
                <c:pt idx="32">
                  <c:v>11.5</c:v>
                </c:pt>
                <c:pt idx="33">
                  <c:v>11.36</c:v>
                </c:pt>
                <c:pt idx="34">
                  <c:v>11.56</c:v>
                </c:pt>
                <c:pt idx="35">
                  <c:v>11.43</c:v>
                </c:pt>
                <c:pt idx="36">
                  <c:v>11.66</c:v>
                </c:pt>
                <c:pt idx="37">
                  <c:v>11.28</c:v>
                </c:pt>
                <c:pt idx="38">
                  <c:v>11.06</c:v>
                </c:pt>
                <c:pt idx="39">
                  <c:v>11.1</c:v>
                </c:pt>
                <c:pt idx="40">
                  <c:v>10.83</c:v>
                </c:pt>
                <c:pt idx="41">
                  <c:v>10.5</c:v>
                </c:pt>
                <c:pt idx="42">
                  <c:v>10.41</c:v>
                </c:pt>
                <c:pt idx="43">
                  <c:v>11.15</c:v>
                </c:pt>
                <c:pt idx="44">
                  <c:v>11.53</c:v>
                </c:pt>
                <c:pt idx="45">
                  <c:v>11.92</c:v>
                </c:pt>
                <c:pt idx="46">
                  <c:v>11.72</c:v>
                </c:pt>
                <c:pt idx="47">
                  <c:v>11.61</c:v>
                </c:pt>
                <c:pt idx="48">
                  <c:v>11.48</c:v>
                </c:pt>
                <c:pt idx="49">
                  <c:v>11.75</c:v>
                </c:pt>
                <c:pt idx="50">
                  <c:v>11.63</c:v>
                </c:pt>
                <c:pt idx="51">
                  <c:v>11.85</c:v>
                </c:pt>
                <c:pt idx="52">
                  <c:v>11.6</c:v>
                </c:pt>
                <c:pt idx="53">
                  <c:v>11.77</c:v>
                </c:pt>
                <c:pt idx="54">
                  <c:v>11.58</c:v>
                </c:pt>
                <c:pt idx="55">
                  <c:v>11.24</c:v>
                </c:pt>
                <c:pt idx="56">
                  <c:v>11.2</c:v>
                </c:pt>
                <c:pt idx="57">
                  <c:v>11.74</c:v>
                </c:pt>
                <c:pt idx="58">
                  <c:v>11.46</c:v>
                </c:pt>
                <c:pt idx="59">
                  <c:v>11.47</c:v>
                </c:pt>
                <c:pt idx="60">
                  <c:v>11.14</c:v>
                </c:pt>
                <c:pt idx="61">
                  <c:v>11.1</c:v>
                </c:pt>
                <c:pt idx="62">
                  <c:v>10.89</c:v>
                </c:pt>
                <c:pt idx="63">
                  <c:v>11.8</c:v>
                </c:pt>
                <c:pt idx="64">
                  <c:v>11.9</c:v>
                </c:pt>
                <c:pt idx="65">
                  <c:v>11.76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30047280"/>
        <c:axId val="630047672"/>
      </c:lineChart>
      <c:dateAx>
        <c:axId val="63004728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0047672"/>
        <c:crosses val="autoZero"/>
        <c:auto val="1"/>
        <c:lblOffset val="100"/>
        <c:baseTimeUnit val="days"/>
      </c:dateAx>
      <c:valAx>
        <c:axId val="630047672"/>
        <c:scaling>
          <c:orientation val="minMax"/>
          <c:min val="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00472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EW!$AA$1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EW!$W$2:$W$67</c:f>
              <c:numCache>
                <c:formatCode>d\-mmm\-yy</c:formatCode>
                <c:ptCount val="66"/>
                <c:pt idx="0">
                  <c:v>42768</c:v>
                </c:pt>
                <c:pt idx="1">
                  <c:v>42767</c:v>
                </c:pt>
                <c:pt idx="2">
                  <c:v>42766</c:v>
                </c:pt>
                <c:pt idx="3">
                  <c:v>42765</c:v>
                </c:pt>
                <c:pt idx="4">
                  <c:v>42762</c:v>
                </c:pt>
                <c:pt idx="5">
                  <c:v>42761</c:v>
                </c:pt>
                <c:pt idx="6">
                  <c:v>42760</c:v>
                </c:pt>
                <c:pt idx="7">
                  <c:v>42759</c:v>
                </c:pt>
                <c:pt idx="8">
                  <c:v>42758</c:v>
                </c:pt>
                <c:pt idx="9">
                  <c:v>42755</c:v>
                </c:pt>
                <c:pt idx="10">
                  <c:v>42754</c:v>
                </c:pt>
                <c:pt idx="11">
                  <c:v>42753</c:v>
                </c:pt>
                <c:pt idx="12">
                  <c:v>42752</c:v>
                </c:pt>
                <c:pt idx="13">
                  <c:v>42748</c:v>
                </c:pt>
                <c:pt idx="14">
                  <c:v>42747</c:v>
                </c:pt>
                <c:pt idx="15">
                  <c:v>42746</c:v>
                </c:pt>
                <c:pt idx="16">
                  <c:v>42745</c:v>
                </c:pt>
                <c:pt idx="17">
                  <c:v>42744</c:v>
                </c:pt>
                <c:pt idx="18">
                  <c:v>42741</c:v>
                </c:pt>
                <c:pt idx="19">
                  <c:v>42740</c:v>
                </c:pt>
                <c:pt idx="20">
                  <c:v>42739</c:v>
                </c:pt>
                <c:pt idx="21">
                  <c:v>42738</c:v>
                </c:pt>
                <c:pt idx="22">
                  <c:v>42734</c:v>
                </c:pt>
                <c:pt idx="23">
                  <c:v>42733</c:v>
                </c:pt>
                <c:pt idx="24">
                  <c:v>42732</c:v>
                </c:pt>
                <c:pt idx="25">
                  <c:v>42731</c:v>
                </c:pt>
                <c:pt idx="26">
                  <c:v>42727</c:v>
                </c:pt>
                <c:pt idx="27">
                  <c:v>42726</c:v>
                </c:pt>
                <c:pt idx="28">
                  <c:v>42725</c:v>
                </c:pt>
                <c:pt idx="29">
                  <c:v>42724</c:v>
                </c:pt>
                <c:pt idx="30">
                  <c:v>42723</c:v>
                </c:pt>
                <c:pt idx="31">
                  <c:v>42720</c:v>
                </c:pt>
                <c:pt idx="32">
                  <c:v>42719</c:v>
                </c:pt>
                <c:pt idx="33">
                  <c:v>42718</c:v>
                </c:pt>
                <c:pt idx="34">
                  <c:v>42717</c:v>
                </c:pt>
                <c:pt idx="35">
                  <c:v>42716</c:v>
                </c:pt>
                <c:pt idx="36">
                  <c:v>42713</c:v>
                </c:pt>
                <c:pt idx="37">
                  <c:v>42712</c:v>
                </c:pt>
                <c:pt idx="38">
                  <c:v>42711</c:v>
                </c:pt>
                <c:pt idx="39">
                  <c:v>42710</c:v>
                </c:pt>
                <c:pt idx="40">
                  <c:v>42709</c:v>
                </c:pt>
                <c:pt idx="41">
                  <c:v>42706</c:v>
                </c:pt>
                <c:pt idx="42">
                  <c:v>42705</c:v>
                </c:pt>
                <c:pt idx="43">
                  <c:v>42704</c:v>
                </c:pt>
                <c:pt idx="44">
                  <c:v>42703</c:v>
                </c:pt>
                <c:pt idx="45">
                  <c:v>42702</c:v>
                </c:pt>
                <c:pt idx="46">
                  <c:v>42699</c:v>
                </c:pt>
                <c:pt idx="47">
                  <c:v>42697</c:v>
                </c:pt>
                <c:pt idx="48">
                  <c:v>42696</c:v>
                </c:pt>
                <c:pt idx="49">
                  <c:v>42695</c:v>
                </c:pt>
                <c:pt idx="50">
                  <c:v>42692</c:v>
                </c:pt>
                <c:pt idx="51">
                  <c:v>42691</c:v>
                </c:pt>
                <c:pt idx="52">
                  <c:v>42690</c:v>
                </c:pt>
                <c:pt idx="53">
                  <c:v>42689</c:v>
                </c:pt>
                <c:pt idx="54">
                  <c:v>42688</c:v>
                </c:pt>
                <c:pt idx="55">
                  <c:v>42685</c:v>
                </c:pt>
                <c:pt idx="56">
                  <c:v>42684</c:v>
                </c:pt>
                <c:pt idx="57">
                  <c:v>42683</c:v>
                </c:pt>
                <c:pt idx="58">
                  <c:v>42682</c:v>
                </c:pt>
                <c:pt idx="59">
                  <c:v>42681</c:v>
                </c:pt>
                <c:pt idx="60">
                  <c:v>42678</c:v>
                </c:pt>
                <c:pt idx="61">
                  <c:v>42677</c:v>
                </c:pt>
                <c:pt idx="62">
                  <c:v>42676</c:v>
                </c:pt>
                <c:pt idx="63">
                  <c:v>42675</c:v>
                </c:pt>
                <c:pt idx="64">
                  <c:v>42674</c:v>
                </c:pt>
                <c:pt idx="65">
                  <c:v>42671</c:v>
                </c:pt>
              </c:numCache>
            </c:numRef>
          </c:cat>
          <c:val>
            <c:numRef>
              <c:f>EW!$AA$2:$AA$69</c:f>
              <c:numCache>
                <c:formatCode>General</c:formatCode>
                <c:ptCount val="68"/>
                <c:pt idx="0">
                  <c:v>89.73</c:v>
                </c:pt>
                <c:pt idx="1">
                  <c:v>98.02</c:v>
                </c:pt>
                <c:pt idx="2">
                  <c:v>96.24</c:v>
                </c:pt>
                <c:pt idx="3">
                  <c:v>96.47</c:v>
                </c:pt>
                <c:pt idx="4">
                  <c:v>97.3</c:v>
                </c:pt>
                <c:pt idx="5">
                  <c:v>95.13</c:v>
                </c:pt>
                <c:pt idx="6">
                  <c:v>96.05</c:v>
                </c:pt>
                <c:pt idx="7">
                  <c:v>94.4</c:v>
                </c:pt>
                <c:pt idx="8">
                  <c:v>95</c:v>
                </c:pt>
                <c:pt idx="9">
                  <c:v>95.51</c:v>
                </c:pt>
                <c:pt idx="10">
                  <c:v>96.29</c:v>
                </c:pt>
                <c:pt idx="11">
                  <c:v>95.79</c:v>
                </c:pt>
                <c:pt idx="12">
                  <c:v>96.88</c:v>
                </c:pt>
                <c:pt idx="13">
                  <c:v>97.13</c:v>
                </c:pt>
                <c:pt idx="14">
                  <c:v>97.59</c:v>
                </c:pt>
                <c:pt idx="15">
                  <c:v>98.65</c:v>
                </c:pt>
                <c:pt idx="16">
                  <c:v>99.14</c:v>
                </c:pt>
                <c:pt idx="17">
                  <c:v>97.95</c:v>
                </c:pt>
                <c:pt idx="18">
                  <c:v>97.07</c:v>
                </c:pt>
                <c:pt idx="19">
                  <c:v>97.19</c:v>
                </c:pt>
                <c:pt idx="20">
                  <c:v>96.54</c:v>
                </c:pt>
                <c:pt idx="21">
                  <c:v>95.52</c:v>
                </c:pt>
                <c:pt idx="22">
                  <c:v>93.7</c:v>
                </c:pt>
                <c:pt idx="23">
                  <c:v>93.71</c:v>
                </c:pt>
                <c:pt idx="24">
                  <c:v>92.71</c:v>
                </c:pt>
                <c:pt idx="25">
                  <c:v>93.35</c:v>
                </c:pt>
                <c:pt idx="26">
                  <c:v>93</c:v>
                </c:pt>
                <c:pt idx="27">
                  <c:v>91.8</c:v>
                </c:pt>
                <c:pt idx="28">
                  <c:v>91.43</c:v>
                </c:pt>
                <c:pt idx="29">
                  <c:v>90.87</c:v>
                </c:pt>
                <c:pt idx="30">
                  <c:v>91.48</c:v>
                </c:pt>
                <c:pt idx="31">
                  <c:v>91.39</c:v>
                </c:pt>
                <c:pt idx="32">
                  <c:v>90.48</c:v>
                </c:pt>
                <c:pt idx="33">
                  <c:v>89.82</c:v>
                </c:pt>
                <c:pt idx="34">
                  <c:v>89.37</c:v>
                </c:pt>
                <c:pt idx="35">
                  <c:v>88.93</c:v>
                </c:pt>
                <c:pt idx="36">
                  <c:v>90.37</c:v>
                </c:pt>
                <c:pt idx="37">
                  <c:v>89.3</c:v>
                </c:pt>
                <c:pt idx="38">
                  <c:v>83.73</c:v>
                </c:pt>
                <c:pt idx="39">
                  <c:v>83.22</c:v>
                </c:pt>
                <c:pt idx="40">
                  <c:v>82.49</c:v>
                </c:pt>
                <c:pt idx="41">
                  <c:v>83.35</c:v>
                </c:pt>
                <c:pt idx="42">
                  <c:v>81.47</c:v>
                </c:pt>
                <c:pt idx="43">
                  <c:v>82.85</c:v>
                </c:pt>
                <c:pt idx="44">
                  <c:v>83.9</c:v>
                </c:pt>
                <c:pt idx="45">
                  <c:v>84.3</c:v>
                </c:pt>
                <c:pt idx="46">
                  <c:v>85.8</c:v>
                </c:pt>
                <c:pt idx="47">
                  <c:v>86.86</c:v>
                </c:pt>
                <c:pt idx="48">
                  <c:v>85.04</c:v>
                </c:pt>
                <c:pt idx="49">
                  <c:v>89.2</c:v>
                </c:pt>
                <c:pt idx="50">
                  <c:v>89.03</c:v>
                </c:pt>
                <c:pt idx="51">
                  <c:v>90.72</c:v>
                </c:pt>
                <c:pt idx="52">
                  <c:v>89.13</c:v>
                </c:pt>
                <c:pt idx="53">
                  <c:v>88.91</c:v>
                </c:pt>
                <c:pt idx="54">
                  <c:v>86.59</c:v>
                </c:pt>
                <c:pt idx="55">
                  <c:v>91.01</c:v>
                </c:pt>
                <c:pt idx="56">
                  <c:v>92.85</c:v>
                </c:pt>
                <c:pt idx="57">
                  <c:v>92.45</c:v>
                </c:pt>
                <c:pt idx="58">
                  <c:v>91.39</c:v>
                </c:pt>
                <c:pt idx="59">
                  <c:v>91.34</c:v>
                </c:pt>
                <c:pt idx="60">
                  <c:v>89.63</c:v>
                </c:pt>
                <c:pt idx="61">
                  <c:v>89.3</c:v>
                </c:pt>
                <c:pt idx="62">
                  <c:v>88.71</c:v>
                </c:pt>
                <c:pt idx="63">
                  <c:v>92</c:v>
                </c:pt>
                <c:pt idx="64">
                  <c:v>95.22</c:v>
                </c:pt>
                <c:pt idx="65">
                  <c:v>96.16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30049632"/>
        <c:axId val="630050024"/>
      </c:lineChart>
      <c:dateAx>
        <c:axId val="63004963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0050024"/>
        <c:crosses val="autoZero"/>
        <c:auto val="1"/>
        <c:lblOffset val="100"/>
        <c:baseTimeUnit val="days"/>
      </c:dateAx>
      <c:valAx>
        <c:axId val="630050024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0049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NKE!$AA$1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NKE!$W$2:$W$67</c:f>
              <c:numCache>
                <c:formatCode>d\-mmm\-yy</c:formatCode>
                <c:ptCount val="66"/>
                <c:pt idx="0">
                  <c:v>42768</c:v>
                </c:pt>
                <c:pt idx="1">
                  <c:v>42767</c:v>
                </c:pt>
                <c:pt idx="2">
                  <c:v>42766</c:v>
                </c:pt>
                <c:pt idx="3">
                  <c:v>42765</c:v>
                </c:pt>
                <c:pt idx="4">
                  <c:v>42762</c:v>
                </c:pt>
                <c:pt idx="5">
                  <c:v>42761</c:v>
                </c:pt>
                <c:pt idx="6">
                  <c:v>42760</c:v>
                </c:pt>
                <c:pt idx="7">
                  <c:v>42759</c:v>
                </c:pt>
                <c:pt idx="8">
                  <c:v>42758</c:v>
                </c:pt>
                <c:pt idx="9">
                  <c:v>42755</c:v>
                </c:pt>
                <c:pt idx="10">
                  <c:v>42754</c:v>
                </c:pt>
                <c:pt idx="11">
                  <c:v>42753</c:v>
                </c:pt>
                <c:pt idx="12">
                  <c:v>42752</c:v>
                </c:pt>
                <c:pt idx="13">
                  <c:v>42748</c:v>
                </c:pt>
                <c:pt idx="14">
                  <c:v>42747</c:v>
                </c:pt>
                <c:pt idx="15">
                  <c:v>42746</c:v>
                </c:pt>
                <c:pt idx="16">
                  <c:v>42745</c:v>
                </c:pt>
                <c:pt idx="17">
                  <c:v>42744</c:v>
                </c:pt>
                <c:pt idx="18">
                  <c:v>42741</c:v>
                </c:pt>
                <c:pt idx="19">
                  <c:v>42740</c:v>
                </c:pt>
                <c:pt idx="20">
                  <c:v>42739</c:v>
                </c:pt>
                <c:pt idx="21">
                  <c:v>42738</c:v>
                </c:pt>
                <c:pt idx="22">
                  <c:v>42734</c:v>
                </c:pt>
                <c:pt idx="23">
                  <c:v>42733</c:v>
                </c:pt>
                <c:pt idx="24">
                  <c:v>42732</c:v>
                </c:pt>
                <c:pt idx="25">
                  <c:v>42731</c:v>
                </c:pt>
                <c:pt idx="26">
                  <c:v>42727</c:v>
                </c:pt>
                <c:pt idx="27">
                  <c:v>42726</c:v>
                </c:pt>
                <c:pt idx="28">
                  <c:v>42725</c:v>
                </c:pt>
                <c:pt idx="29">
                  <c:v>42724</c:v>
                </c:pt>
                <c:pt idx="30">
                  <c:v>42723</c:v>
                </c:pt>
                <c:pt idx="31">
                  <c:v>42720</c:v>
                </c:pt>
                <c:pt idx="32">
                  <c:v>42719</c:v>
                </c:pt>
                <c:pt idx="33">
                  <c:v>42718</c:v>
                </c:pt>
                <c:pt idx="34">
                  <c:v>42717</c:v>
                </c:pt>
                <c:pt idx="35">
                  <c:v>42716</c:v>
                </c:pt>
                <c:pt idx="36">
                  <c:v>42713</c:v>
                </c:pt>
                <c:pt idx="37">
                  <c:v>42712</c:v>
                </c:pt>
                <c:pt idx="38">
                  <c:v>42711</c:v>
                </c:pt>
                <c:pt idx="39">
                  <c:v>42710</c:v>
                </c:pt>
                <c:pt idx="40">
                  <c:v>42709</c:v>
                </c:pt>
                <c:pt idx="41">
                  <c:v>42706</c:v>
                </c:pt>
                <c:pt idx="42">
                  <c:v>42705</c:v>
                </c:pt>
                <c:pt idx="43">
                  <c:v>42705</c:v>
                </c:pt>
                <c:pt idx="44">
                  <c:v>42704</c:v>
                </c:pt>
                <c:pt idx="45">
                  <c:v>42703</c:v>
                </c:pt>
                <c:pt idx="46">
                  <c:v>42702</c:v>
                </c:pt>
                <c:pt idx="47">
                  <c:v>42699</c:v>
                </c:pt>
                <c:pt idx="48">
                  <c:v>42697</c:v>
                </c:pt>
                <c:pt idx="49">
                  <c:v>42696</c:v>
                </c:pt>
                <c:pt idx="50">
                  <c:v>42695</c:v>
                </c:pt>
                <c:pt idx="51">
                  <c:v>42692</c:v>
                </c:pt>
                <c:pt idx="52">
                  <c:v>42691</c:v>
                </c:pt>
                <c:pt idx="53">
                  <c:v>42690</c:v>
                </c:pt>
                <c:pt idx="54">
                  <c:v>42689</c:v>
                </c:pt>
                <c:pt idx="55">
                  <c:v>42688</c:v>
                </c:pt>
                <c:pt idx="56">
                  <c:v>42685</c:v>
                </c:pt>
                <c:pt idx="57">
                  <c:v>42684</c:v>
                </c:pt>
                <c:pt idx="58">
                  <c:v>42683</c:v>
                </c:pt>
                <c:pt idx="59">
                  <c:v>42682</c:v>
                </c:pt>
                <c:pt idx="60">
                  <c:v>42681</c:v>
                </c:pt>
                <c:pt idx="61">
                  <c:v>42678</c:v>
                </c:pt>
                <c:pt idx="62">
                  <c:v>42677</c:v>
                </c:pt>
                <c:pt idx="63">
                  <c:v>42676</c:v>
                </c:pt>
                <c:pt idx="64">
                  <c:v>42675</c:v>
                </c:pt>
                <c:pt idx="65">
                  <c:v>42674</c:v>
                </c:pt>
              </c:numCache>
            </c:numRef>
          </c:cat>
          <c:val>
            <c:numRef>
              <c:f>NKE!$AA$2:$AA$67</c:f>
              <c:numCache>
                <c:formatCode>General</c:formatCode>
                <c:ptCount val="66"/>
                <c:pt idx="0">
                  <c:v>52.8</c:v>
                </c:pt>
                <c:pt idx="1">
                  <c:v>53.02</c:v>
                </c:pt>
                <c:pt idx="2">
                  <c:v>52.9</c:v>
                </c:pt>
                <c:pt idx="3">
                  <c:v>53.08</c:v>
                </c:pt>
                <c:pt idx="4">
                  <c:v>53.19</c:v>
                </c:pt>
                <c:pt idx="5">
                  <c:v>53.65</c:v>
                </c:pt>
                <c:pt idx="6">
                  <c:v>53.86</c:v>
                </c:pt>
                <c:pt idx="7">
                  <c:v>53.45</c:v>
                </c:pt>
                <c:pt idx="8">
                  <c:v>53.24</c:v>
                </c:pt>
                <c:pt idx="9">
                  <c:v>53.2</c:v>
                </c:pt>
                <c:pt idx="10">
                  <c:v>52.93</c:v>
                </c:pt>
                <c:pt idx="11">
                  <c:v>53.27</c:v>
                </c:pt>
                <c:pt idx="12">
                  <c:v>53.65</c:v>
                </c:pt>
                <c:pt idx="13">
                  <c:v>52.92</c:v>
                </c:pt>
                <c:pt idx="14">
                  <c:v>52.4</c:v>
                </c:pt>
                <c:pt idx="15">
                  <c:v>52.69</c:v>
                </c:pt>
                <c:pt idx="16">
                  <c:v>53.11</c:v>
                </c:pt>
                <c:pt idx="17">
                  <c:v>53.38</c:v>
                </c:pt>
                <c:pt idx="18">
                  <c:v>53.91</c:v>
                </c:pt>
                <c:pt idx="19">
                  <c:v>53.06</c:v>
                </c:pt>
                <c:pt idx="20">
                  <c:v>53.07</c:v>
                </c:pt>
                <c:pt idx="21">
                  <c:v>51.98</c:v>
                </c:pt>
                <c:pt idx="22">
                  <c:v>50.83</c:v>
                </c:pt>
                <c:pt idx="23">
                  <c:v>51.06</c:v>
                </c:pt>
                <c:pt idx="24">
                  <c:v>51.02</c:v>
                </c:pt>
                <c:pt idx="25">
                  <c:v>51.29</c:v>
                </c:pt>
                <c:pt idx="26">
                  <c:v>51.91</c:v>
                </c:pt>
                <c:pt idx="27">
                  <c:v>52.14</c:v>
                </c:pt>
                <c:pt idx="28">
                  <c:v>52.3</c:v>
                </c:pt>
                <c:pt idx="29">
                  <c:v>51.79</c:v>
                </c:pt>
                <c:pt idx="30">
                  <c:v>50.85</c:v>
                </c:pt>
                <c:pt idx="31">
                  <c:v>50.92</c:v>
                </c:pt>
                <c:pt idx="32">
                  <c:v>51.29</c:v>
                </c:pt>
                <c:pt idx="33">
                  <c:v>51.79</c:v>
                </c:pt>
                <c:pt idx="34">
                  <c:v>52.3</c:v>
                </c:pt>
                <c:pt idx="35">
                  <c:v>51.54</c:v>
                </c:pt>
                <c:pt idx="36">
                  <c:v>51.72</c:v>
                </c:pt>
                <c:pt idx="37">
                  <c:v>51.55</c:v>
                </c:pt>
                <c:pt idx="38">
                  <c:v>52.1</c:v>
                </c:pt>
                <c:pt idx="39">
                  <c:v>50.57</c:v>
                </c:pt>
                <c:pt idx="40">
                  <c:v>51.85</c:v>
                </c:pt>
                <c:pt idx="41">
                  <c:v>50.46</c:v>
                </c:pt>
                <c:pt idx="42">
                  <c:v>50.65</c:v>
                </c:pt>
                <c:pt idx="44">
                  <c:v>50.07</c:v>
                </c:pt>
                <c:pt idx="45">
                  <c:v>50.63</c:v>
                </c:pt>
                <c:pt idx="46">
                  <c:v>51.01</c:v>
                </c:pt>
                <c:pt idx="47">
                  <c:v>51.52</c:v>
                </c:pt>
                <c:pt idx="48">
                  <c:v>51.34</c:v>
                </c:pt>
                <c:pt idx="49">
                  <c:v>51.71</c:v>
                </c:pt>
                <c:pt idx="50">
                  <c:v>51.28</c:v>
                </c:pt>
                <c:pt idx="51">
                  <c:v>51.1</c:v>
                </c:pt>
                <c:pt idx="52">
                  <c:v>51.59</c:v>
                </c:pt>
                <c:pt idx="53">
                  <c:v>50.68</c:v>
                </c:pt>
                <c:pt idx="54">
                  <c:v>50.13</c:v>
                </c:pt>
                <c:pt idx="55">
                  <c:v>50.21</c:v>
                </c:pt>
                <c:pt idx="56">
                  <c:v>50.77</c:v>
                </c:pt>
                <c:pt idx="57">
                  <c:v>50.39</c:v>
                </c:pt>
                <c:pt idx="58">
                  <c:v>51.12</c:v>
                </c:pt>
                <c:pt idx="59">
                  <c:v>51.08</c:v>
                </c:pt>
                <c:pt idx="60">
                  <c:v>50.91</c:v>
                </c:pt>
                <c:pt idx="61">
                  <c:v>49.96</c:v>
                </c:pt>
                <c:pt idx="62">
                  <c:v>49.73</c:v>
                </c:pt>
                <c:pt idx="63">
                  <c:v>49.72</c:v>
                </c:pt>
                <c:pt idx="64">
                  <c:v>49.62</c:v>
                </c:pt>
                <c:pt idx="65">
                  <c:v>50.18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2219416"/>
        <c:axId val="642219808"/>
      </c:lineChart>
      <c:dateAx>
        <c:axId val="6422194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2219808"/>
        <c:crosses val="autoZero"/>
        <c:auto val="1"/>
        <c:lblOffset val="100"/>
        <c:baseTimeUnit val="days"/>
      </c:dateAx>
      <c:valAx>
        <c:axId val="642219808"/>
        <c:scaling>
          <c:orientation val="minMax"/>
          <c:min val="49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22194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MOS!$AA$1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MOS!$W$2:$W$67</c:f>
              <c:numCache>
                <c:formatCode>d\-mmm\-yy</c:formatCode>
                <c:ptCount val="66"/>
                <c:pt idx="0">
                  <c:v>42768</c:v>
                </c:pt>
                <c:pt idx="1">
                  <c:v>42767</c:v>
                </c:pt>
                <c:pt idx="2">
                  <c:v>42766</c:v>
                </c:pt>
                <c:pt idx="3">
                  <c:v>42765</c:v>
                </c:pt>
                <c:pt idx="4">
                  <c:v>42762</c:v>
                </c:pt>
                <c:pt idx="5">
                  <c:v>42761</c:v>
                </c:pt>
                <c:pt idx="6">
                  <c:v>42760</c:v>
                </c:pt>
                <c:pt idx="7">
                  <c:v>42759</c:v>
                </c:pt>
                <c:pt idx="8">
                  <c:v>42758</c:v>
                </c:pt>
                <c:pt idx="9">
                  <c:v>42755</c:v>
                </c:pt>
                <c:pt idx="10">
                  <c:v>42754</c:v>
                </c:pt>
                <c:pt idx="11">
                  <c:v>42753</c:v>
                </c:pt>
                <c:pt idx="12">
                  <c:v>42752</c:v>
                </c:pt>
                <c:pt idx="13">
                  <c:v>42748</c:v>
                </c:pt>
                <c:pt idx="14">
                  <c:v>42747</c:v>
                </c:pt>
                <c:pt idx="15">
                  <c:v>42746</c:v>
                </c:pt>
                <c:pt idx="16">
                  <c:v>42745</c:v>
                </c:pt>
                <c:pt idx="17">
                  <c:v>42744</c:v>
                </c:pt>
                <c:pt idx="18">
                  <c:v>42741</c:v>
                </c:pt>
                <c:pt idx="19">
                  <c:v>42740</c:v>
                </c:pt>
                <c:pt idx="20">
                  <c:v>42739</c:v>
                </c:pt>
                <c:pt idx="21">
                  <c:v>42738</c:v>
                </c:pt>
                <c:pt idx="22">
                  <c:v>42734</c:v>
                </c:pt>
                <c:pt idx="23">
                  <c:v>42733</c:v>
                </c:pt>
                <c:pt idx="24">
                  <c:v>42732</c:v>
                </c:pt>
                <c:pt idx="25">
                  <c:v>42731</c:v>
                </c:pt>
                <c:pt idx="26">
                  <c:v>42727</c:v>
                </c:pt>
                <c:pt idx="27">
                  <c:v>42726</c:v>
                </c:pt>
                <c:pt idx="28">
                  <c:v>42725</c:v>
                </c:pt>
                <c:pt idx="29">
                  <c:v>42724</c:v>
                </c:pt>
                <c:pt idx="30">
                  <c:v>42723</c:v>
                </c:pt>
                <c:pt idx="31">
                  <c:v>42720</c:v>
                </c:pt>
                <c:pt idx="32">
                  <c:v>42719</c:v>
                </c:pt>
                <c:pt idx="33">
                  <c:v>42718</c:v>
                </c:pt>
                <c:pt idx="34">
                  <c:v>42717</c:v>
                </c:pt>
                <c:pt idx="35">
                  <c:v>42716</c:v>
                </c:pt>
                <c:pt idx="36">
                  <c:v>42713</c:v>
                </c:pt>
                <c:pt idx="37">
                  <c:v>42712</c:v>
                </c:pt>
                <c:pt idx="38">
                  <c:v>42711</c:v>
                </c:pt>
                <c:pt idx="39">
                  <c:v>42710</c:v>
                </c:pt>
                <c:pt idx="40">
                  <c:v>42709</c:v>
                </c:pt>
                <c:pt idx="41">
                  <c:v>42706</c:v>
                </c:pt>
                <c:pt idx="42">
                  <c:v>42705</c:v>
                </c:pt>
                <c:pt idx="43">
                  <c:v>42704</c:v>
                </c:pt>
                <c:pt idx="44">
                  <c:v>42703</c:v>
                </c:pt>
                <c:pt idx="45">
                  <c:v>42703</c:v>
                </c:pt>
                <c:pt idx="46">
                  <c:v>42702</c:v>
                </c:pt>
                <c:pt idx="47">
                  <c:v>42699</c:v>
                </c:pt>
                <c:pt idx="48">
                  <c:v>42697</c:v>
                </c:pt>
                <c:pt idx="49">
                  <c:v>42696</c:v>
                </c:pt>
                <c:pt idx="50">
                  <c:v>42695</c:v>
                </c:pt>
                <c:pt idx="51">
                  <c:v>42692</c:v>
                </c:pt>
                <c:pt idx="52">
                  <c:v>42691</c:v>
                </c:pt>
                <c:pt idx="53">
                  <c:v>42690</c:v>
                </c:pt>
                <c:pt idx="54">
                  <c:v>42689</c:v>
                </c:pt>
                <c:pt idx="55">
                  <c:v>42688</c:v>
                </c:pt>
                <c:pt idx="56">
                  <c:v>42685</c:v>
                </c:pt>
                <c:pt idx="57">
                  <c:v>42684</c:v>
                </c:pt>
                <c:pt idx="58">
                  <c:v>42683</c:v>
                </c:pt>
                <c:pt idx="59">
                  <c:v>42682</c:v>
                </c:pt>
                <c:pt idx="60">
                  <c:v>42681</c:v>
                </c:pt>
                <c:pt idx="61">
                  <c:v>42678</c:v>
                </c:pt>
                <c:pt idx="62">
                  <c:v>42677</c:v>
                </c:pt>
                <c:pt idx="63">
                  <c:v>42676</c:v>
                </c:pt>
                <c:pt idx="64">
                  <c:v>42675</c:v>
                </c:pt>
                <c:pt idx="65">
                  <c:v>42674</c:v>
                </c:pt>
              </c:numCache>
            </c:numRef>
          </c:cat>
          <c:val>
            <c:numRef>
              <c:f>MOS!$AA$2:$AA$69</c:f>
              <c:numCache>
                <c:formatCode>General</c:formatCode>
                <c:ptCount val="68"/>
                <c:pt idx="0">
                  <c:v>31.45</c:v>
                </c:pt>
                <c:pt idx="1">
                  <c:v>31.68</c:v>
                </c:pt>
                <c:pt idx="2">
                  <c:v>31.37</c:v>
                </c:pt>
                <c:pt idx="3">
                  <c:v>30.97</c:v>
                </c:pt>
                <c:pt idx="4">
                  <c:v>31.42</c:v>
                </c:pt>
                <c:pt idx="5">
                  <c:v>31.84</c:v>
                </c:pt>
                <c:pt idx="6">
                  <c:v>33.26</c:v>
                </c:pt>
                <c:pt idx="7">
                  <c:v>33.450000000000003</c:v>
                </c:pt>
                <c:pt idx="8">
                  <c:v>31.55</c:v>
                </c:pt>
                <c:pt idx="9">
                  <c:v>31.28</c:v>
                </c:pt>
                <c:pt idx="10">
                  <c:v>30.25</c:v>
                </c:pt>
                <c:pt idx="11">
                  <c:v>30.6</c:v>
                </c:pt>
                <c:pt idx="12">
                  <c:v>30.77</c:v>
                </c:pt>
                <c:pt idx="13">
                  <c:v>31.25</c:v>
                </c:pt>
                <c:pt idx="14">
                  <c:v>31.41</c:v>
                </c:pt>
                <c:pt idx="15">
                  <c:v>31.43</c:v>
                </c:pt>
                <c:pt idx="16">
                  <c:v>30.72</c:v>
                </c:pt>
                <c:pt idx="17">
                  <c:v>30.71</c:v>
                </c:pt>
                <c:pt idx="18">
                  <c:v>30.8</c:v>
                </c:pt>
                <c:pt idx="19">
                  <c:v>30.87</c:v>
                </c:pt>
                <c:pt idx="20">
                  <c:v>30.81</c:v>
                </c:pt>
                <c:pt idx="21">
                  <c:v>29.53</c:v>
                </c:pt>
                <c:pt idx="22">
                  <c:v>29.33</c:v>
                </c:pt>
                <c:pt idx="23">
                  <c:v>29.33</c:v>
                </c:pt>
                <c:pt idx="24">
                  <c:v>29.06</c:v>
                </c:pt>
                <c:pt idx="25">
                  <c:v>30.04</c:v>
                </c:pt>
                <c:pt idx="26">
                  <c:v>29.18</c:v>
                </c:pt>
                <c:pt idx="27">
                  <c:v>29.35</c:v>
                </c:pt>
                <c:pt idx="28">
                  <c:v>28.78</c:v>
                </c:pt>
                <c:pt idx="29">
                  <c:v>28.16</c:v>
                </c:pt>
                <c:pt idx="30">
                  <c:v>27.77</c:v>
                </c:pt>
                <c:pt idx="31">
                  <c:v>29.56</c:v>
                </c:pt>
                <c:pt idx="32">
                  <c:v>29.74</c:v>
                </c:pt>
                <c:pt idx="33">
                  <c:v>29.38</c:v>
                </c:pt>
                <c:pt idx="34">
                  <c:v>29.52</c:v>
                </c:pt>
                <c:pt idx="35">
                  <c:v>30.24</c:v>
                </c:pt>
                <c:pt idx="36">
                  <c:v>31.42</c:v>
                </c:pt>
                <c:pt idx="37">
                  <c:v>30.18</c:v>
                </c:pt>
                <c:pt idx="38">
                  <c:v>30.23</c:v>
                </c:pt>
                <c:pt idx="39">
                  <c:v>29.38</c:v>
                </c:pt>
                <c:pt idx="40">
                  <c:v>29.17</c:v>
                </c:pt>
                <c:pt idx="41">
                  <c:v>28.82</c:v>
                </c:pt>
                <c:pt idx="42">
                  <c:v>29.09</c:v>
                </c:pt>
                <c:pt idx="43">
                  <c:v>28.4</c:v>
                </c:pt>
                <c:pt idx="44">
                  <c:v>27.06</c:v>
                </c:pt>
                <c:pt idx="46">
                  <c:v>27.35</c:v>
                </c:pt>
                <c:pt idx="47">
                  <c:v>27.43</c:v>
                </c:pt>
                <c:pt idx="48">
                  <c:v>27.45</c:v>
                </c:pt>
                <c:pt idx="49">
                  <c:v>27.37</c:v>
                </c:pt>
                <c:pt idx="50">
                  <c:v>29.05</c:v>
                </c:pt>
                <c:pt idx="51">
                  <c:v>28.26</c:v>
                </c:pt>
                <c:pt idx="52">
                  <c:v>27.33</c:v>
                </c:pt>
                <c:pt idx="53">
                  <c:v>27.21</c:v>
                </c:pt>
                <c:pt idx="54">
                  <c:v>27.95</c:v>
                </c:pt>
                <c:pt idx="55">
                  <c:v>28.29</c:v>
                </c:pt>
                <c:pt idx="56">
                  <c:v>27.41</c:v>
                </c:pt>
                <c:pt idx="57">
                  <c:v>28.23</c:v>
                </c:pt>
                <c:pt idx="58">
                  <c:v>26.77</c:v>
                </c:pt>
                <c:pt idx="59">
                  <c:v>26.18</c:v>
                </c:pt>
                <c:pt idx="60">
                  <c:v>25.11</c:v>
                </c:pt>
                <c:pt idx="61">
                  <c:v>24.5</c:v>
                </c:pt>
                <c:pt idx="62">
                  <c:v>24.15</c:v>
                </c:pt>
                <c:pt idx="63">
                  <c:v>24.73</c:v>
                </c:pt>
                <c:pt idx="64">
                  <c:v>24.32</c:v>
                </c:pt>
                <c:pt idx="65">
                  <c:v>23.53</c:v>
                </c:pt>
                <c:pt idx="66">
                  <c:v>23.79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2221768"/>
        <c:axId val="642222160"/>
      </c:lineChart>
      <c:dateAx>
        <c:axId val="64222176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2222160"/>
        <c:crosses val="autoZero"/>
        <c:auto val="1"/>
        <c:lblOffset val="100"/>
        <c:baseTimeUnit val="days"/>
      </c:dateAx>
      <c:valAx>
        <c:axId val="642222160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22217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MJN!$AA$1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MJN!$W$2:$W$69</c:f>
              <c:strCache>
                <c:ptCount val="68"/>
                <c:pt idx="0">
                  <c:v>2-Feb-17</c:v>
                </c:pt>
                <c:pt idx="1">
                  <c:v>1-Feb-17</c:v>
                </c:pt>
                <c:pt idx="2">
                  <c:v>31-Jan-17</c:v>
                </c:pt>
                <c:pt idx="3">
                  <c:v>30-Jan-17</c:v>
                </c:pt>
                <c:pt idx="4">
                  <c:v>27-Jan-17</c:v>
                </c:pt>
                <c:pt idx="5">
                  <c:v>26-Jan-17</c:v>
                </c:pt>
                <c:pt idx="6">
                  <c:v>25-Jan-17</c:v>
                </c:pt>
                <c:pt idx="7">
                  <c:v>24-Jan-17</c:v>
                </c:pt>
                <c:pt idx="8">
                  <c:v>23-Jan-17</c:v>
                </c:pt>
                <c:pt idx="9">
                  <c:v>20-Jan-17</c:v>
                </c:pt>
                <c:pt idx="10">
                  <c:v>19-Jan-17</c:v>
                </c:pt>
                <c:pt idx="11">
                  <c:v>18-Jan-17</c:v>
                </c:pt>
                <c:pt idx="12">
                  <c:v>17-Jan-17</c:v>
                </c:pt>
                <c:pt idx="13">
                  <c:v>13-Jan-17</c:v>
                </c:pt>
                <c:pt idx="14">
                  <c:v>12-Jan-17</c:v>
                </c:pt>
                <c:pt idx="15">
                  <c:v>11-Jan-17</c:v>
                </c:pt>
                <c:pt idx="16">
                  <c:v>10-Jan-17</c:v>
                </c:pt>
                <c:pt idx="17">
                  <c:v>9-Jan-17</c:v>
                </c:pt>
                <c:pt idx="18">
                  <c:v>6-Jan-17</c:v>
                </c:pt>
                <c:pt idx="19">
                  <c:v>5-Jan-17</c:v>
                </c:pt>
                <c:pt idx="20">
                  <c:v>4-Jan-17</c:v>
                </c:pt>
                <c:pt idx="21">
                  <c:v>3-Jan-17</c:v>
                </c:pt>
                <c:pt idx="22">
                  <c:v>30-Dec-16</c:v>
                </c:pt>
                <c:pt idx="23">
                  <c:v>29-Dec-16</c:v>
                </c:pt>
                <c:pt idx="24">
                  <c:v>28-Dec-16</c:v>
                </c:pt>
                <c:pt idx="25">
                  <c:v>27-Dec-16</c:v>
                </c:pt>
                <c:pt idx="26">
                  <c:v>23-Dec-16</c:v>
                </c:pt>
                <c:pt idx="27">
                  <c:v>22-Dec-16</c:v>
                </c:pt>
                <c:pt idx="28">
                  <c:v>21-Dec-16</c:v>
                </c:pt>
                <c:pt idx="29">
                  <c:v>20-Dec-16</c:v>
                </c:pt>
                <c:pt idx="30">
                  <c:v>20-Dec-16</c:v>
                </c:pt>
                <c:pt idx="31">
                  <c:v>19-Dec-16</c:v>
                </c:pt>
                <c:pt idx="32">
                  <c:v>16-Dec-16</c:v>
                </c:pt>
                <c:pt idx="33">
                  <c:v>15-Dec-16</c:v>
                </c:pt>
                <c:pt idx="34">
                  <c:v>14-Dec-16</c:v>
                </c:pt>
                <c:pt idx="35">
                  <c:v>13-Dec-16</c:v>
                </c:pt>
                <c:pt idx="36">
                  <c:v>12-Dec-16</c:v>
                </c:pt>
                <c:pt idx="37">
                  <c:v>9-Dec-16</c:v>
                </c:pt>
                <c:pt idx="38">
                  <c:v>8-Dec-16</c:v>
                </c:pt>
                <c:pt idx="39">
                  <c:v>7-Dec-16</c:v>
                </c:pt>
                <c:pt idx="40">
                  <c:v>6-Dec-16</c:v>
                </c:pt>
                <c:pt idx="41">
                  <c:v>5-Dec-16</c:v>
                </c:pt>
                <c:pt idx="42">
                  <c:v>2-Dec-16</c:v>
                </c:pt>
                <c:pt idx="43">
                  <c:v>1-Dec-16</c:v>
                </c:pt>
                <c:pt idx="44">
                  <c:v>30-Nov-16</c:v>
                </c:pt>
                <c:pt idx="45">
                  <c:v>29-Nov-16</c:v>
                </c:pt>
                <c:pt idx="46">
                  <c:v>28-Nov-16</c:v>
                </c:pt>
                <c:pt idx="47">
                  <c:v>25-Nov-16</c:v>
                </c:pt>
                <c:pt idx="48">
                  <c:v>23-Nov-16</c:v>
                </c:pt>
                <c:pt idx="49">
                  <c:v>22-Nov-16</c:v>
                </c:pt>
                <c:pt idx="50">
                  <c:v>21-Nov-16</c:v>
                </c:pt>
                <c:pt idx="51">
                  <c:v>18-Nov-16</c:v>
                </c:pt>
                <c:pt idx="52">
                  <c:v>17-Nov-16</c:v>
                </c:pt>
                <c:pt idx="53">
                  <c:v>16-Nov-16</c:v>
                </c:pt>
                <c:pt idx="54">
                  <c:v>15-Nov-16</c:v>
                </c:pt>
                <c:pt idx="55">
                  <c:v>14-Nov-16</c:v>
                </c:pt>
                <c:pt idx="56">
                  <c:v>11-Nov-16</c:v>
                </c:pt>
                <c:pt idx="57">
                  <c:v>10-Nov-16</c:v>
                </c:pt>
                <c:pt idx="58">
                  <c:v>9-Nov-16</c:v>
                </c:pt>
                <c:pt idx="59">
                  <c:v>8-Nov-16</c:v>
                </c:pt>
                <c:pt idx="60">
                  <c:v>7-Nov-16</c:v>
                </c:pt>
                <c:pt idx="61">
                  <c:v>4-Nov-16</c:v>
                </c:pt>
                <c:pt idx="62">
                  <c:v>3-Nov-16</c:v>
                </c:pt>
                <c:pt idx="63">
                  <c:v>2-Nov-16</c:v>
                </c:pt>
                <c:pt idx="64">
                  <c:v>1-Nov-16</c:v>
                </c:pt>
                <c:pt idx="65">
                  <c:v>31-Oct-16</c:v>
                </c:pt>
                <c:pt idx="66">
                  <c:v>28-Oct-16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MJN!$AA$2:$AA$69</c:f>
              <c:numCache>
                <c:formatCode>General</c:formatCode>
                <c:ptCount val="68"/>
                <c:pt idx="0">
                  <c:v>49.47</c:v>
                </c:pt>
                <c:pt idx="1">
                  <c:v>49.51</c:v>
                </c:pt>
                <c:pt idx="2">
                  <c:v>49.36</c:v>
                </c:pt>
                <c:pt idx="3">
                  <c:v>49.12</c:v>
                </c:pt>
                <c:pt idx="4">
                  <c:v>49.53</c:v>
                </c:pt>
                <c:pt idx="5">
                  <c:v>49.54</c:v>
                </c:pt>
                <c:pt idx="6">
                  <c:v>49.86</c:v>
                </c:pt>
                <c:pt idx="7">
                  <c:v>49.27</c:v>
                </c:pt>
                <c:pt idx="8">
                  <c:v>49.16</c:v>
                </c:pt>
                <c:pt idx="9">
                  <c:v>49</c:v>
                </c:pt>
                <c:pt idx="10">
                  <c:v>48.73</c:v>
                </c:pt>
                <c:pt idx="11">
                  <c:v>48.83</c:v>
                </c:pt>
                <c:pt idx="12">
                  <c:v>49.03</c:v>
                </c:pt>
                <c:pt idx="13">
                  <c:v>49.03</c:v>
                </c:pt>
                <c:pt idx="14">
                  <c:v>48.82</c:v>
                </c:pt>
                <c:pt idx="15">
                  <c:v>48.77</c:v>
                </c:pt>
                <c:pt idx="16">
                  <c:v>48.52</c:v>
                </c:pt>
                <c:pt idx="17">
                  <c:v>48.53</c:v>
                </c:pt>
                <c:pt idx="18">
                  <c:v>48.7</c:v>
                </c:pt>
                <c:pt idx="19">
                  <c:v>48.94</c:v>
                </c:pt>
                <c:pt idx="20">
                  <c:v>48.5</c:v>
                </c:pt>
                <c:pt idx="21">
                  <c:v>48.1</c:v>
                </c:pt>
                <c:pt idx="22">
                  <c:v>47.94</c:v>
                </c:pt>
                <c:pt idx="23">
                  <c:v>47.68</c:v>
                </c:pt>
                <c:pt idx="24">
                  <c:v>47.35</c:v>
                </c:pt>
                <c:pt idx="25">
                  <c:v>47.65</c:v>
                </c:pt>
                <c:pt idx="26">
                  <c:v>47.58</c:v>
                </c:pt>
                <c:pt idx="27">
                  <c:v>47.39</c:v>
                </c:pt>
                <c:pt idx="28">
                  <c:v>47.48</c:v>
                </c:pt>
                <c:pt idx="29">
                  <c:v>47.36</c:v>
                </c:pt>
                <c:pt idx="31">
                  <c:v>47.46</c:v>
                </c:pt>
                <c:pt idx="32">
                  <c:v>47.63</c:v>
                </c:pt>
                <c:pt idx="33">
                  <c:v>47.39</c:v>
                </c:pt>
                <c:pt idx="34">
                  <c:v>47.42</c:v>
                </c:pt>
                <c:pt idx="35">
                  <c:v>48.17</c:v>
                </c:pt>
                <c:pt idx="36">
                  <c:v>47.66</c:v>
                </c:pt>
                <c:pt idx="37">
                  <c:v>47.73</c:v>
                </c:pt>
                <c:pt idx="38">
                  <c:v>47.47</c:v>
                </c:pt>
                <c:pt idx="39">
                  <c:v>47.75</c:v>
                </c:pt>
                <c:pt idx="40">
                  <c:v>47.11</c:v>
                </c:pt>
                <c:pt idx="41">
                  <c:v>46.68</c:v>
                </c:pt>
                <c:pt idx="42">
                  <c:v>45.99</c:v>
                </c:pt>
                <c:pt idx="43">
                  <c:v>45.84</c:v>
                </c:pt>
                <c:pt idx="44">
                  <c:v>45.91</c:v>
                </c:pt>
                <c:pt idx="45">
                  <c:v>45.94</c:v>
                </c:pt>
                <c:pt idx="46">
                  <c:v>45.54</c:v>
                </c:pt>
                <c:pt idx="47">
                  <c:v>46.08</c:v>
                </c:pt>
                <c:pt idx="48">
                  <c:v>45.7</c:v>
                </c:pt>
                <c:pt idx="49">
                  <c:v>46.03</c:v>
                </c:pt>
                <c:pt idx="50">
                  <c:v>45.99</c:v>
                </c:pt>
                <c:pt idx="51">
                  <c:v>45.6</c:v>
                </c:pt>
                <c:pt idx="52">
                  <c:v>46.07</c:v>
                </c:pt>
                <c:pt idx="53">
                  <c:v>45.85</c:v>
                </c:pt>
                <c:pt idx="54">
                  <c:v>46.36</c:v>
                </c:pt>
                <c:pt idx="55">
                  <c:v>46.04</c:v>
                </c:pt>
                <c:pt idx="56">
                  <c:v>46.44</c:v>
                </c:pt>
                <c:pt idx="57">
                  <c:v>46.9</c:v>
                </c:pt>
                <c:pt idx="58">
                  <c:v>47.14</c:v>
                </c:pt>
                <c:pt idx="59">
                  <c:v>46.9</c:v>
                </c:pt>
                <c:pt idx="60">
                  <c:v>46.76</c:v>
                </c:pt>
                <c:pt idx="61">
                  <c:v>46.03</c:v>
                </c:pt>
                <c:pt idx="62">
                  <c:v>46.49</c:v>
                </c:pt>
                <c:pt idx="63">
                  <c:v>46.51</c:v>
                </c:pt>
                <c:pt idx="64">
                  <c:v>46.82</c:v>
                </c:pt>
                <c:pt idx="65">
                  <c:v>47.01</c:v>
                </c:pt>
                <c:pt idx="66">
                  <c:v>47.06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2224120"/>
        <c:axId val="642224512"/>
      </c:lineChart>
      <c:catAx>
        <c:axId val="64222412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2224512"/>
        <c:crosses val="autoZero"/>
        <c:auto val="1"/>
        <c:lblAlgn val="ctr"/>
        <c:lblOffset val="100"/>
        <c:noMultiLvlLbl val="0"/>
      </c:catAx>
      <c:valAx>
        <c:axId val="642224512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2224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VGK!$AA$1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VGK!$W$2:$W$69</c:f>
              <c:strCache>
                <c:ptCount val="68"/>
                <c:pt idx="0">
                  <c:v>2-Feb-17</c:v>
                </c:pt>
                <c:pt idx="1">
                  <c:v>1-Feb-17</c:v>
                </c:pt>
                <c:pt idx="2">
                  <c:v>31-Jan-17</c:v>
                </c:pt>
                <c:pt idx="3">
                  <c:v>30-Jan-17</c:v>
                </c:pt>
                <c:pt idx="4">
                  <c:v>27-Jan-17</c:v>
                </c:pt>
                <c:pt idx="5">
                  <c:v>26-Jan-17</c:v>
                </c:pt>
                <c:pt idx="6">
                  <c:v>25-Jan-17</c:v>
                </c:pt>
                <c:pt idx="7">
                  <c:v>24-Jan-17</c:v>
                </c:pt>
                <c:pt idx="8">
                  <c:v>23-Jan-17</c:v>
                </c:pt>
                <c:pt idx="9">
                  <c:v>20-Jan-17</c:v>
                </c:pt>
                <c:pt idx="10">
                  <c:v>19-Jan-17</c:v>
                </c:pt>
                <c:pt idx="11">
                  <c:v>18-Jan-17</c:v>
                </c:pt>
                <c:pt idx="12">
                  <c:v>17-Jan-17</c:v>
                </c:pt>
                <c:pt idx="13">
                  <c:v>13-Jan-17</c:v>
                </c:pt>
                <c:pt idx="14">
                  <c:v>12-Jan-17</c:v>
                </c:pt>
                <c:pt idx="15">
                  <c:v>11-Jan-17</c:v>
                </c:pt>
                <c:pt idx="16">
                  <c:v>10-Jan-17</c:v>
                </c:pt>
                <c:pt idx="17">
                  <c:v>9-Jan-17</c:v>
                </c:pt>
                <c:pt idx="18">
                  <c:v>6-Jan-17</c:v>
                </c:pt>
                <c:pt idx="19">
                  <c:v>5-Jan-17</c:v>
                </c:pt>
                <c:pt idx="20">
                  <c:v>4-Jan-17</c:v>
                </c:pt>
                <c:pt idx="21">
                  <c:v>3-Jan-17</c:v>
                </c:pt>
                <c:pt idx="22">
                  <c:v>30-Dec-16</c:v>
                </c:pt>
                <c:pt idx="23">
                  <c:v>29-Dec-16</c:v>
                </c:pt>
                <c:pt idx="24">
                  <c:v>28-Dec-16</c:v>
                </c:pt>
                <c:pt idx="25">
                  <c:v>27-Dec-16</c:v>
                </c:pt>
                <c:pt idx="26">
                  <c:v>23-Dec-16</c:v>
                </c:pt>
                <c:pt idx="27">
                  <c:v>22-Dec-16</c:v>
                </c:pt>
                <c:pt idx="28">
                  <c:v>21-Dec-16</c:v>
                </c:pt>
                <c:pt idx="29">
                  <c:v>20-Dec-16</c:v>
                </c:pt>
                <c:pt idx="30">
                  <c:v>20-Dec-16</c:v>
                </c:pt>
                <c:pt idx="31">
                  <c:v>19-Dec-16</c:v>
                </c:pt>
                <c:pt idx="32">
                  <c:v>16-Dec-16</c:v>
                </c:pt>
                <c:pt idx="33">
                  <c:v>15-Dec-16</c:v>
                </c:pt>
                <c:pt idx="34">
                  <c:v>14-Dec-16</c:v>
                </c:pt>
                <c:pt idx="35">
                  <c:v>13-Dec-16</c:v>
                </c:pt>
                <c:pt idx="36">
                  <c:v>12-Dec-16</c:v>
                </c:pt>
                <c:pt idx="37">
                  <c:v>9-Dec-16</c:v>
                </c:pt>
                <c:pt idx="38">
                  <c:v>8-Dec-16</c:v>
                </c:pt>
                <c:pt idx="39">
                  <c:v>7-Dec-16</c:v>
                </c:pt>
                <c:pt idx="40">
                  <c:v>6-Dec-16</c:v>
                </c:pt>
                <c:pt idx="41">
                  <c:v>5-Dec-16</c:v>
                </c:pt>
                <c:pt idx="42">
                  <c:v>2-Dec-16</c:v>
                </c:pt>
                <c:pt idx="43">
                  <c:v>1-Dec-16</c:v>
                </c:pt>
                <c:pt idx="44">
                  <c:v>30-Nov-16</c:v>
                </c:pt>
                <c:pt idx="45">
                  <c:v>29-Nov-16</c:v>
                </c:pt>
                <c:pt idx="46">
                  <c:v>28-Nov-16</c:v>
                </c:pt>
                <c:pt idx="47">
                  <c:v>25-Nov-16</c:v>
                </c:pt>
                <c:pt idx="48">
                  <c:v>23-Nov-16</c:v>
                </c:pt>
                <c:pt idx="49">
                  <c:v>22-Nov-16</c:v>
                </c:pt>
                <c:pt idx="50">
                  <c:v>21-Nov-16</c:v>
                </c:pt>
                <c:pt idx="51">
                  <c:v>18-Nov-16</c:v>
                </c:pt>
                <c:pt idx="52">
                  <c:v>17-Nov-16</c:v>
                </c:pt>
                <c:pt idx="53">
                  <c:v>16-Nov-16</c:v>
                </c:pt>
                <c:pt idx="54">
                  <c:v>15-Nov-16</c:v>
                </c:pt>
                <c:pt idx="55">
                  <c:v>14-Nov-16</c:v>
                </c:pt>
                <c:pt idx="56">
                  <c:v>11-Nov-16</c:v>
                </c:pt>
                <c:pt idx="57">
                  <c:v>10-Nov-16</c:v>
                </c:pt>
                <c:pt idx="58">
                  <c:v>9-Nov-16</c:v>
                </c:pt>
                <c:pt idx="59">
                  <c:v>8-Nov-16</c:v>
                </c:pt>
                <c:pt idx="60">
                  <c:v>7-Nov-16</c:v>
                </c:pt>
                <c:pt idx="61">
                  <c:v>4-Nov-16</c:v>
                </c:pt>
                <c:pt idx="62">
                  <c:v>3-Nov-16</c:v>
                </c:pt>
                <c:pt idx="63">
                  <c:v>2-Nov-16</c:v>
                </c:pt>
                <c:pt idx="64">
                  <c:v>1-Nov-16</c:v>
                </c:pt>
                <c:pt idx="65">
                  <c:v>31-Oct-16</c:v>
                </c:pt>
                <c:pt idx="66">
                  <c:v>28-Oct-16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VGK!$AA$2:$AA$69</c:f>
              <c:numCache>
                <c:formatCode>General</c:formatCode>
                <c:ptCount val="68"/>
                <c:pt idx="0">
                  <c:v>49.47</c:v>
                </c:pt>
                <c:pt idx="1">
                  <c:v>49.51</c:v>
                </c:pt>
                <c:pt idx="2">
                  <c:v>49.36</c:v>
                </c:pt>
                <c:pt idx="3">
                  <c:v>49.12</c:v>
                </c:pt>
                <c:pt idx="4">
                  <c:v>49.53</c:v>
                </c:pt>
                <c:pt idx="5">
                  <c:v>49.54</c:v>
                </c:pt>
                <c:pt idx="6">
                  <c:v>49.86</c:v>
                </c:pt>
                <c:pt idx="7">
                  <c:v>49.27</c:v>
                </c:pt>
                <c:pt idx="8">
                  <c:v>49.16</c:v>
                </c:pt>
                <c:pt idx="9">
                  <c:v>49</c:v>
                </c:pt>
                <c:pt idx="10">
                  <c:v>48.73</c:v>
                </c:pt>
                <c:pt idx="11">
                  <c:v>48.83</c:v>
                </c:pt>
                <c:pt idx="12">
                  <c:v>49.03</c:v>
                </c:pt>
                <c:pt idx="13">
                  <c:v>49.03</c:v>
                </c:pt>
                <c:pt idx="14">
                  <c:v>48.82</c:v>
                </c:pt>
                <c:pt idx="15">
                  <c:v>48.77</c:v>
                </c:pt>
                <c:pt idx="16">
                  <c:v>48.52</c:v>
                </c:pt>
                <c:pt idx="17">
                  <c:v>48.53</c:v>
                </c:pt>
                <c:pt idx="18">
                  <c:v>48.7</c:v>
                </c:pt>
                <c:pt idx="19">
                  <c:v>48.94</c:v>
                </c:pt>
                <c:pt idx="20">
                  <c:v>48.5</c:v>
                </c:pt>
                <c:pt idx="21">
                  <c:v>48.1</c:v>
                </c:pt>
                <c:pt idx="22">
                  <c:v>47.94</c:v>
                </c:pt>
                <c:pt idx="23">
                  <c:v>47.68</c:v>
                </c:pt>
                <c:pt idx="24">
                  <c:v>47.35</c:v>
                </c:pt>
                <c:pt idx="25">
                  <c:v>47.65</c:v>
                </c:pt>
                <c:pt idx="26">
                  <c:v>47.58</c:v>
                </c:pt>
                <c:pt idx="27">
                  <c:v>47.39</c:v>
                </c:pt>
                <c:pt idx="28">
                  <c:v>47.48</c:v>
                </c:pt>
                <c:pt idx="29">
                  <c:v>47.36</c:v>
                </c:pt>
                <c:pt idx="31">
                  <c:v>47.46</c:v>
                </c:pt>
                <c:pt idx="32">
                  <c:v>47.63</c:v>
                </c:pt>
                <c:pt idx="33">
                  <c:v>47.39</c:v>
                </c:pt>
                <c:pt idx="34">
                  <c:v>47.42</c:v>
                </c:pt>
                <c:pt idx="35">
                  <c:v>48.17</c:v>
                </c:pt>
                <c:pt idx="36">
                  <c:v>47.66</c:v>
                </c:pt>
                <c:pt idx="37">
                  <c:v>47.73</c:v>
                </c:pt>
                <c:pt idx="38">
                  <c:v>47.47</c:v>
                </c:pt>
                <c:pt idx="39">
                  <c:v>47.75</c:v>
                </c:pt>
                <c:pt idx="40">
                  <c:v>47.11</c:v>
                </c:pt>
                <c:pt idx="41">
                  <c:v>46.68</c:v>
                </c:pt>
                <c:pt idx="42">
                  <c:v>45.99</c:v>
                </c:pt>
                <c:pt idx="43">
                  <c:v>45.84</c:v>
                </c:pt>
                <c:pt idx="44">
                  <c:v>45.91</c:v>
                </c:pt>
                <c:pt idx="45">
                  <c:v>45.94</c:v>
                </c:pt>
                <c:pt idx="46">
                  <c:v>45.54</c:v>
                </c:pt>
                <c:pt idx="47">
                  <c:v>46.08</c:v>
                </c:pt>
                <c:pt idx="48">
                  <c:v>45.7</c:v>
                </c:pt>
                <c:pt idx="49">
                  <c:v>46.03</c:v>
                </c:pt>
                <c:pt idx="50">
                  <c:v>45.99</c:v>
                </c:pt>
                <c:pt idx="51">
                  <c:v>45.6</c:v>
                </c:pt>
                <c:pt idx="52">
                  <c:v>46.07</c:v>
                </c:pt>
                <c:pt idx="53">
                  <c:v>45.85</c:v>
                </c:pt>
                <c:pt idx="54">
                  <c:v>46.36</c:v>
                </c:pt>
                <c:pt idx="55">
                  <c:v>46.04</c:v>
                </c:pt>
                <c:pt idx="56">
                  <c:v>46.44</c:v>
                </c:pt>
                <c:pt idx="57">
                  <c:v>46.9</c:v>
                </c:pt>
                <c:pt idx="58">
                  <c:v>47.14</c:v>
                </c:pt>
                <c:pt idx="59">
                  <c:v>46.9</c:v>
                </c:pt>
                <c:pt idx="60">
                  <c:v>46.76</c:v>
                </c:pt>
                <c:pt idx="61">
                  <c:v>46.03</c:v>
                </c:pt>
                <c:pt idx="62">
                  <c:v>46.49</c:v>
                </c:pt>
                <c:pt idx="63">
                  <c:v>46.51</c:v>
                </c:pt>
                <c:pt idx="64">
                  <c:v>46.82</c:v>
                </c:pt>
                <c:pt idx="65">
                  <c:v>47.01</c:v>
                </c:pt>
                <c:pt idx="66">
                  <c:v>47.06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2226472"/>
        <c:axId val="642226864"/>
      </c:lineChart>
      <c:catAx>
        <c:axId val="64222647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2226864"/>
        <c:crosses val="autoZero"/>
        <c:auto val="1"/>
        <c:lblAlgn val="ctr"/>
        <c:lblOffset val="100"/>
        <c:noMultiLvlLbl val="0"/>
      </c:catAx>
      <c:valAx>
        <c:axId val="642226864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22264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MU!$AA$1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MU!$W$2:$W$67</c:f>
              <c:numCache>
                <c:formatCode>d\-mmm\-yy</c:formatCode>
                <c:ptCount val="66"/>
                <c:pt idx="0">
                  <c:v>42768</c:v>
                </c:pt>
                <c:pt idx="1">
                  <c:v>42767</c:v>
                </c:pt>
                <c:pt idx="2">
                  <c:v>42766</c:v>
                </c:pt>
                <c:pt idx="3">
                  <c:v>42765</c:v>
                </c:pt>
                <c:pt idx="4">
                  <c:v>42762</c:v>
                </c:pt>
                <c:pt idx="5">
                  <c:v>42761</c:v>
                </c:pt>
                <c:pt idx="6">
                  <c:v>42760</c:v>
                </c:pt>
                <c:pt idx="7">
                  <c:v>42759</c:v>
                </c:pt>
                <c:pt idx="8">
                  <c:v>42758</c:v>
                </c:pt>
                <c:pt idx="9">
                  <c:v>42755</c:v>
                </c:pt>
                <c:pt idx="10">
                  <c:v>42754</c:v>
                </c:pt>
                <c:pt idx="11">
                  <c:v>42753</c:v>
                </c:pt>
                <c:pt idx="12">
                  <c:v>42752</c:v>
                </c:pt>
                <c:pt idx="13">
                  <c:v>42748</c:v>
                </c:pt>
                <c:pt idx="14">
                  <c:v>42747</c:v>
                </c:pt>
                <c:pt idx="15">
                  <c:v>42746</c:v>
                </c:pt>
                <c:pt idx="16">
                  <c:v>42745</c:v>
                </c:pt>
                <c:pt idx="17">
                  <c:v>42744</c:v>
                </c:pt>
                <c:pt idx="18">
                  <c:v>42741</c:v>
                </c:pt>
                <c:pt idx="19">
                  <c:v>42740</c:v>
                </c:pt>
                <c:pt idx="20">
                  <c:v>42739</c:v>
                </c:pt>
                <c:pt idx="21">
                  <c:v>42738</c:v>
                </c:pt>
                <c:pt idx="22">
                  <c:v>42734</c:v>
                </c:pt>
                <c:pt idx="23">
                  <c:v>42733</c:v>
                </c:pt>
                <c:pt idx="24">
                  <c:v>42732</c:v>
                </c:pt>
                <c:pt idx="25">
                  <c:v>42731</c:v>
                </c:pt>
                <c:pt idx="26">
                  <c:v>42727</c:v>
                </c:pt>
                <c:pt idx="27">
                  <c:v>42726</c:v>
                </c:pt>
                <c:pt idx="28">
                  <c:v>42725</c:v>
                </c:pt>
                <c:pt idx="29">
                  <c:v>42724</c:v>
                </c:pt>
                <c:pt idx="30">
                  <c:v>42723</c:v>
                </c:pt>
                <c:pt idx="31">
                  <c:v>42720</c:v>
                </c:pt>
                <c:pt idx="32">
                  <c:v>42719</c:v>
                </c:pt>
                <c:pt idx="33">
                  <c:v>42718</c:v>
                </c:pt>
                <c:pt idx="34">
                  <c:v>42717</c:v>
                </c:pt>
                <c:pt idx="35">
                  <c:v>42716</c:v>
                </c:pt>
                <c:pt idx="36">
                  <c:v>42713</c:v>
                </c:pt>
                <c:pt idx="37">
                  <c:v>42712</c:v>
                </c:pt>
                <c:pt idx="38">
                  <c:v>42711</c:v>
                </c:pt>
                <c:pt idx="39">
                  <c:v>42710</c:v>
                </c:pt>
                <c:pt idx="40">
                  <c:v>42709</c:v>
                </c:pt>
                <c:pt idx="41">
                  <c:v>42706</c:v>
                </c:pt>
                <c:pt idx="42">
                  <c:v>42705</c:v>
                </c:pt>
                <c:pt idx="43">
                  <c:v>42704</c:v>
                </c:pt>
                <c:pt idx="44">
                  <c:v>42703</c:v>
                </c:pt>
                <c:pt idx="45">
                  <c:v>42702</c:v>
                </c:pt>
                <c:pt idx="46">
                  <c:v>42699</c:v>
                </c:pt>
                <c:pt idx="47">
                  <c:v>42697</c:v>
                </c:pt>
                <c:pt idx="48">
                  <c:v>42696</c:v>
                </c:pt>
                <c:pt idx="49">
                  <c:v>42695</c:v>
                </c:pt>
                <c:pt idx="50">
                  <c:v>42692</c:v>
                </c:pt>
                <c:pt idx="51">
                  <c:v>42691</c:v>
                </c:pt>
                <c:pt idx="52">
                  <c:v>42690</c:v>
                </c:pt>
                <c:pt idx="53">
                  <c:v>42689</c:v>
                </c:pt>
                <c:pt idx="54">
                  <c:v>42688</c:v>
                </c:pt>
                <c:pt idx="55">
                  <c:v>42685</c:v>
                </c:pt>
                <c:pt idx="56">
                  <c:v>42684</c:v>
                </c:pt>
                <c:pt idx="57">
                  <c:v>42683</c:v>
                </c:pt>
                <c:pt idx="58">
                  <c:v>42682</c:v>
                </c:pt>
                <c:pt idx="59">
                  <c:v>42681</c:v>
                </c:pt>
                <c:pt idx="60">
                  <c:v>42678</c:v>
                </c:pt>
                <c:pt idx="61">
                  <c:v>42677</c:v>
                </c:pt>
                <c:pt idx="62">
                  <c:v>42676</c:v>
                </c:pt>
                <c:pt idx="63">
                  <c:v>42675</c:v>
                </c:pt>
                <c:pt idx="64">
                  <c:v>42674</c:v>
                </c:pt>
                <c:pt idx="65">
                  <c:v>42671</c:v>
                </c:pt>
              </c:numCache>
            </c:numRef>
          </c:cat>
          <c:val>
            <c:numRef>
              <c:f>MU!$AA$2:$AA$67</c:f>
              <c:numCache>
                <c:formatCode>General</c:formatCode>
                <c:ptCount val="66"/>
                <c:pt idx="0">
                  <c:v>24.79</c:v>
                </c:pt>
                <c:pt idx="1">
                  <c:v>24.75</c:v>
                </c:pt>
                <c:pt idx="2">
                  <c:v>24.11</c:v>
                </c:pt>
                <c:pt idx="3">
                  <c:v>24.18</c:v>
                </c:pt>
                <c:pt idx="4">
                  <c:v>23.97</c:v>
                </c:pt>
                <c:pt idx="5">
                  <c:v>23.52</c:v>
                </c:pt>
                <c:pt idx="6">
                  <c:v>23.56</c:v>
                </c:pt>
                <c:pt idx="7">
                  <c:v>22.85</c:v>
                </c:pt>
                <c:pt idx="8">
                  <c:v>21.89</c:v>
                </c:pt>
                <c:pt idx="9">
                  <c:v>21.96</c:v>
                </c:pt>
                <c:pt idx="10">
                  <c:v>21.71</c:v>
                </c:pt>
                <c:pt idx="11">
                  <c:v>22.32</c:v>
                </c:pt>
                <c:pt idx="12">
                  <c:v>21.74</c:v>
                </c:pt>
                <c:pt idx="13">
                  <c:v>22.18</c:v>
                </c:pt>
                <c:pt idx="14">
                  <c:v>22.31</c:v>
                </c:pt>
                <c:pt idx="15">
                  <c:v>22.79</c:v>
                </c:pt>
                <c:pt idx="16">
                  <c:v>22.48</c:v>
                </c:pt>
                <c:pt idx="17">
                  <c:v>22.34</c:v>
                </c:pt>
                <c:pt idx="18">
                  <c:v>22.04</c:v>
                </c:pt>
                <c:pt idx="19">
                  <c:v>22.11</c:v>
                </c:pt>
                <c:pt idx="20">
                  <c:v>22.36</c:v>
                </c:pt>
                <c:pt idx="21">
                  <c:v>22.55</c:v>
                </c:pt>
                <c:pt idx="22">
                  <c:v>21.92</c:v>
                </c:pt>
                <c:pt idx="23">
                  <c:v>22.27</c:v>
                </c:pt>
                <c:pt idx="24">
                  <c:v>22.78</c:v>
                </c:pt>
                <c:pt idx="25">
                  <c:v>23.3</c:v>
                </c:pt>
                <c:pt idx="26">
                  <c:v>23.26</c:v>
                </c:pt>
                <c:pt idx="27">
                  <c:v>23.19</c:v>
                </c:pt>
                <c:pt idx="28">
                  <c:v>20.58</c:v>
                </c:pt>
                <c:pt idx="29">
                  <c:v>20.65</c:v>
                </c:pt>
                <c:pt idx="30">
                  <c:v>20.350000000000001</c:v>
                </c:pt>
                <c:pt idx="31">
                  <c:v>20.27</c:v>
                </c:pt>
                <c:pt idx="32">
                  <c:v>20.29</c:v>
                </c:pt>
                <c:pt idx="33">
                  <c:v>20.02</c:v>
                </c:pt>
                <c:pt idx="34">
                  <c:v>20.13</c:v>
                </c:pt>
                <c:pt idx="35">
                  <c:v>20.02</c:v>
                </c:pt>
                <c:pt idx="36">
                  <c:v>20.5</c:v>
                </c:pt>
                <c:pt idx="37">
                  <c:v>20.66</c:v>
                </c:pt>
                <c:pt idx="38">
                  <c:v>20.440000000000001</c:v>
                </c:pt>
                <c:pt idx="39">
                  <c:v>19.059999999999999</c:v>
                </c:pt>
                <c:pt idx="40">
                  <c:v>18.61</c:v>
                </c:pt>
                <c:pt idx="41">
                  <c:v>18.79</c:v>
                </c:pt>
                <c:pt idx="42">
                  <c:v>18.48</c:v>
                </c:pt>
                <c:pt idx="43">
                  <c:v>19.53</c:v>
                </c:pt>
                <c:pt idx="44">
                  <c:v>19.420000000000002</c:v>
                </c:pt>
                <c:pt idx="45">
                  <c:v>19.989999999999998</c:v>
                </c:pt>
                <c:pt idx="46">
                  <c:v>20.13</c:v>
                </c:pt>
                <c:pt idx="47">
                  <c:v>19.91</c:v>
                </c:pt>
                <c:pt idx="48">
                  <c:v>19.739999999999998</c:v>
                </c:pt>
                <c:pt idx="49">
                  <c:v>19.489999999999998</c:v>
                </c:pt>
                <c:pt idx="50">
                  <c:v>19.21</c:v>
                </c:pt>
                <c:pt idx="51">
                  <c:v>19.18</c:v>
                </c:pt>
                <c:pt idx="52">
                  <c:v>18.239999999999998</c:v>
                </c:pt>
                <c:pt idx="53">
                  <c:v>18.100000000000001</c:v>
                </c:pt>
                <c:pt idx="54">
                  <c:v>17.71</c:v>
                </c:pt>
                <c:pt idx="55">
                  <c:v>17.670000000000002</c:v>
                </c:pt>
                <c:pt idx="56">
                  <c:v>16.989999999999998</c:v>
                </c:pt>
                <c:pt idx="57">
                  <c:v>17.2</c:v>
                </c:pt>
                <c:pt idx="58">
                  <c:v>17.41</c:v>
                </c:pt>
                <c:pt idx="59">
                  <c:v>17.38</c:v>
                </c:pt>
                <c:pt idx="60">
                  <c:v>16.68</c:v>
                </c:pt>
                <c:pt idx="61">
                  <c:v>16.62</c:v>
                </c:pt>
                <c:pt idx="62">
                  <c:v>16.68</c:v>
                </c:pt>
                <c:pt idx="63">
                  <c:v>16.98</c:v>
                </c:pt>
                <c:pt idx="64">
                  <c:v>17.16</c:v>
                </c:pt>
                <c:pt idx="65">
                  <c:v>17.2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2228824"/>
        <c:axId val="642229216"/>
      </c:lineChart>
      <c:dateAx>
        <c:axId val="64222882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2229216"/>
        <c:crosses val="autoZero"/>
        <c:auto val="1"/>
        <c:lblOffset val="100"/>
        <c:baseTimeUnit val="days"/>
      </c:dateAx>
      <c:valAx>
        <c:axId val="642229216"/>
        <c:scaling>
          <c:orientation val="minMax"/>
          <c:min val="9.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22288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IP!$AA$1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IP!$W$2:$W$67</c:f>
              <c:numCache>
                <c:formatCode>d\-mmm\-yy</c:formatCode>
                <c:ptCount val="66"/>
                <c:pt idx="0">
                  <c:v>42768</c:v>
                </c:pt>
                <c:pt idx="1">
                  <c:v>42767</c:v>
                </c:pt>
                <c:pt idx="2">
                  <c:v>42766</c:v>
                </c:pt>
                <c:pt idx="3">
                  <c:v>42765</c:v>
                </c:pt>
                <c:pt idx="4">
                  <c:v>42762</c:v>
                </c:pt>
                <c:pt idx="5">
                  <c:v>42761</c:v>
                </c:pt>
                <c:pt idx="6">
                  <c:v>42760</c:v>
                </c:pt>
                <c:pt idx="7">
                  <c:v>42759</c:v>
                </c:pt>
                <c:pt idx="8">
                  <c:v>42758</c:v>
                </c:pt>
                <c:pt idx="9">
                  <c:v>42755</c:v>
                </c:pt>
                <c:pt idx="10">
                  <c:v>42754</c:v>
                </c:pt>
                <c:pt idx="11">
                  <c:v>42753</c:v>
                </c:pt>
                <c:pt idx="12">
                  <c:v>42752</c:v>
                </c:pt>
                <c:pt idx="13">
                  <c:v>42748</c:v>
                </c:pt>
                <c:pt idx="14">
                  <c:v>42747</c:v>
                </c:pt>
                <c:pt idx="15">
                  <c:v>42746</c:v>
                </c:pt>
                <c:pt idx="16">
                  <c:v>42745</c:v>
                </c:pt>
                <c:pt idx="17">
                  <c:v>42744</c:v>
                </c:pt>
                <c:pt idx="18">
                  <c:v>42741</c:v>
                </c:pt>
                <c:pt idx="19">
                  <c:v>42740</c:v>
                </c:pt>
                <c:pt idx="20">
                  <c:v>42739</c:v>
                </c:pt>
                <c:pt idx="21">
                  <c:v>42738</c:v>
                </c:pt>
                <c:pt idx="22">
                  <c:v>42734</c:v>
                </c:pt>
                <c:pt idx="23">
                  <c:v>42733</c:v>
                </c:pt>
                <c:pt idx="24">
                  <c:v>42732</c:v>
                </c:pt>
                <c:pt idx="25">
                  <c:v>42731</c:v>
                </c:pt>
                <c:pt idx="26">
                  <c:v>42727</c:v>
                </c:pt>
                <c:pt idx="27">
                  <c:v>42726</c:v>
                </c:pt>
                <c:pt idx="28">
                  <c:v>42725</c:v>
                </c:pt>
                <c:pt idx="29">
                  <c:v>42724</c:v>
                </c:pt>
                <c:pt idx="30">
                  <c:v>42723</c:v>
                </c:pt>
                <c:pt idx="31">
                  <c:v>42720</c:v>
                </c:pt>
                <c:pt idx="32">
                  <c:v>42719</c:v>
                </c:pt>
                <c:pt idx="33">
                  <c:v>42718</c:v>
                </c:pt>
                <c:pt idx="34">
                  <c:v>42717</c:v>
                </c:pt>
                <c:pt idx="35">
                  <c:v>42716</c:v>
                </c:pt>
                <c:pt idx="36">
                  <c:v>42713</c:v>
                </c:pt>
                <c:pt idx="37">
                  <c:v>42712</c:v>
                </c:pt>
                <c:pt idx="38">
                  <c:v>42711</c:v>
                </c:pt>
                <c:pt idx="39">
                  <c:v>42710</c:v>
                </c:pt>
                <c:pt idx="40">
                  <c:v>42709</c:v>
                </c:pt>
                <c:pt idx="41">
                  <c:v>42706</c:v>
                </c:pt>
                <c:pt idx="42">
                  <c:v>42705</c:v>
                </c:pt>
                <c:pt idx="43">
                  <c:v>42704</c:v>
                </c:pt>
                <c:pt idx="44">
                  <c:v>42703</c:v>
                </c:pt>
                <c:pt idx="45">
                  <c:v>42702</c:v>
                </c:pt>
                <c:pt idx="46">
                  <c:v>42699</c:v>
                </c:pt>
                <c:pt idx="47">
                  <c:v>42697</c:v>
                </c:pt>
                <c:pt idx="48">
                  <c:v>42696</c:v>
                </c:pt>
                <c:pt idx="49">
                  <c:v>42695</c:v>
                </c:pt>
                <c:pt idx="50">
                  <c:v>42692</c:v>
                </c:pt>
                <c:pt idx="51">
                  <c:v>42691</c:v>
                </c:pt>
                <c:pt idx="52">
                  <c:v>42690</c:v>
                </c:pt>
                <c:pt idx="53">
                  <c:v>42689</c:v>
                </c:pt>
                <c:pt idx="54">
                  <c:v>42688</c:v>
                </c:pt>
                <c:pt idx="55">
                  <c:v>42685</c:v>
                </c:pt>
                <c:pt idx="56">
                  <c:v>42684</c:v>
                </c:pt>
                <c:pt idx="57">
                  <c:v>42684</c:v>
                </c:pt>
                <c:pt idx="58">
                  <c:v>42683</c:v>
                </c:pt>
                <c:pt idx="59">
                  <c:v>42682</c:v>
                </c:pt>
                <c:pt idx="60">
                  <c:v>42681</c:v>
                </c:pt>
                <c:pt idx="61">
                  <c:v>42678</c:v>
                </c:pt>
                <c:pt idx="62">
                  <c:v>42677</c:v>
                </c:pt>
                <c:pt idx="63">
                  <c:v>42676</c:v>
                </c:pt>
                <c:pt idx="64">
                  <c:v>42675</c:v>
                </c:pt>
                <c:pt idx="65">
                  <c:v>42674</c:v>
                </c:pt>
              </c:numCache>
            </c:numRef>
          </c:cat>
          <c:val>
            <c:numRef>
              <c:f>IP!$AA$2:$AA$67</c:f>
              <c:numCache>
                <c:formatCode>0.00</c:formatCode>
                <c:ptCount val="66"/>
                <c:pt idx="0">
                  <c:v>53.35</c:v>
                </c:pt>
                <c:pt idx="1">
                  <c:v>56.5</c:v>
                </c:pt>
                <c:pt idx="2">
                  <c:v>56.6</c:v>
                </c:pt>
                <c:pt idx="3">
                  <c:v>56.89</c:v>
                </c:pt>
                <c:pt idx="4">
                  <c:v>57.34</c:v>
                </c:pt>
                <c:pt idx="5">
                  <c:v>57.51</c:v>
                </c:pt>
                <c:pt idx="6">
                  <c:v>57.99</c:v>
                </c:pt>
                <c:pt idx="7">
                  <c:v>55.9</c:v>
                </c:pt>
                <c:pt idx="8">
                  <c:v>54.31</c:v>
                </c:pt>
                <c:pt idx="9">
                  <c:v>53.69</c:v>
                </c:pt>
                <c:pt idx="10">
                  <c:v>52.68</c:v>
                </c:pt>
                <c:pt idx="11">
                  <c:v>53.03</c:v>
                </c:pt>
                <c:pt idx="12">
                  <c:v>52.99</c:v>
                </c:pt>
                <c:pt idx="13">
                  <c:v>53.55</c:v>
                </c:pt>
                <c:pt idx="14">
                  <c:v>53.67</c:v>
                </c:pt>
                <c:pt idx="15">
                  <c:v>54.14</c:v>
                </c:pt>
                <c:pt idx="16">
                  <c:v>53.78</c:v>
                </c:pt>
                <c:pt idx="17">
                  <c:v>53.62</c:v>
                </c:pt>
                <c:pt idx="18">
                  <c:v>53.72</c:v>
                </c:pt>
                <c:pt idx="19">
                  <c:v>53.61</c:v>
                </c:pt>
                <c:pt idx="20">
                  <c:v>54.05</c:v>
                </c:pt>
                <c:pt idx="21">
                  <c:v>53.39</c:v>
                </c:pt>
                <c:pt idx="22">
                  <c:v>53.06</c:v>
                </c:pt>
                <c:pt idx="23">
                  <c:v>53.37</c:v>
                </c:pt>
                <c:pt idx="24">
                  <c:v>53.38</c:v>
                </c:pt>
                <c:pt idx="25">
                  <c:v>54.28</c:v>
                </c:pt>
                <c:pt idx="26">
                  <c:v>54.03</c:v>
                </c:pt>
                <c:pt idx="27">
                  <c:v>53.79</c:v>
                </c:pt>
                <c:pt idx="28">
                  <c:v>53.95</c:v>
                </c:pt>
                <c:pt idx="29">
                  <c:v>53.99</c:v>
                </c:pt>
                <c:pt idx="30">
                  <c:v>53.68</c:v>
                </c:pt>
                <c:pt idx="31">
                  <c:v>53.75</c:v>
                </c:pt>
                <c:pt idx="32">
                  <c:v>53.6</c:v>
                </c:pt>
                <c:pt idx="33">
                  <c:v>52.92</c:v>
                </c:pt>
                <c:pt idx="34">
                  <c:v>53.29</c:v>
                </c:pt>
                <c:pt idx="35">
                  <c:v>53.6</c:v>
                </c:pt>
                <c:pt idx="36">
                  <c:v>53.83</c:v>
                </c:pt>
                <c:pt idx="37">
                  <c:v>53.66</c:v>
                </c:pt>
                <c:pt idx="38">
                  <c:v>53.3</c:v>
                </c:pt>
                <c:pt idx="39">
                  <c:v>51.77</c:v>
                </c:pt>
                <c:pt idx="40">
                  <c:v>51.41</c:v>
                </c:pt>
                <c:pt idx="41">
                  <c:v>50.46</c:v>
                </c:pt>
                <c:pt idx="42">
                  <c:v>49.73</c:v>
                </c:pt>
                <c:pt idx="43">
                  <c:v>48.72</c:v>
                </c:pt>
                <c:pt idx="44">
                  <c:v>48.84</c:v>
                </c:pt>
                <c:pt idx="45">
                  <c:v>48.69</c:v>
                </c:pt>
                <c:pt idx="46">
                  <c:v>48.85</c:v>
                </c:pt>
                <c:pt idx="47">
                  <c:v>48.72</c:v>
                </c:pt>
                <c:pt idx="48">
                  <c:v>48.58</c:v>
                </c:pt>
                <c:pt idx="49">
                  <c:v>48.31</c:v>
                </c:pt>
                <c:pt idx="50">
                  <c:v>48.45</c:v>
                </c:pt>
                <c:pt idx="51">
                  <c:v>48.32</c:v>
                </c:pt>
                <c:pt idx="52">
                  <c:v>47.94</c:v>
                </c:pt>
                <c:pt idx="53">
                  <c:v>47.75</c:v>
                </c:pt>
                <c:pt idx="54">
                  <c:v>47.21</c:v>
                </c:pt>
                <c:pt idx="55">
                  <c:v>45.66</c:v>
                </c:pt>
                <c:pt idx="56">
                  <c:v>45.81</c:v>
                </c:pt>
                <c:pt idx="58">
                  <c:v>45.65</c:v>
                </c:pt>
                <c:pt idx="59">
                  <c:v>44.75</c:v>
                </c:pt>
                <c:pt idx="60">
                  <c:v>44.47</c:v>
                </c:pt>
                <c:pt idx="61">
                  <c:v>43.98</c:v>
                </c:pt>
                <c:pt idx="62">
                  <c:v>43.6</c:v>
                </c:pt>
                <c:pt idx="63">
                  <c:v>44.18</c:v>
                </c:pt>
                <c:pt idx="64">
                  <c:v>44.22</c:v>
                </c:pt>
                <c:pt idx="65">
                  <c:v>45.03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2231176"/>
        <c:axId val="642231568"/>
      </c:lineChart>
      <c:dateAx>
        <c:axId val="64223117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2231568"/>
        <c:crosses val="autoZero"/>
        <c:auto val="1"/>
        <c:lblOffset val="100"/>
        <c:baseTimeUnit val="days"/>
      </c:dateAx>
      <c:valAx>
        <c:axId val="642231568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22311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2-Feb-17</c:v>
                </c:pt>
                <c:pt idx="1">
                  <c:v>1-Feb-17</c:v>
                </c:pt>
                <c:pt idx="2">
                  <c:v>31-Jan-17</c:v>
                </c:pt>
                <c:pt idx="3">
                  <c:v>30-Jan-17</c:v>
                </c:pt>
                <c:pt idx="4">
                  <c:v>27-Jan-17</c:v>
                </c:pt>
                <c:pt idx="5">
                  <c:v>26-Jan-17</c:v>
                </c:pt>
                <c:pt idx="6">
                  <c:v>25-Jan-17</c:v>
                </c:pt>
                <c:pt idx="7">
                  <c:v>24-Jan-17</c:v>
                </c:pt>
                <c:pt idx="8">
                  <c:v>23-Jan-17</c:v>
                </c:pt>
                <c:pt idx="9">
                  <c:v>20-Jan-17</c:v>
                </c:pt>
                <c:pt idx="10">
                  <c:v>19-Jan-17</c:v>
                </c:pt>
                <c:pt idx="11">
                  <c:v>18-Jan-17</c:v>
                </c:pt>
                <c:pt idx="12">
                  <c:v>17-Jan-17</c:v>
                </c:pt>
                <c:pt idx="13">
                  <c:v>13-Jan-17</c:v>
                </c:pt>
                <c:pt idx="14">
                  <c:v>12-Jan-17</c:v>
                </c:pt>
                <c:pt idx="15">
                  <c:v>11-Jan-17</c:v>
                </c:pt>
                <c:pt idx="16">
                  <c:v>10-Jan-17</c:v>
                </c:pt>
                <c:pt idx="17">
                  <c:v>9-Jan-17</c:v>
                </c:pt>
                <c:pt idx="18">
                  <c:v>6-Jan-17</c:v>
                </c:pt>
                <c:pt idx="19">
                  <c:v>5-Jan-17</c:v>
                </c:pt>
                <c:pt idx="20">
                  <c:v>4-Jan-17</c:v>
                </c:pt>
                <c:pt idx="21">
                  <c:v>3-Jan-17</c:v>
                </c:pt>
                <c:pt idx="22">
                  <c:v>30-Dec-16</c:v>
                </c:pt>
                <c:pt idx="23">
                  <c:v>29-Dec-16</c:v>
                </c:pt>
                <c:pt idx="24">
                  <c:v>28-Dec-16</c:v>
                </c:pt>
                <c:pt idx="25">
                  <c:v>27-Dec-16</c:v>
                </c:pt>
                <c:pt idx="26">
                  <c:v>23-Dec-16</c:v>
                </c:pt>
                <c:pt idx="27">
                  <c:v>22-Dec-16</c:v>
                </c:pt>
                <c:pt idx="28">
                  <c:v>21-Dec-16</c:v>
                </c:pt>
                <c:pt idx="29">
                  <c:v>20-Dec-16</c:v>
                </c:pt>
                <c:pt idx="30">
                  <c:v>19-Dec-16</c:v>
                </c:pt>
                <c:pt idx="31">
                  <c:v>16-Dec-16</c:v>
                </c:pt>
                <c:pt idx="32">
                  <c:v>15-Dec-16</c:v>
                </c:pt>
                <c:pt idx="33">
                  <c:v>14-Dec-16</c:v>
                </c:pt>
                <c:pt idx="34">
                  <c:v>13-Dec-16</c:v>
                </c:pt>
                <c:pt idx="35">
                  <c:v>12-Dec-16</c:v>
                </c:pt>
                <c:pt idx="36">
                  <c:v>9-Dec-16</c:v>
                </c:pt>
                <c:pt idx="37">
                  <c:v>8-Dec-16</c:v>
                </c:pt>
                <c:pt idx="38">
                  <c:v>7-Dec-16</c:v>
                </c:pt>
                <c:pt idx="39">
                  <c:v>6-Dec-16</c:v>
                </c:pt>
                <c:pt idx="40">
                  <c:v>5-Dec-16</c:v>
                </c:pt>
                <c:pt idx="41">
                  <c:v>2-Dec-16</c:v>
                </c:pt>
                <c:pt idx="42">
                  <c:v>1-Dec-16</c:v>
                </c:pt>
                <c:pt idx="43">
                  <c:v>30-Nov-16</c:v>
                </c:pt>
                <c:pt idx="44">
                  <c:v>29-Nov-16</c:v>
                </c:pt>
                <c:pt idx="45">
                  <c:v>28-Nov-16</c:v>
                </c:pt>
                <c:pt idx="46">
                  <c:v>25-Nov-16</c:v>
                </c:pt>
                <c:pt idx="47">
                  <c:v>23-Nov-16</c:v>
                </c:pt>
                <c:pt idx="48">
                  <c:v>22-Nov-16</c:v>
                </c:pt>
                <c:pt idx="49">
                  <c:v>21-Nov-16</c:v>
                </c:pt>
                <c:pt idx="50">
                  <c:v>18-Nov-16</c:v>
                </c:pt>
                <c:pt idx="51">
                  <c:v>17-Nov-16</c:v>
                </c:pt>
                <c:pt idx="52">
                  <c:v>16-Nov-16</c:v>
                </c:pt>
                <c:pt idx="53">
                  <c:v>15-Nov-16</c:v>
                </c:pt>
                <c:pt idx="54">
                  <c:v>14-Nov-16</c:v>
                </c:pt>
                <c:pt idx="55">
                  <c:v>11-Nov-16</c:v>
                </c:pt>
                <c:pt idx="56">
                  <c:v>10-Nov-16</c:v>
                </c:pt>
                <c:pt idx="57">
                  <c:v>9-Nov-16</c:v>
                </c:pt>
                <c:pt idx="58">
                  <c:v>8-Nov-16</c:v>
                </c:pt>
                <c:pt idx="59">
                  <c:v>7-Nov-16</c:v>
                </c:pt>
                <c:pt idx="60">
                  <c:v>4-Nov-16</c:v>
                </c:pt>
                <c:pt idx="61">
                  <c:v>3-Nov-16</c:v>
                </c:pt>
                <c:pt idx="62">
                  <c:v>3-Nov-16</c:v>
                </c:pt>
                <c:pt idx="63">
                  <c:v>2-Nov-16</c:v>
                </c:pt>
                <c:pt idx="64">
                  <c:v>1-Nov-16</c:v>
                </c:pt>
                <c:pt idx="65">
                  <c:v>31-Oct-16</c:v>
                </c:pt>
                <c:pt idx="66">
                  <c:v>28-Oct-16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36.68</c:v>
                </c:pt>
                <c:pt idx="1">
                  <c:v>36.520000000000003</c:v>
                </c:pt>
                <c:pt idx="2">
                  <c:v>36.82</c:v>
                </c:pt>
                <c:pt idx="3">
                  <c:v>37.42</c:v>
                </c:pt>
                <c:pt idx="4">
                  <c:v>37.979999999999997</c:v>
                </c:pt>
                <c:pt idx="5">
                  <c:v>37.56</c:v>
                </c:pt>
                <c:pt idx="6">
                  <c:v>37.799999999999997</c:v>
                </c:pt>
                <c:pt idx="7">
                  <c:v>37.619999999999997</c:v>
                </c:pt>
                <c:pt idx="8">
                  <c:v>36.770000000000003</c:v>
                </c:pt>
                <c:pt idx="9">
                  <c:v>36.94</c:v>
                </c:pt>
                <c:pt idx="10">
                  <c:v>36.57</c:v>
                </c:pt>
                <c:pt idx="11">
                  <c:v>36.76</c:v>
                </c:pt>
                <c:pt idx="12">
                  <c:v>36.799999999999997</c:v>
                </c:pt>
                <c:pt idx="13">
                  <c:v>36.79</c:v>
                </c:pt>
                <c:pt idx="14">
                  <c:v>36.71</c:v>
                </c:pt>
                <c:pt idx="15">
                  <c:v>36.950000000000003</c:v>
                </c:pt>
                <c:pt idx="16">
                  <c:v>36.54</c:v>
                </c:pt>
                <c:pt idx="17">
                  <c:v>36.61</c:v>
                </c:pt>
                <c:pt idx="18">
                  <c:v>36.479999999999997</c:v>
                </c:pt>
                <c:pt idx="19">
                  <c:v>36.35</c:v>
                </c:pt>
                <c:pt idx="20">
                  <c:v>36.409999999999997</c:v>
                </c:pt>
                <c:pt idx="21">
                  <c:v>36.6</c:v>
                </c:pt>
                <c:pt idx="22">
                  <c:v>36.270000000000003</c:v>
                </c:pt>
                <c:pt idx="23">
                  <c:v>36.659999999999997</c:v>
                </c:pt>
                <c:pt idx="24">
                  <c:v>36.630000000000003</c:v>
                </c:pt>
                <c:pt idx="25">
                  <c:v>37.07</c:v>
                </c:pt>
                <c:pt idx="26">
                  <c:v>36.97</c:v>
                </c:pt>
                <c:pt idx="27">
                  <c:v>36.93</c:v>
                </c:pt>
                <c:pt idx="28">
                  <c:v>36.979999999999997</c:v>
                </c:pt>
                <c:pt idx="29">
                  <c:v>37.21</c:v>
                </c:pt>
                <c:pt idx="30">
                  <c:v>36.89</c:v>
                </c:pt>
                <c:pt idx="31">
                  <c:v>36.31</c:v>
                </c:pt>
                <c:pt idx="32">
                  <c:v>36.79</c:v>
                </c:pt>
                <c:pt idx="33">
                  <c:v>36.549999999999997</c:v>
                </c:pt>
                <c:pt idx="34">
                  <c:v>36.799999999999997</c:v>
                </c:pt>
                <c:pt idx="35">
                  <c:v>35.97</c:v>
                </c:pt>
                <c:pt idx="36">
                  <c:v>35.76</c:v>
                </c:pt>
                <c:pt idx="37">
                  <c:v>35.700000000000003</c:v>
                </c:pt>
                <c:pt idx="38">
                  <c:v>35.5</c:v>
                </c:pt>
                <c:pt idx="39">
                  <c:v>34.72</c:v>
                </c:pt>
                <c:pt idx="40">
                  <c:v>34.39</c:v>
                </c:pt>
                <c:pt idx="41">
                  <c:v>34.159999999999997</c:v>
                </c:pt>
                <c:pt idx="42">
                  <c:v>33.76</c:v>
                </c:pt>
                <c:pt idx="43">
                  <c:v>34.700000000000003</c:v>
                </c:pt>
                <c:pt idx="44">
                  <c:v>35.31</c:v>
                </c:pt>
                <c:pt idx="45">
                  <c:v>35.51</c:v>
                </c:pt>
                <c:pt idx="46">
                  <c:v>35.44</c:v>
                </c:pt>
                <c:pt idx="47">
                  <c:v>35.200000000000003</c:v>
                </c:pt>
                <c:pt idx="48">
                  <c:v>35.479999999999997</c:v>
                </c:pt>
                <c:pt idx="49">
                  <c:v>34.979999999999997</c:v>
                </c:pt>
                <c:pt idx="50">
                  <c:v>34.950000000000003</c:v>
                </c:pt>
                <c:pt idx="51">
                  <c:v>35.020000000000003</c:v>
                </c:pt>
                <c:pt idx="52">
                  <c:v>34.840000000000003</c:v>
                </c:pt>
                <c:pt idx="53">
                  <c:v>34.909999999999997</c:v>
                </c:pt>
                <c:pt idx="54">
                  <c:v>34.479999999999997</c:v>
                </c:pt>
                <c:pt idx="55">
                  <c:v>34.61</c:v>
                </c:pt>
                <c:pt idx="56">
                  <c:v>34.5</c:v>
                </c:pt>
                <c:pt idx="57">
                  <c:v>34.75</c:v>
                </c:pt>
                <c:pt idx="58">
                  <c:v>34.74</c:v>
                </c:pt>
                <c:pt idx="59">
                  <c:v>34.69</c:v>
                </c:pt>
                <c:pt idx="60">
                  <c:v>33.61</c:v>
                </c:pt>
                <c:pt idx="61">
                  <c:v>33.93</c:v>
                </c:pt>
                <c:pt idx="63">
                  <c:v>34.6</c:v>
                </c:pt>
                <c:pt idx="64">
                  <c:v>34.520000000000003</c:v>
                </c:pt>
                <c:pt idx="65">
                  <c:v>34.869999999999997</c:v>
                </c:pt>
                <c:pt idx="66">
                  <c:v>34.74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2233528"/>
        <c:axId val="642233920"/>
      </c:lineChart>
      <c:catAx>
        <c:axId val="64223352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2233920"/>
        <c:crosses val="autoZero"/>
        <c:auto val="1"/>
        <c:lblAlgn val="ctr"/>
        <c:lblOffset val="100"/>
        <c:noMultiLvlLbl val="0"/>
      </c:catAx>
      <c:valAx>
        <c:axId val="642233920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22335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42768</c:v>
                </c:pt>
                <c:pt idx="1">
                  <c:v>42767</c:v>
                </c:pt>
                <c:pt idx="2">
                  <c:v>42766</c:v>
                </c:pt>
                <c:pt idx="3">
                  <c:v>42765</c:v>
                </c:pt>
                <c:pt idx="4">
                  <c:v>42762</c:v>
                </c:pt>
                <c:pt idx="5">
                  <c:v>42761</c:v>
                </c:pt>
                <c:pt idx="6">
                  <c:v>42760</c:v>
                </c:pt>
                <c:pt idx="7">
                  <c:v>42759</c:v>
                </c:pt>
                <c:pt idx="8">
                  <c:v>42758</c:v>
                </c:pt>
                <c:pt idx="9">
                  <c:v>42755</c:v>
                </c:pt>
                <c:pt idx="10">
                  <c:v>42754</c:v>
                </c:pt>
                <c:pt idx="11">
                  <c:v>42753</c:v>
                </c:pt>
                <c:pt idx="12">
                  <c:v>42752</c:v>
                </c:pt>
                <c:pt idx="13">
                  <c:v>42748</c:v>
                </c:pt>
                <c:pt idx="14">
                  <c:v>42747</c:v>
                </c:pt>
                <c:pt idx="15">
                  <c:v>42746</c:v>
                </c:pt>
                <c:pt idx="16">
                  <c:v>42745</c:v>
                </c:pt>
                <c:pt idx="17">
                  <c:v>42744</c:v>
                </c:pt>
                <c:pt idx="18">
                  <c:v>42741</c:v>
                </c:pt>
                <c:pt idx="19">
                  <c:v>42740</c:v>
                </c:pt>
                <c:pt idx="20">
                  <c:v>42739</c:v>
                </c:pt>
                <c:pt idx="21">
                  <c:v>42738</c:v>
                </c:pt>
                <c:pt idx="22">
                  <c:v>42734</c:v>
                </c:pt>
                <c:pt idx="23">
                  <c:v>42733</c:v>
                </c:pt>
                <c:pt idx="24">
                  <c:v>42732</c:v>
                </c:pt>
                <c:pt idx="25">
                  <c:v>42731</c:v>
                </c:pt>
                <c:pt idx="26">
                  <c:v>42727</c:v>
                </c:pt>
                <c:pt idx="27">
                  <c:v>42726</c:v>
                </c:pt>
                <c:pt idx="28">
                  <c:v>42725</c:v>
                </c:pt>
                <c:pt idx="29">
                  <c:v>42724</c:v>
                </c:pt>
                <c:pt idx="30">
                  <c:v>42723</c:v>
                </c:pt>
                <c:pt idx="31">
                  <c:v>42720</c:v>
                </c:pt>
                <c:pt idx="32">
                  <c:v>42719</c:v>
                </c:pt>
                <c:pt idx="33">
                  <c:v>42719</c:v>
                </c:pt>
                <c:pt idx="34">
                  <c:v>42718</c:v>
                </c:pt>
                <c:pt idx="35">
                  <c:v>42717</c:v>
                </c:pt>
                <c:pt idx="36">
                  <c:v>42716</c:v>
                </c:pt>
                <c:pt idx="37">
                  <c:v>42713</c:v>
                </c:pt>
                <c:pt idx="38">
                  <c:v>42712</c:v>
                </c:pt>
                <c:pt idx="39">
                  <c:v>42711</c:v>
                </c:pt>
                <c:pt idx="40">
                  <c:v>42710</c:v>
                </c:pt>
                <c:pt idx="41">
                  <c:v>42709</c:v>
                </c:pt>
                <c:pt idx="42">
                  <c:v>42706</c:v>
                </c:pt>
                <c:pt idx="43">
                  <c:v>42705</c:v>
                </c:pt>
                <c:pt idx="44">
                  <c:v>42704</c:v>
                </c:pt>
                <c:pt idx="45">
                  <c:v>42703</c:v>
                </c:pt>
                <c:pt idx="46">
                  <c:v>42702</c:v>
                </c:pt>
                <c:pt idx="47">
                  <c:v>42699</c:v>
                </c:pt>
                <c:pt idx="48">
                  <c:v>42697</c:v>
                </c:pt>
                <c:pt idx="49">
                  <c:v>42696</c:v>
                </c:pt>
                <c:pt idx="50">
                  <c:v>42695</c:v>
                </c:pt>
                <c:pt idx="51">
                  <c:v>42692</c:v>
                </c:pt>
                <c:pt idx="52">
                  <c:v>42691</c:v>
                </c:pt>
                <c:pt idx="53">
                  <c:v>42690</c:v>
                </c:pt>
                <c:pt idx="54">
                  <c:v>42689</c:v>
                </c:pt>
                <c:pt idx="55">
                  <c:v>42688</c:v>
                </c:pt>
                <c:pt idx="56">
                  <c:v>42685</c:v>
                </c:pt>
                <c:pt idx="57">
                  <c:v>42684</c:v>
                </c:pt>
                <c:pt idx="58">
                  <c:v>42683</c:v>
                </c:pt>
                <c:pt idx="59">
                  <c:v>42682</c:v>
                </c:pt>
                <c:pt idx="60">
                  <c:v>42681</c:v>
                </c:pt>
                <c:pt idx="61">
                  <c:v>42678</c:v>
                </c:pt>
                <c:pt idx="62">
                  <c:v>42677</c:v>
                </c:pt>
                <c:pt idx="63">
                  <c:v>42676</c:v>
                </c:pt>
                <c:pt idx="64">
                  <c:v>42675</c:v>
                </c:pt>
                <c:pt idx="65">
                  <c:v>42674</c:v>
                </c:pt>
                <c:pt idx="66">
                  <c:v>42671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53.96</c:v>
                </c:pt>
                <c:pt idx="1">
                  <c:v>53.51</c:v>
                </c:pt>
                <c:pt idx="2">
                  <c:v>54.18</c:v>
                </c:pt>
                <c:pt idx="3">
                  <c:v>53.94</c:v>
                </c:pt>
                <c:pt idx="4">
                  <c:v>54.87</c:v>
                </c:pt>
                <c:pt idx="5">
                  <c:v>56.17</c:v>
                </c:pt>
                <c:pt idx="6">
                  <c:v>56.46</c:v>
                </c:pt>
                <c:pt idx="7">
                  <c:v>57.52</c:v>
                </c:pt>
                <c:pt idx="8">
                  <c:v>57.15</c:v>
                </c:pt>
                <c:pt idx="9">
                  <c:v>57.98</c:v>
                </c:pt>
                <c:pt idx="10">
                  <c:v>57.72</c:v>
                </c:pt>
                <c:pt idx="11">
                  <c:v>58.83</c:v>
                </c:pt>
                <c:pt idx="12">
                  <c:v>59.3</c:v>
                </c:pt>
                <c:pt idx="13">
                  <c:v>58.89</c:v>
                </c:pt>
                <c:pt idx="14">
                  <c:v>58.85</c:v>
                </c:pt>
                <c:pt idx="15">
                  <c:v>61.84</c:v>
                </c:pt>
                <c:pt idx="16">
                  <c:v>61.45</c:v>
                </c:pt>
                <c:pt idx="17">
                  <c:v>60.61</c:v>
                </c:pt>
                <c:pt idx="18">
                  <c:v>61.9</c:v>
                </c:pt>
                <c:pt idx="19">
                  <c:v>62.1</c:v>
                </c:pt>
                <c:pt idx="20">
                  <c:v>61.93</c:v>
                </c:pt>
                <c:pt idx="21">
                  <c:v>62.82</c:v>
                </c:pt>
                <c:pt idx="22">
                  <c:v>62.29</c:v>
                </c:pt>
                <c:pt idx="23">
                  <c:v>62.9</c:v>
                </c:pt>
                <c:pt idx="24">
                  <c:v>63.48</c:v>
                </c:pt>
                <c:pt idx="25">
                  <c:v>64.41</c:v>
                </c:pt>
                <c:pt idx="26">
                  <c:v>63.78</c:v>
                </c:pt>
                <c:pt idx="27">
                  <c:v>63.71</c:v>
                </c:pt>
                <c:pt idx="28">
                  <c:v>63.56</c:v>
                </c:pt>
                <c:pt idx="29">
                  <c:v>63.39</c:v>
                </c:pt>
                <c:pt idx="30">
                  <c:v>63.37</c:v>
                </c:pt>
                <c:pt idx="31">
                  <c:v>62.5</c:v>
                </c:pt>
                <c:pt idx="32">
                  <c:v>62.68</c:v>
                </c:pt>
                <c:pt idx="34">
                  <c:v>63.17</c:v>
                </c:pt>
                <c:pt idx="35">
                  <c:v>65.14</c:v>
                </c:pt>
                <c:pt idx="36">
                  <c:v>62.9</c:v>
                </c:pt>
                <c:pt idx="37">
                  <c:v>62.76</c:v>
                </c:pt>
                <c:pt idx="38">
                  <c:v>61.67</c:v>
                </c:pt>
                <c:pt idx="39">
                  <c:v>60.95</c:v>
                </c:pt>
                <c:pt idx="40">
                  <c:v>59.81</c:v>
                </c:pt>
                <c:pt idx="41">
                  <c:v>59</c:v>
                </c:pt>
                <c:pt idx="42">
                  <c:v>57.92</c:v>
                </c:pt>
                <c:pt idx="43">
                  <c:v>56.11</c:v>
                </c:pt>
                <c:pt idx="44">
                  <c:v>55.96</c:v>
                </c:pt>
                <c:pt idx="45">
                  <c:v>49.05</c:v>
                </c:pt>
                <c:pt idx="46">
                  <c:v>51</c:v>
                </c:pt>
                <c:pt idx="47">
                  <c:v>52.73</c:v>
                </c:pt>
                <c:pt idx="48">
                  <c:v>53.2</c:v>
                </c:pt>
                <c:pt idx="49">
                  <c:v>52.62</c:v>
                </c:pt>
                <c:pt idx="50">
                  <c:v>52.81</c:v>
                </c:pt>
                <c:pt idx="51">
                  <c:v>50.97</c:v>
                </c:pt>
                <c:pt idx="52">
                  <c:v>50.5</c:v>
                </c:pt>
                <c:pt idx="53">
                  <c:v>50.82</c:v>
                </c:pt>
                <c:pt idx="54">
                  <c:v>50.59</c:v>
                </c:pt>
                <c:pt idx="55">
                  <c:v>48.07</c:v>
                </c:pt>
                <c:pt idx="56">
                  <c:v>47.58</c:v>
                </c:pt>
                <c:pt idx="57">
                  <c:v>49.64</c:v>
                </c:pt>
                <c:pt idx="58">
                  <c:v>49</c:v>
                </c:pt>
                <c:pt idx="59">
                  <c:v>47.74</c:v>
                </c:pt>
                <c:pt idx="60">
                  <c:v>47.44</c:v>
                </c:pt>
                <c:pt idx="61">
                  <c:v>46.42</c:v>
                </c:pt>
                <c:pt idx="62">
                  <c:v>47.09</c:v>
                </c:pt>
                <c:pt idx="63">
                  <c:v>47.09</c:v>
                </c:pt>
                <c:pt idx="64">
                  <c:v>47.85</c:v>
                </c:pt>
                <c:pt idx="65">
                  <c:v>47.97</c:v>
                </c:pt>
                <c:pt idx="66">
                  <c:v>50.3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2030208"/>
        <c:axId val="652030600"/>
      </c:lineChart>
      <c:dateAx>
        <c:axId val="65203020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2030600"/>
        <c:crosses val="autoZero"/>
        <c:auto val="1"/>
        <c:lblOffset val="100"/>
        <c:baseTimeUnit val="days"/>
      </c:dateAx>
      <c:valAx>
        <c:axId val="652030600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20302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660411081322611E-2"/>
          <c:y val="0.18300925925925926"/>
          <c:w val="0.93749931392624175"/>
          <c:h val="0.60801691455234763"/>
        </c:manualLayout>
      </c:layout>
      <c:lineChart>
        <c:grouping val="standard"/>
        <c:varyColors val="0"/>
        <c:ser>
          <c:idx val="0"/>
          <c:order val="0"/>
          <c:tx>
            <c:strRef>
              <c:f>UNP!$AA$1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UNP!$W$2:$W$69</c:f>
              <c:strCache>
                <c:ptCount val="68"/>
                <c:pt idx="0">
                  <c:v>2-Feb-17</c:v>
                </c:pt>
                <c:pt idx="1">
                  <c:v>1-Feb-17</c:v>
                </c:pt>
                <c:pt idx="2">
                  <c:v>31-Jan-17</c:v>
                </c:pt>
                <c:pt idx="3">
                  <c:v>30-Jan-17</c:v>
                </c:pt>
                <c:pt idx="4">
                  <c:v>27-Jan-17</c:v>
                </c:pt>
                <c:pt idx="5">
                  <c:v>26-Jan-17</c:v>
                </c:pt>
                <c:pt idx="6">
                  <c:v>25-Jan-17</c:v>
                </c:pt>
                <c:pt idx="7">
                  <c:v>24-Jan-17</c:v>
                </c:pt>
                <c:pt idx="8">
                  <c:v>23-Jan-17</c:v>
                </c:pt>
                <c:pt idx="9">
                  <c:v>20-Jan-17</c:v>
                </c:pt>
                <c:pt idx="10">
                  <c:v>19-Jan-17</c:v>
                </c:pt>
                <c:pt idx="11">
                  <c:v>18-Jan-17</c:v>
                </c:pt>
                <c:pt idx="12">
                  <c:v>17-Jan-17</c:v>
                </c:pt>
                <c:pt idx="13">
                  <c:v>13-Jan-17</c:v>
                </c:pt>
                <c:pt idx="14">
                  <c:v>12-Jan-17</c:v>
                </c:pt>
                <c:pt idx="15">
                  <c:v>11-Jan-17</c:v>
                </c:pt>
                <c:pt idx="16">
                  <c:v>10-Jan-17</c:v>
                </c:pt>
                <c:pt idx="17">
                  <c:v>9-Jan-17</c:v>
                </c:pt>
                <c:pt idx="18">
                  <c:v>6-Jan-17</c:v>
                </c:pt>
                <c:pt idx="19">
                  <c:v>42740.00</c:v>
                </c:pt>
                <c:pt idx="20">
                  <c:v>4-Jan-17</c:v>
                </c:pt>
                <c:pt idx="21">
                  <c:v>3-Jan-17</c:v>
                </c:pt>
                <c:pt idx="22">
                  <c:v>30-Dec-16</c:v>
                </c:pt>
                <c:pt idx="23">
                  <c:v>29-Dec-16</c:v>
                </c:pt>
                <c:pt idx="24">
                  <c:v>28-Dec-16</c:v>
                </c:pt>
                <c:pt idx="25">
                  <c:v>27-Dec-16</c:v>
                </c:pt>
                <c:pt idx="26">
                  <c:v>23-Dec-16</c:v>
                </c:pt>
                <c:pt idx="27">
                  <c:v>22-Dec-16</c:v>
                </c:pt>
                <c:pt idx="28">
                  <c:v>21-Dec-16</c:v>
                </c:pt>
                <c:pt idx="29">
                  <c:v>20-Dec-16</c:v>
                </c:pt>
                <c:pt idx="30">
                  <c:v>19-Dec-16</c:v>
                </c:pt>
                <c:pt idx="31">
                  <c:v>16-Dec-16</c:v>
                </c:pt>
                <c:pt idx="32">
                  <c:v>15-Dec-16</c:v>
                </c:pt>
                <c:pt idx="33">
                  <c:v>14-Dec-16</c:v>
                </c:pt>
                <c:pt idx="34">
                  <c:v>13-Dec-16</c:v>
                </c:pt>
                <c:pt idx="35">
                  <c:v>12-Dec-16</c:v>
                </c:pt>
                <c:pt idx="36">
                  <c:v>9-Dec-16</c:v>
                </c:pt>
                <c:pt idx="37">
                  <c:v>8-Dec-16</c:v>
                </c:pt>
                <c:pt idx="38">
                  <c:v>7-Dec-16</c:v>
                </c:pt>
                <c:pt idx="39">
                  <c:v>6-Dec-16</c:v>
                </c:pt>
                <c:pt idx="40">
                  <c:v>5-Dec-16</c:v>
                </c:pt>
                <c:pt idx="41">
                  <c:v>2-Dec-16</c:v>
                </c:pt>
                <c:pt idx="42">
                  <c:v>1-Dec-16</c:v>
                </c:pt>
                <c:pt idx="43">
                  <c:v>30-Nov-16</c:v>
                </c:pt>
                <c:pt idx="44">
                  <c:v>29-Nov-16</c:v>
                </c:pt>
                <c:pt idx="45">
                  <c:v>28-Nov-16</c:v>
                </c:pt>
                <c:pt idx="46">
                  <c:v>28-Nov-16</c:v>
                </c:pt>
                <c:pt idx="47">
                  <c:v>25-Nov-16</c:v>
                </c:pt>
                <c:pt idx="48">
                  <c:v>23-Nov-16</c:v>
                </c:pt>
                <c:pt idx="49">
                  <c:v>22-Nov-16</c:v>
                </c:pt>
                <c:pt idx="50">
                  <c:v>21-Nov-16</c:v>
                </c:pt>
                <c:pt idx="51">
                  <c:v>18-Nov-16</c:v>
                </c:pt>
                <c:pt idx="52">
                  <c:v>17-Nov-16</c:v>
                </c:pt>
                <c:pt idx="53">
                  <c:v>16-Nov-16</c:v>
                </c:pt>
                <c:pt idx="54">
                  <c:v>15-Nov-16</c:v>
                </c:pt>
                <c:pt idx="55">
                  <c:v>14-Nov-16</c:v>
                </c:pt>
                <c:pt idx="56">
                  <c:v>11-Nov-16</c:v>
                </c:pt>
                <c:pt idx="57">
                  <c:v>10-Nov-16</c:v>
                </c:pt>
                <c:pt idx="58">
                  <c:v>9-Nov-16</c:v>
                </c:pt>
                <c:pt idx="59">
                  <c:v>8-Nov-16</c:v>
                </c:pt>
                <c:pt idx="60">
                  <c:v>7-Nov-16</c:v>
                </c:pt>
                <c:pt idx="61">
                  <c:v>4-Nov-16</c:v>
                </c:pt>
                <c:pt idx="62">
                  <c:v>3-Nov-16</c:v>
                </c:pt>
                <c:pt idx="63">
                  <c:v>2-Nov-16</c:v>
                </c:pt>
                <c:pt idx="64">
                  <c:v>1-Nov-16</c:v>
                </c:pt>
                <c:pt idx="65">
                  <c:v>31-Oct-16</c:v>
                </c:pt>
                <c:pt idx="66">
                  <c:v>28-Oct-16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UNP!$AA$2:$AA$69</c:f>
              <c:numCache>
                <c:formatCode>General</c:formatCode>
                <c:ptCount val="68"/>
                <c:pt idx="0">
                  <c:v>107.3</c:v>
                </c:pt>
                <c:pt idx="1">
                  <c:v>107.7</c:v>
                </c:pt>
                <c:pt idx="2">
                  <c:v>106.58</c:v>
                </c:pt>
                <c:pt idx="3">
                  <c:v>108</c:v>
                </c:pt>
                <c:pt idx="4">
                  <c:v>109.2</c:v>
                </c:pt>
                <c:pt idx="5">
                  <c:v>110.15</c:v>
                </c:pt>
                <c:pt idx="6">
                  <c:v>110.42</c:v>
                </c:pt>
                <c:pt idx="7">
                  <c:v>108.72</c:v>
                </c:pt>
                <c:pt idx="8">
                  <c:v>107.99</c:v>
                </c:pt>
                <c:pt idx="9">
                  <c:v>108.6</c:v>
                </c:pt>
                <c:pt idx="10">
                  <c:v>106.24</c:v>
                </c:pt>
                <c:pt idx="11">
                  <c:v>103.77</c:v>
                </c:pt>
                <c:pt idx="12">
                  <c:v>103.37</c:v>
                </c:pt>
                <c:pt idx="13">
                  <c:v>105.25</c:v>
                </c:pt>
                <c:pt idx="14">
                  <c:v>104.7</c:v>
                </c:pt>
                <c:pt idx="15">
                  <c:v>104.27</c:v>
                </c:pt>
                <c:pt idx="16">
                  <c:v>103.42</c:v>
                </c:pt>
                <c:pt idx="17">
                  <c:v>102.42</c:v>
                </c:pt>
                <c:pt idx="18">
                  <c:v>103.19</c:v>
                </c:pt>
                <c:pt idx="19">
                  <c:v>102.13</c:v>
                </c:pt>
                <c:pt idx="20">
                  <c:v>103.14</c:v>
                </c:pt>
                <c:pt idx="21">
                  <c:v>102.52</c:v>
                </c:pt>
                <c:pt idx="22">
                  <c:v>103.68</c:v>
                </c:pt>
                <c:pt idx="23">
                  <c:v>104.42</c:v>
                </c:pt>
                <c:pt idx="24">
                  <c:v>104.76</c:v>
                </c:pt>
                <c:pt idx="25">
                  <c:v>105.71</c:v>
                </c:pt>
                <c:pt idx="26">
                  <c:v>105.18</c:v>
                </c:pt>
                <c:pt idx="27">
                  <c:v>105.19</c:v>
                </c:pt>
                <c:pt idx="28">
                  <c:v>104.65</c:v>
                </c:pt>
                <c:pt idx="29">
                  <c:v>104.65</c:v>
                </c:pt>
                <c:pt idx="30">
                  <c:v>103.4</c:v>
                </c:pt>
                <c:pt idx="31">
                  <c:v>103.31</c:v>
                </c:pt>
                <c:pt idx="32">
                  <c:v>104.68</c:v>
                </c:pt>
                <c:pt idx="33">
                  <c:v>102.82</c:v>
                </c:pt>
                <c:pt idx="34">
                  <c:v>104.04</c:v>
                </c:pt>
                <c:pt idx="35">
                  <c:v>104.32</c:v>
                </c:pt>
                <c:pt idx="36">
                  <c:v>104.99</c:v>
                </c:pt>
                <c:pt idx="37">
                  <c:v>105.37</c:v>
                </c:pt>
                <c:pt idx="38">
                  <c:v>106.33</c:v>
                </c:pt>
                <c:pt idx="39">
                  <c:v>103.15</c:v>
                </c:pt>
                <c:pt idx="40">
                  <c:v>102.84</c:v>
                </c:pt>
                <c:pt idx="41">
                  <c:v>102.65</c:v>
                </c:pt>
                <c:pt idx="42">
                  <c:v>103.39</c:v>
                </c:pt>
                <c:pt idx="43">
                  <c:v>101.33</c:v>
                </c:pt>
                <c:pt idx="44">
                  <c:v>100.57</c:v>
                </c:pt>
                <c:pt idx="45">
                  <c:v>100.69</c:v>
                </c:pt>
                <c:pt idx="47">
                  <c:v>102.1</c:v>
                </c:pt>
                <c:pt idx="48">
                  <c:v>101.39</c:v>
                </c:pt>
                <c:pt idx="49">
                  <c:v>100.49</c:v>
                </c:pt>
                <c:pt idx="50">
                  <c:v>100.75</c:v>
                </c:pt>
                <c:pt idx="51">
                  <c:v>99.83</c:v>
                </c:pt>
                <c:pt idx="52">
                  <c:v>98.81</c:v>
                </c:pt>
                <c:pt idx="53">
                  <c:v>98.01</c:v>
                </c:pt>
                <c:pt idx="54">
                  <c:v>99.11</c:v>
                </c:pt>
                <c:pt idx="55">
                  <c:v>99.43</c:v>
                </c:pt>
                <c:pt idx="56">
                  <c:v>96.88</c:v>
                </c:pt>
                <c:pt idx="57">
                  <c:v>97.49</c:v>
                </c:pt>
                <c:pt idx="58">
                  <c:v>93.95</c:v>
                </c:pt>
                <c:pt idx="59">
                  <c:v>90.6</c:v>
                </c:pt>
                <c:pt idx="60">
                  <c:v>90.75</c:v>
                </c:pt>
                <c:pt idx="61">
                  <c:v>88.76</c:v>
                </c:pt>
                <c:pt idx="62">
                  <c:v>88.77</c:v>
                </c:pt>
                <c:pt idx="63">
                  <c:v>88.69</c:v>
                </c:pt>
                <c:pt idx="64">
                  <c:v>87.89</c:v>
                </c:pt>
                <c:pt idx="65">
                  <c:v>88.18</c:v>
                </c:pt>
                <c:pt idx="66">
                  <c:v>88.37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2032560"/>
        <c:axId val="652032952"/>
      </c:lineChart>
      <c:catAx>
        <c:axId val="65203256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2032952"/>
        <c:crosses val="autoZero"/>
        <c:auto val="1"/>
        <c:lblAlgn val="ctr"/>
        <c:lblOffset val="100"/>
        <c:noMultiLvlLbl val="0"/>
      </c:catAx>
      <c:valAx>
        <c:axId val="652032952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20325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NCLH!$AA$1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NCLH!$W$2:$W$67</c:f>
              <c:numCache>
                <c:formatCode>d\-mmm\-yy</c:formatCode>
                <c:ptCount val="66"/>
                <c:pt idx="0">
                  <c:v>42768</c:v>
                </c:pt>
                <c:pt idx="1">
                  <c:v>42767</c:v>
                </c:pt>
                <c:pt idx="2">
                  <c:v>42766</c:v>
                </c:pt>
                <c:pt idx="3">
                  <c:v>42765</c:v>
                </c:pt>
                <c:pt idx="4">
                  <c:v>42762</c:v>
                </c:pt>
                <c:pt idx="5">
                  <c:v>42761</c:v>
                </c:pt>
                <c:pt idx="6">
                  <c:v>42760</c:v>
                </c:pt>
                <c:pt idx="7">
                  <c:v>42759</c:v>
                </c:pt>
                <c:pt idx="8">
                  <c:v>42758</c:v>
                </c:pt>
                <c:pt idx="9">
                  <c:v>42755</c:v>
                </c:pt>
                <c:pt idx="10">
                  <c:v>42754</c:v>
                </c:pt>
                <c:pt idx="11">
                  <c:v>42753</c:v>
                </c:pt>
                <c:pt idx="12">
                  <c:v>42752</c:v>
                </c:pt>
                <c:pt idx="13">
                  <c:v>42748</c:v>
                </c:pt>
                <c:pt idx="14">
                  <c:v>42747</c:v>
                </c:pt>
                <c:pt idx="15">
                  <c:v>42746</c:v>
                </c:pt>
                <c:pt idx="16">
                  <c:v>42745</c:v>
                </c:pt>
                <c:pt idx="17">
                  <c:v>42744</c:v>
                </c:pt>
                <c:pt idx="18">
                  <c:v>42741</c:v>
                </c:pt>
                <c:pt idx="19">
                  <c:v>42740</c:v>
                </c:pt>
                <c:pt idx="20">
                  <c:v>42739</c:v>
                </c:pt>
                <c:pt idx="21">
                  <c:v>42738</c:v>
                </c:pt>
                <c:pt idx="22">
                  <c:v>42734</c:v>
                </c:pt>
                <c:pt idx="23">
                  <c:v>42733</c:v>
                </c:pt>
                <c:pt idx="24">
                  <c:v>42732</c:v>
                </c:pt>
                <c:pt idx="25">
                  <c:v>42731</c:v>
                </c:pt>
                <c:pt idx="26">
                  <c:v>42727</c:v>
                </c:pt>
                <c:pt idx="27">
                  <c:v>42726</c:v>
                </c:pt>
                <c:pt idx="28">
                  <c:v>42725</c:v>
                </c:pt>
                <c:pt idx="29">
                  <c:v>42724</c:v>
                </c:pt>
                <c:pt idx="30">
                  <c:v>42723</c:v>
                </c:pt>
                <c:pt idx="31">
                  <c:v>42720</c:v>
                </c:pt>
                <c:pt idx="32">
                  <c:v>42719</c:v>
                </c:pt>
                <c:pt idx="33">
                  <c:v>42718</c:v>
                </c:pt>
                <c:pt idx="34">
                  <c:v>42717</c:v>
                </c:pt>
                <c:pt idx="35">
                  <c:v>42716</c:v>
                </c:pt>
                <c:pt idx="36">
                  <c:v>42713</c:v>
                </c:pt>
                <c:pt idx="37">
                  <c:v>42712</c:v>
                </c:pt>
                <c:pt idx="38">
                  <c:v>42711</c:v>
                </c:pt>
                <c:pt idx="39">
                  <c:v>42710</c:v>
                </c:pt>
                <c:pt idx="40">
                  <c:v>42709</c:v>
                </c:pt>
                <c:pt idx="41">
                  <c:v>42706</c:v>
                </c:pt>
                <c:pt idx="42">
                  <c:v>42705</c:v>
                </c:pt>
                <c:pt idx="43">
                  <c:v>42704</c:v>
                </c:pt>
                <c:pt idx="44">
                  <c:v>42703</c:v>
                </c:pt>
                <c:pt idx="45">
                  <c:v>42702</c:v>
                </c:pt>
                <c:pt idx="46">
                  <c:v>42699</c:v>
                </c:pt>
                <c:pt idx="47">
                  <c:v>42697</c:v>
                </c:pt>
                <c:pt idx="48">
                  <c:v>42696</c:v>
                </c:pt>
                <c:pt idx="49">
                  <c:v>42695</c:v>
                </c:pt>
                <c:pt idx="50">
                  <c:v>42692</c:v>
                </c:pt>
                <c:pt idx="51">
                  <c:v>42691</c:v>
                </c:pt>
                <c:pt idx="52">
                  <c:v>42690</c:v>
                </c:pt>
                <c:pt idx="53">
                  <c:v>42689</c:v>
                </c:pt>
                <c:pt idx="54">
                  <c:v>42688</c:v>
                </c:pt>
                <c:pt idx="55">
                  <c:v>42685</c:v>
                </c:pt>
                <c:pt idx="56">
                  <c:v>42684</c:v>
                </c:pt>
                <c:pt idx="57">
                  <c:v>42683</c:v>
                </c:pt>
                <c:pt idx="58">
                  <c:v>42682</c:v>
                </c:pt>
                <c:pt idx="59">
                  <c:v>42681</c:v>
                </c:pt>
                <c:pt idx="60">
                  <c:v>42678</c:v>
                </c:pt>
                <c:pt idx="61">
                  <c:v>42677</c:v>
                </c:pt>
                <c:pt idx="62">
                  <c:v>42676</c:v>
                </c:pt>
                <c:pt idx="63">
                  <c:v>42675</c:v>
                </c:pt>
                <c:pt idx="64">
                  <c:v>42674</c:v>
                </c:pt>
                <c:pt idx="65">
                  <c:v>42671</c:v>
                </c:pt>
              </c:numCache>
            </c:numRef>
          </c:cat>
          <c:val>
            <c:numRef>
              <c:f>NCLH!$AA$2:$AA$68</c:f>
              <c:numCache>
                <c:formatCode>#,##0.00</c:formatCode>
                <c:ptCount val="67"/>
                <c:pt idx="0">
                  <c:v>47.66</c:v>
                </c:pt>
                <c:pt idx="1">
                  <c:v>48.08</c:v>
                </c:pt>
                <c:pt idx="2">
                  <c:v>47</c:v>
                </c:pt>
                <c:pt idx="3">
                  <c:v>48.03</c:v>
                </c:pt>
                <c:pt idx="4">
                  <c:v>49.02</c:v>
                </c:pt>
                <c:pt idx="5">
                  <c:v>49.33</c:v>
                </c:pt>
                <c:pt idx="6">
                  <c:v>48.09</c:v>
                </c:pt>
                <c:pt idx="7">
                  <c:v>46.84</c:v>
                </c:pt>
                <c:pt idx="8">
                  <c:v>46</c:v>
                </c:pt>
                <c:pt idx="9">
                  <c:v>45.63</c:v>
                </c:pt>
                <c:pt idx="10">
                  <c:v>45.62</c:v>
                </c:pt>
                <c:pt idx="11">
                  <c:v>45.67</c:v>
                </c:pt>
                <c:pt idx="12">
                  <c:v>44.74</c:v>
                </c:pt>
                <c:pt idx="13">
                  <c:v>44.95</c:v>
                </c:pt>
                <c:pt idx="14">
                  <c:v>45.35</c:v>
                </c:pt>
                <c:pt idx="15">
                  <c:v>45.75</c:v>
                </c:pt>
                <c:pt idx="16">
                  <c:v>45.22</c:v>
                </c:pt>
                <c:pt idx="17">
                  <c:v>44.39</c:v>
                </c:pt>
                <c:pt idx="18">
                  <c:v>44.25</c:v>
                </c:pt>
                <c:pt idx="19">
                  <c:v>44.55</c:v>
                </c:pt>
                <c:pt idx="20">
                  <c:v>44.77</c:v>
                </c:pt>
                <c:pt idx="21">
                  <c:v>42.79</c:v>
                </c:pt>
                <c:pt idx="22">
                  <c:v>42.53</c:v>
                </c:pt>
                <c:pt idx="23">
                  <c:v>42.66</c:v>
                </c:pt>
                <c:pt idx="24">
                  <c:v>42.93</c:v>
                </c:pt>
                <c:pt idx="25">
                  <c:v>43.69</c:v>
                </c:pt>
                <c:pt idx="26">
                  <c:v>43.51</c:v>
                </c:pt>
                <c:pt idx="27">
                  <c:v>43.38</c:v>
                </c:pt>
                <c:pt idx="28">
                  <c:v>44.93</c:v>
                </c:pt>
                <c:pt idx="29">
                  <c:v>44.92</c:v>
                </c:pt>
                <c:pt idx="30">
                  <c:v>43.06</c:v>
                </c:pt>
                <c:pt idx="31">
                  <c:v>44.13</c:v>
                </c:pt>
                <c:pt idx="32">
                  <c:v>45.14</c:v>
                </c:pt>
                <c:pt idx="33">
                  <c:v>44.03</c:v>
                </c:pt>
                <c:pt idx="34">
                  <c:v>43.9</c:v>
                </c:pt>
                <c:pt idx="35">
                  <c:v>43.99</c:v>
                </c:pt>
                <c:pt idx="36">
                  <c:v>44.5</c:v>
                </c:pt>
                <c:pt idx="37">
                  <c:v>44.02</c:v>
                </c:pt>
                <c:pt idx="38">
                  <c:v>42.66</c:v>
                </c:pt>
                <c:pt idx="39">
                  <c:v>41.25</c:v>
                </c:pt>
                <c:pt idx="40">
                  <c:v>40.64</c:v>
                </c:pt>
                <c:pt idx="41">
                  <c:v>39.28</c:v>
                </c:pt>
                <c:pt idx="42">
                  <c:v>38.85</c:v>
                </c:pt>
                <c:pt idx="43">
                  <c:v>39.81</c:v>
                </c:pt>
                <c:pt idx="44">
                  <c:v>40.71</c:v>
                </c:pt>
                <c:pt idx="45">
                  <c:v>40.1</c:v>
                </c:pt>
                <c:pt idx="46">
                  <c:v>40.58</c:v>
                </c:pt>
                <c:pt idx="47">
                  <c:v>39.979999999999997</c:v>
                </c:pt>
                <c:pt idx="48">
                  <c:v>40.25</c:v>
                </c:pt>
                <c:pt idx="49">
                  <c:v>39.590000000000003</c:v>
                </c:pt>
                <c:pt idx="50">
                  <c:v>39.68</c:v>
                </c:pt>
                <c:pt idx="51">
                  <c:v>39.83</c:v>
                </c:pt>
                <c:pt idx="52">
                  <c:v>39.57</c:v>
                </c:pt>
                <c:pt idx="53">
                  <c:v>40.17</c:v>
                </c:pt>
                <c:pt idx="54">
                  <c:v>41.34</c:v>
                </c:pt>
                <c:pt idx="55">
                  <c:v>38.42</c:v>
                </c:pt>
                <c:pt idx="56">
                  <c:v>37.97</c:v>
                </c:pt>
                <c:pt idx="57">
                  <c:v>35.53</c:v>
                </c:pt>
                <c:pt idx="58">
                  <c:v>39.130000000000003</c:v>
                </c:pt>
                <c:pt idx="59">
                  <c:v>37.83</c:v>
                </c:pt>
                <c:pt idx="60">
                  <c:v>37</c:v>
                </c:pt>
                <c:pt idx="61">
                  <c:v>37.21</c:v>
                </c:pt>
                <c:pt idx="62">
                  <c:v>37.49</c:v>
                </c:pt>
                <c:pt idx="63">
                  <c:v>37.700000000000003</c:v>
                </c:pt>
                <c:pt idx="64">
                  <c:v>38.869999999999997</c:v>
                </c:pt>
                <c:pt idx="65">
                  <c:v>38.24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2034912"/>
        <c:axId val="652035304"/>
      </c:lineChart>
      <c:dateAx>
        <c:axId val="65203491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2035304"/>
        <c:crosses val="autoZero"/>
        <c:auto val="1"/>
        <c:lblOffset val="100"/>
        <c:baseTimeUnit val="days"/>
      </c:dateAx>
      <c:valAx>
        <c:axId val="652035304"/>
        <c:scaling>
          <c:orientation val="minMax"/>
          <c:min val="2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20349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SPY!$AA$1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SPY!$W$2:$W$68</c:f>
              <c:numCache>
                <c:formatCode>d\-mmm\-yy</c:formatCode>
                <c:ptCount val="67"/>
                <c:pt idx="0">
                  <c:v>42768</c:v>
                </c:pt>
                <c:pt idx="1">
                  <c:v>42767</c:v>
                </c:pt>
                <c:pt idx="2">
                  <c:v>42766</c:v>
                </c:pt>
                <c:pt idx="3">
                  <c:v>42765</c:v>
                </c:pt>
                <c:pt idx="4">
                  <c:v>42762</c:v>
                </c:pt>
                <c:pt idx="5">
                  <c:v>42761</c:v>
                </c:pt>
                <c:pt idx="6">
                  <c:v>42760</c:v>
                </c:pt>
                <c:pt idx="7">
                  <c:v>42759</c:v>
                </c:pt>
                <c:pt idx="8">
                  <c:v>42758</c:v>
                </c:pt>
                <c:pt idx="9">
                  <c:v>42755</c:v>
                </c:pt>
                <c:pt idx="10">
                  <c:v>42754</c:v>
                </c:pt>
                <c:pt idx="11">
                  <c:v>42753</c:v>
                </c:pt>
                <c:pt idx="12">
                  <c:v>42752</c:v>
                </c:pt>
                <c:pt idx="13">
                  <c:v>42748</c:v>
                </c:pt>
                <c:pt idx="14">
                  <c:v>42747</c:v>
                </c:pt>
                <c:pt idx="15">
                  <c:v>42746</c:v>
                </c:pt>
                <c:pt idx="16">
                  <c:v>42745</c:v>
                </c:pt>
                <c:pt idx="17">
                  <c:v>42744</c:v>
                </c:pt>
                <c:pt idx="18">
                  <c:v>42741</c:v>
                </c:pt>
                <c:pt idx="19">
                  <c:v>42740</c:v>
                </c:pt>
                <c:pt idx="20">
                  <c:v>42739</c:v>
                </c:pt>
                <c:pt idx="21">
                  <c:v>42738</c:v>
                </c:pt>
                <c:pt idx="22">
                  <c:v>42734</c:v>
                </c:pt>
                <c:pt idx="23">
                  <c:v>42733</c:v>
                </c:pt>
                <c:pt idx="24">
                  <c:v>42732</c:v>
                </c:pt>
                <c:pt idx="25">
                  <c:v>42731</c:v>
                </c:pt>
                <c:pt idx="26">
                  <c:v>42727</c:v>
                </c:pt>
                <c:pt idx="27">
                  <c:v>42726</c:v>
                </c:pt>
                <c:pt idx="28">
                  <c:v>42725</c:v>
                </c:pt>
                <c:pt idx="29">
                  <c:v>42724</c:v>
                </c:pt>
                <c:pt idx="30">
                  <c:v>42723</c:v>
                </c:pt>
                <c:pt idx="31">
                  <c:v>42720</c:v>
                </c:pt>
                <c:pt idx="32">
                  <c:v>42720</c:v>
                </c:pt>
                <c:pt idx="33">
                  <c:v>42719</c:v>
                </c:pt>
                <c:pt idx="34">
                  <c:v>42718</c:v>
                </c:pt>
                <c:pt idx="35">
                  <c:v>42717</c:v>
                </c:pt>
                <c:pt idx="36">
                  <c:v>42716</c:v>
                </c:pt>
                <c:pt idx="37">
                  <c:v>42713</c:v>
                </c:pt>
                <c:pt idx="38">
                  <c:v>42712</c:v>
                </c:pt>
                <c:pt idx="39">
                  <c:v>42711</c:v>
                </c:pt>
                <c:pt idx="40">
                  <c:v>42710</c:v>
                </c:pt>
                <c:pt idx="41">
                  <c:v>42709</c:v>
                </c:pt>
                <c:pt idx="42">
                  <c:v>42706</c:v>
                </c:pt>
                <c:pt idx="43">
                  <c:v>42705</c:v>
                </c:pt>
                <c:pt idx="44">
                  <c:v>42704</c:v>
                </c:pt>
                <c:pt idx="45">
                  <c:v>42703</c:v>
                </c:pt>
                <c:pt idx="46">
                  <c:v>42702</c:v>
                </c:pt>
                <c:pt idx="47">
                  <c:v>42699</c:v>
                </c:pt>
                <c:pt idx="48">
                  <c:v>42697</c:v>
                </c:pt>
                <c:pt idx="49">
                  <c:v>42696</c:v>
                </c:pt>
                <c:pt idx="50">
                  <c:v>42695</c:v>
                </c:pt>
                <c:pt idx="51">
                  <c:v>42692</c:v>
                </c:pt>
                <c:pt idx="52">
                  <c:v>42691</c:v>
                </c:pt>
                <c:pt idx="53">
                  <c:v>42690</c:v>
                </c:pt>
                <c:pt idx="54">
                  <c:v>42689</c:v>
                </c:pt>
                <c:pt idx="55">
                  <c:v>42688</c:v>
                </c:pt>
                <c:pt idx="56">
                  <c:v>42685</c:v>
                </c:pt>
                <c:pt idx="57">
                  <c:v>42684</c:v>
                </c:pt>
                <c:pt idx="58">
                  <c:v>42683</c:v>
                </c:pt>
                <c:pt idx="59">
                  <c:v>42682</c:v>
                </c:pt>
                <c:pt idx="60">
                  <c:v>42681</c:v>
                </c:pt>
                <c:pt idx="61">
                  <c:v>42678</c:v>
                </c:pt>
                <c:pt idx="62">
                  <c:v>42677</c:v>
                </c:pt>
                <c:pt idx="63">
                  <c:v>42676</c:v>
                </c:pt>
                <c:pt idx="64">
                  <c:v>42675</c:v>
                </c:pt>
                <c:pt idx="65">
                  <c:v>42674</c:v>
                </c:pt>
                <c:pt idx="66">
                  <c:v>42671</c:v>
                </c:pt>
              </c:numCache>
            </c:numRef>
          </c:cat>
          <c:val>
            <c:numRef>
              <c:f>SPY!$AA$2:$AA$68</c:f>
              <c:numCache>
                <c:formatCode>#,##0.00</c:formatCode>
                <c:ptCount val="67"/>
                <c:pt idx="0">
                  <c:v>227.77</c:v>
                </c:pt>
                <c:pt idx="1">
                  <c:v>227.62</c:v>
                </c:pt>
                <c:pt idx="2">
                  <c:v>227.53</c:v>
                </c:pt>
                <c:pt idx="3">
                  <c:v>227.55</c:v>
                </c:pt>
                <c:pt idx="4">
                  <c:v>228.97</c:v>
                </c:pt>
                <c:pt idx="5">
                  <c:v>229.33</c:v>
                </c:pt>
                <c:pt idx="6">
                  <c:v>229.57</c:v>
                </c:pt>
                <c:pt idx="7">
                  <c:v>227.6</c:v>
                </c:pt>
                <c:pt idx="8">
                  <c:v>226.15</c:v>
                </c:pt>
                <c:pt idx="9">
                  <c:v>226.74</c:v>
                </c:pt>
                <c:pt idx="10">
                  <c:v>225.91</c:v>
                </c:pt>
                <c:pt idx="11">
                  <c:v>226.75</c:v>
                </c:pt>
                <c:pt idx="12">
                  <c:v>226.25</c:v>
                </c:pt>
                <c:pt idx="13">
                  <c:v>227.05</c:v>
                </c:pt>
                <c:pt idx="14">
                  <c:v>226.53</c:v>
                </c:pt>
                <c:pt idx="15">
                  <c:v>227.1</c:v>
                </c:pt>
                <c:pt idx="16">
                  <c:v>226.46</c:v>
                </c:pt>
                <c:pt idx="17">
                  <c:v>226.46</c:v>
                </c:pt>
                <c:pt idx="18">
                  <c:v>227.21</c:v>
                </c:pt>
                <c:pt idx="19">
                  <c:v>226.4</c:v>
                </c:pt>
                <c:pt idx="20">
                  <c:v>226.58</c:v>
                </c:pt>
                <c:pt idx="21">
                  <c:v>225.24</c:v>
                </c:pt>
                <c:pt idx="22">
                  <c:v>223.53</c:v>
                </c:pt>
                <c:pt idx="23">
                  <c:v>224.35</c:v>
                </c:pt>
                <c:pt idx="24">
                  <c:v>224.4</c:v>
                </c:pt>
                <c:pt idx="25">
                  <c:v>226.27</c:v>
                </c:pt>
                <c:pt idx="26">
                  <c:v>225.71</c:v>
                </c:pt>
                <c:pt idx="27">
                  <c:v>225.38</c:v>
                </c:pt>
                <c:pt idx="28">
                  <c:v>225.77</c:v>
                </c:pt>
                <c:pt idx="29">
                  <c:v>226.4</c:v>
                </c:pt>
                <c:pt idx="30">
                  <c:v>225.53</c:v>
                </c:pt>
                <c:pt idx="31">
                  <c:v>225.04</c:v>
                </c:pt>
                <c:pt idx="33">
                  <c:v>226.81</c:v>
                </c:pt>
                <c:pt idx="34">
                  <c:v>225.88</c:v>
                </c:pt>
                <c:pt idx="35">
                  <c:v>227.76</c:v>
                </c:pt>
                <c:pt idx="36">
                  <c:v>226.25</c:v>
                </c:pt>
                <c:pt idx="37">
                  <c:v>226.51</c:v>
                </c:pt>
                <c:pt idx="38">
                  <c:v>225.15</c:v>
                </c:pt>
                <c:pt idx="39">
                  <c:v>224.6</c:v>
                </c:pt>
                <c:pt idx="40">
                  <c:v>221.7</c:v>
                </c:pt>
                <c:pt idx="41">
                  <c:v>221</c:v>
                </c:pt>
                <c:pt idx="42">
                  <c:v>219.68</c:v>
                </c:pt>
                <c:pt idx="43">
                  <c:v>219.57</c:v>
                </c:pt>
                <c:pt idx="44">
                  <c:v>220.38</c:v>
                </c:pt>
                <c:pt idx="45">
                  <c:v>220.91</c:v>
                </c:pt>
                <c:pt idx="46">
                  <c:v>220.48</c:v>
                </c:pt>
                <c:pt idx="47">
                  <c:v>221.52</c:v>
                </c:pt>
                <c:pt idx="48">
                  <c:v>220.7</c:v>
                </c:pt>
                <c:pt idx="49">
                  <c:v>220.58</c:v>
                </c:pt>
                <c:pt idx="50">
                  <c:v>220.15</c:v>
                </c:pt>
                <c:pt idx="51">
                  <c:v>218.5</c:v>
                </c:pt>
                <c:pt idx="52">
                  <c:v>218.99</c:v>
                </c:pt>
                <c:pt idx="53">
                  <c:v>217.87</c:v>
                </c:pt>
                <c:pt idx="54">
                  <c:v>218.28</c:v>
                </c:pt>
                <c:pt idx="55">
                  <c:v>216.59</c:v>
                </c:pt>
                <c:pt idx="56">
                  <c:v>216.42</c:v>
                </c:pt>
                <c:pt idx="57">
                  <c:v>216.92</c:v>
                </c:pt>
                <c:pt idx="58">
                  <c:v>216.38</c:v>
                </c:pt>
                <c:pt idx="59">
                  <c:v>214.11</c:v>
                </c:pt>
                <c:pt idx="60">
                  <c:v>213.15</c:v>
                </c:pt>
                <c:pt idx="61">
                  <c:v>208.55</c:v>
                </c:pt>
                <c:pt idx="62">
                  <c:v>208.78</c:v>
                </c:pt>
                <c:pt idx="63">
                  <c:v>209.74</c:v>
                </c:pt>
                <c:pt idx="64">
                  <c:v>211.01</c:v>
                </c:pt>
                <c:pt idx="65">
                  <c:v>212.55</c:v>
                </c:pt>
                <c:pt idx="66" formatCode="General">
                  <c:v>212.54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2037264"/>
        <c:axId val="652037656"/>
      </c:lineChart>
      <c:dateAx>
        <c:axId val="6520372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2037656"/>
        <c:crosses val="autoZero"/>
        <c:auto val="1"/>
        <c:lblOffset val="100"/>
        <c:baseTimeUnit val="days"/>
      </c:dateAx>
      <c:valAx>
        <c:axId val="652037656"/>
        <c:scaling>
          <c:orientation val="minMax"/>
          <c:min val="17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2037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SWKS!$W$2:$W$67</c:f>
              <c:numCache>
                <c:formatCode>d\-mmm\-yy</c:formatCode>
                <c:ptCount val="66"/>
                <c:pt idx="0">
                  <c:v>42768</c:v>
                </c:pt>
                <c:pt idx="1">
                  <c:v>42767</c:v>
                </c:pt>
                <c:pt idx="2">
                  <c:v>42766</c:v>
                </c:pt>
                <c:pt idx="3">
                  <c:v>42766</c:v>
                </c:pt>
                <c:pt idx="4">
                  <c:v>42765</c:v>
                </c:pt>
                <c:pt idx="5">
                  <c:v>42762</c:v>
                </c:pt>
                <c:pt idx="6">
                  <c:v>42761</c:v>
                </c:pt>
                <c:pt idx="7">
                  <c:v>42760</c:v>
                </c:pt>
                <c:pt idx="8">
                  <c:v>42759</c:v>
                </c:pt>
                <c:pt idx="9">
                  <c:v>42758</c:v>
                </c:pt>
                <c:pt idx="10">
                  <c:v>42755</c:v>
                </c:pt>
                <c:pt idx="11">
                  <c:v>42754</c:v>
                </c:pt>
                <c:pt idx="12">
                  <c:v>42753</c:v>
                </c:pt>
                <c:pt idx="13">
                  <c:v>42752</c:v>
                </c:pt>
                <c:pt idx="14">
                  <c:v>42748</c:v>
                </c:pt>
                <c:pt idx="15">
                  <c:v>42747</c:v>
                </c:pt>
                <c:pt idx="16">
                  <c:v>42746</c:v>
                </c:pt>
                <c:pt idx="17">
                  <c:v>42745</c:v>
                </c:pt>
                <c:pt idx="18">
                  <c:v>42744</c:v>
                </c:pt>
                <c:pt idx="19">
                  <c:v>42741</c:v>
                </c:pt>
                <c:pt idx="20">
                  <c:v>42740</c:v>
                </c:pt>
                <c:pt idx="21">
                  <c:v>42739</c:v>
                </c:pt>
                <c:pt idx="22">
                  <c:v>42738</c:v>
                </c:pt>
                <c:pt idx="23">
                  <c:v>42734</c:v>
                </c:pt>
                <c:pt idx="24">
                  <c:v>42733</c:v>
                </c:pt>
                <c:pt idx="25">
                  <c:v>42732</c:v>
                </c:pt>
                <c:pt idx="26">
                  <c:v>42731</c:v>
                </c:pt>
                <c:pt idx="27">
                  <c:v>42727</c:v>
                </c:pt>
                <c:pt idx="28">
                  <c:v>42726</c:v>
                </c:pt>
                <c:pt idx="29">
                  <c:v>42725</c:v>
                </c:pt>
                <c:pt idx="30">
                  <c:v>42724</c:v>
                </c:pt>
                <c:pt idx="31">
                  <c:v>42723</c:v>
                </c:pt>
                <c:pt idx="32">
                  <c:v>42720</c:v>
                </c:pt>
                <c:pt idx="33">
                  <c:v>42719</c:v>
                </c:pt>
                <c:pt idx="34">
                  <c:v>42718</c:v>
                </c:pt>
                <c:pt idx="35">
                  <c:v>42717</c:v>
                </c:pt>
                <c:pt idx="36">
                  <c:v>42716</c:v>
                </c:pt>
                <c:pt idx="37">
                  <c:v>42713</c:v>
                </c:pt>
                <c:pt idx="38">
                  <c:v>42712</c:v>
                </c:pt>
                <c:pt idx="39">
                  <c:v>42711</c:v>
                </c:pt>
                <c:pt idx="40">
                  <c:v>42710</c:v>
                </c:pt>
                <c:pt idx="41">
                  <c:v>42709</c:v>
                </c:pt>
                <c:pt idx="42">
                  <c:v>42706</c:v>
                </c:pt>
                <c:pt idx="43">
                  <c:v>42705</c:v>
                </c:pt>
                <c:pt idx="44">
                  <c:v>42704</c:v>
                </c:pt>
                <c:pt idx="45">
                  <c:v>42703</c:v>
                </c:pt>
                <c:pt idx="46">
                  <c:v>42702</c:v>
                </c:pt>
                <c:pt idx="47">
                  <c:v>42699</c:v>
                </c:pt>
                <c:pt idx="48">
                  <c:v>42697</c:v>
                </c:pt>
                <c:pt idx="49">
                  <c:v>42696</c:v>
                </c:pt>
                <c:pt idx="50">
                  <c:v>42695</c:v>
                </c:pt>
                <c:pt idx="51">
                  <c:v>42692</c:v>
                </c:pt>
                <c:pt idx="52">
                  <c:v>42691</c:v>
                </c:pt>
                <c:pt idx="53">
                  <c:v>42690</c:v>
                </c:pt>
                <c:pt idx="54">
                  <c:v>42689</c:v>
                </c:pt>
                <c:pt idx="55">
                  <c:v>42689</c:v>
                </c:pt>
                <c:pt idx="56">
                  <c:v>42688</c:v>
                </c:pt>
                <c:pt idx="57">
                  <c:v>42685</c:v>
                </c:pt>
                <c:pt idx="58">
                  <c:v>42684</c:v>
                </c:pt>
                <c:pt idx="59">
                  <c:v>42683</c:v>
                </c:pt>
                <c:pt idx="60">
                  <c:v>42682</c:v>
                </c:pt>
                <c:pt idx="61">
                  <c:v>42681</c:v>
                </c:pt>
                <c:pt idx="62">
                  <c:v>42678</c:v>
                </c:pt>
                <c:pt idx="63">
                  <c:v>42677</c:v>
                </c:pt>
                <c:pt idx="64">
                  <c:v>42676</c:v>
                </c:pt>
                <c:pt idx="65">
                  <c:v>42675</c:v>
                </c:pt>
              </c:numCache>
            </c:numRef>
          </c:cat>
          <c:val>
            <c:numRef>
              <c:f>SWKS!$AA$2:$AA$67</c:f>
              <c:numCache>
                <c:formatCode>General</c:formatCode>
                <c:ptCount val="66"/>
                <c:pt idx="0">
                  <c:v>91.11</c:v>
                </c:pt>
                <c:pt idx="1">
                  <c:v>91.74</c:v>
                </c:pt>
                <c:pt idx="2">
                  <c:v>91.74</c:v>
                </c:pt>
                <c:pt idx="4">
                  <c:v>92.99</c:v>
                </c:pt>
                <c:pt idx="5">
                  <c:v>92.01</c:v>
                </c:pt>
                <c:pt idx="6">
                  <c:v>91.01</c:v>
                </c:pt>
                <c:pt idx="7">
                  <c:v>91.87</c:v>
                </c:pt>
                <c:pt idx="8">
                  <c:v>92.27</c:v>
                </c:pt>
                <c:pt idx="9">
                  <c:v>90.17</c:v>
                </c:pt>
                <c:pt idx="10">
                  <c:v>88.67</c:v>
                </c:pt>
                <c:pt idx="11">
                  <c:v>78.459999999999994</c:v>
                </c:pt>
                <c:pt idx="12">
                  <c:v>79.27</c:v>
                </c:pt>
                <c:pt idx="13">
                  <c:v>76.89</c:v>
                </c:pt>
                <c:pt idx="14">
                  <c:v>78.33</c:v>
                </c:pt>
                <c:pt idx="15">
                  <c:v>76.75</c:v>
                </c:pt>
                <c:pt idx="16">
                  <c:v>78.41</c:v>
                </c:pt>
                <c:pt idx="17">
                  <c:v>77.31</c:v>
                </c:pt>
                <c:pt idx="18">
                  <c:v>75.650000000000006</c:v>
                </c:pt>
                <c:pt idx="19">
                  <c:v>74.959999999999994</c:v>
                </c:pt>
                <c:pt idx="20">
                  <c:v>74.569999999999993</c:v>
                </c:pt>
                <c:pt idx="21">
                  <c:v>74.989999999999995</c:v>
                </c:pt>
                <c:pt idx="22">
                  <c:v>75.150000000000006</c:v>
                </c:pt>
                <c:pt idx="23">
                  <c:v>74.66</c:v>
                </c:pt>
                <c:pt idx="24">
                  <c:v>76.56</c:v>
                </c:pt>
                <c:pt idx="25">
                  <c:v>77.03</c:v>
                </c:pt>
                <c:pt idx="26">
                  <c:v>78.33</c:v>
                </c:pt>
                <c:pt idx="27">
                  <c:v>78.03</c:v>
                </c:pt>
                <c:pt idx="28">
                  <c:v>78.150000000000006</c:v>
                </c:pt>
                <c:pt idx="29">
                  <c:v>77.069999999999993</c:v>
                </c:pt>
                <c:pt idx="30">
                  <c:v>76.61</c:v>
                </c:pt>
                <c:pt idx="31">
                  <c:v>77.44</c:v>
                </c:pt>
                <c:pt idx="32">
                  <c:v>76.81</c:v>
                </c:pt>
                <c:pt idx="33">
                  <c:v>77.209999999999994</c:v>
                </c:pt>
                <c:pt idx="34">
                  <c:v>75.14</c:v>
                </c:pt>
                <c:pt idx="35">
                  <c:v>76.88</c:v>
                </c:pt>
                <c:pt idx="36">
                  <c:v>76.260000000000005</c:v>
                </c:pt>
                <c:pt idx="37">
                  <c:v>76.930000000000007</c:v>
                </c:pt>
                <c:pt idx="38">
                  <c:v>79.52</c:v>
                </c:pt>
                <c:pt idx="39">
                  <c:v>77.34</c:v>
                </c:pt>
                <c:pt idx="40">
                  <c:v>76.17</c:v>
                </c:pt>
                <c:pt idx="41">
                  <c:v>74.819999999999993</c:v>
                </c:pt>
                <c:pt idx="42">
                  <c:v>73.34</c:v>
                </c:pt>
                <c:pt idx="43">
                  <c:v>71.78</c:v>
                </c:pt>
                <c:pt idx="44">
                  <c:v>76.849999999999994</c:v>
                </c:pt>
                <c:pt idx="45">
                  <c:v>77.22</c:v>
                </c:pt>
                <c:pt idx="46">
                  <c:v>77.3</c:v>
                </c:pt>
                <c:pt idx="47">
                  <c:v>77.010000000000005</c:v>
                </c:pt>
                <c:pt idx="48">
                  <c:v>78.31</c:v>
                </c:pt>
                <c:pt idx="49">
                  <c:v>79.36</c:v>
                </c:pt>
                <c:pt idx="50">
                  <c:v>78.930000000000007</c:v>
                </c:pt>
                <c:pt idx="51">
                  <c:v>78.209999999999994</c:v>
                </c:pt>
                <c:pt idx="52">
                  <c:v>77.95</c:v>
                </c:pt>
                <c:pt idx="53">
                  <c:v>76.12</c:v>
                </c:pt>
                <c:pt idx="54">
                  <c:v>75.930000000000007</c:v>
                </c:pt>
                <c:pt idx="56">
                  <c:v>74.040000000000006</c:v>
                </c:pt>
                <c:pt idx="57">
                  <c:v>74.510000000000005</c:v>
                </c:pt>
                <c:pt idx="58">
                  <c:v>75.91</c:v>
                </c:pt>
                <c:pt idx="59">
                  <c:v>77.66</c:v>
                </c:pt>
                <c:pt idx="60">
                  <c:v>77.33</c:v>
                </c:pt>
                <c:pt idx="61">
                  <c:v>77.239999999999995</c:v>
                </c:pt>
                <c:pt idx="62">
                  <c:v>75.069999999999993</c:v>
                </c:pt>
                <c:pt idx="63">
                  <c:v>74.67</c:v>
                </c:pt>
                <c:pt idx="64">
                  <c:v>75.03</c:v>
                </c:pt>
                <c:pt idx="65">
                  <c:v>75.81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2039616"/>
        <c:axId val="652040008"/>
      </c:lineChart>
      <c:dateAx>
        <c:axId val="6520396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2040008"/>
        <c:crosses val="autoZero"/>
        <c:auto val="1"/>
        <c:lblOffset val="100"/>
        <c:baseTimeUnit val="days"/>
      </c:dateAx>
      <c:valAx>
        <c:axId val="652040008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20396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CNI!$AA$1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CNI!$W$2:$W$67</c:f>
              <c:numCache>
                <c:formatCode>m/d/yyyy</c:formatCode>
                <c:ptCount val="66"/>
                <c:pt idx="0">
                  <c:v>42768</c:v>
                </c:pt>
                <c:pt idx="1">
                  <c:v>42767</c:v>
                </c:pt>
                <c:pt idx="2">
                  <c:v>42766</c:v>
                </c:pt>
                <c:pt idx="3">
                  <c:v>42765</c:v>
                </c:pt>
                <c:pt idx="4">
                  <c:v>42762</c:v>
                </c:pt>
                <c:pt idx="5">
                  <c:v>42761</c:v>
                </c:pt>
                <c:pt idx="6">
                  <c:v>42760</c:v>
                </c:pt>
                <c:pt idx="7">
                  <c:v>42759</c:v>
                </c:pt>
                <c:pt idx="8">
                  <c:v>42758</c:v>
                </c:pt>
                <c:pt idx="9">
                  <c:v>42755</c:v>
                </c:pt>
                <c:pt idx="10">
                  <c:v>42754</c:v>
                </c:pt>
                <c:pt idx="11">
                  <c:v>42753</c:v>
                </c:pt>
                <c:pt idx="12">
                  <c:v>42752</c:v>
                </c:pt>
                <c:pt idx="13">
                  <c:v>42748</c:v>
                </c:pt>
                <c:pt idx="14">
                  <c:v>42747</c:v>
                </c:pt>
                <c:pt idx="15">
                  <c:v>42746</c:v>
                </c:pt>
                <c:pt idx="16">
                  <c:v>42745</c:v>
                </c:pt>
                <c:pt idx="17">
                  <c:v>42744</c:v>
                </c:pt>
                <c:pt idx="18">
                  <c:v>42741</c:v>
                </c:pt>
                <c:pt idx="19">
                  <c:v>42740</c:v>
                </c:pt>
                <c:pt idx="20">
                  <c:v>42739</c:v>
                </c:pt>
                <c:pt idx="21">
                  <c:v>42738</c:v>
                </c:pt>
                <c:pt idx="22">
                  <c:v>42734</c:v>
                </c:pt>
                <c:pt idx="23">
                  <c:v>42733</c:v>
                </c:pt>
                <c:pt idx="24">
                  <c:v>42732</c:v>
                </c:pt>
                <c:pt idx="25">
                  <c:v>42731</c:v>
                </c:pt>
                <c:pt idx="26">
                  <c:v>42727</c:v>
                </c:pt>
                <c:pt idx="27">
                  <c:v>42726</c:v>
                </c:pt>
                <c:pt idx="28">
                  <c:v>42725</c:v>
                </c:pt>
                <c:pt idx="29">
                  <c:v>42724</c:v>
                </c:pt>
                <c:pt idx="30">
                  <c:v>42723</c:v>
                </c:pt>
                <c:pt idx="31">
                  <c:v>42720</c:v>
                </c:pt>
                <c:pt idx="32">
                  <c:v>42719</c:v>
                </c:pt>
                <c:pt idx="33">
                  <c:v>42718</c:v>
                </c:pt>
                <c:pt idx="34">
                  <c:v>42717</c:v>
                </c:pt>
                <c:pt idx="35">
                  <c:v>42716</c:v>
                </c:pt>
                <c:pt idx="36">
                  <c:v>42713</c:v>
                </c:pt>
                <c:pt idx="37">
                  <c:v>42712</c:v>
                </c:pt>
                <c:pt idx="38">
                  <c:v>42711</c:v>
                </c:pt>
                <c:pt idx="39">
                  <c:v>42711</c:v>
                </c:pt>
                <c:pt idx="40">
                  <c:v>42710</c:v>
                </c:pt>
                <c:pt idx="41">
                  <c:v>42709</c:v>
                </c:pt>
                <c:pt idx="42">
                  <c:v>42706</c:v>
                </c:pt>
                <c:pt idx="43">
                  <c:v>42705</c:v>
                </c:pt>
                <c:pt idx="44">
                  <c:v>42704</c:v>
                </c:pt>
                <c:pt idx="45">
                  <c:v>42703</c:v>
                </c:pt>
                <c:pt idx="46">
                  <c:v>42702</c:v>
                </c:pt>
                <c:pt idx="47">
                  <c:v>42699</c:v>
                </c:pt>
                <c:pt idx="48">
                  <c:v>42697</c:v>
                </c:pt>
                <c:pt idx="49">
                  <c:v>42696</c:v>
                </c:pt>
                <c:pt idx="50">
                  <c:v>42695</c:v>
                </c:pt>
                <c:pt idx="51">
                  <c:v>42692</c:v>
                </c:pt>
                <c:pt idx="52">
                  <c:v>42691</c:v>
                </c:pt>
                <c:pt idx="53">
                  <c:v>42690</c:v>
                </c:pt>
                <c:pt idx="54">
                  <c:v>42689</c:v>
                </c:pt>
                <c:pt idx="55">
                  <c:v>42688</c:v>
                </c:pt>
                <c:pt idx="56">
                  <c:v>42685</c:v>
                </c:pt>
                <c:pt idx="57">
                  <c:v>42684</c:v>
                </c:pt>
                <c:pt idx="58">
                  <c:v>42683</c:v>
                </c:pt>
                <c:pt idx="59">
                  <c:v>42682</c:v>
                </c:pt>
                <c:pt idx="60">
                  <c:v>42681</c:v>
                </c:pt>
                <c:pt idx="61">
                  <c:v>42678</c:v>
                </c:pt>
                <c:pt idx="62">
                  <c:v>42677</c:v>
                </c:pt>
                <c:pt idx="63">
                  <c:v>42676</c:v>
                </c:pt>
                <c:pt idx="64">
                  <c:v>42675</c:v>
                </c:pt>
                <c:pt idx="65">
                  <c:v>42674</c:v>
                </c:pt>
              </c:numCache>
            </c:numRef>
          </c:cat>
          <c:val>
            <c:numRef>
              <c:f>CNI!$AA$2:$AA$67</c:f>
              <c:numCache>
                <c:formatCode>0.00</c:formatCode>
                <c:ptCount val="66"/>
                <c:pt idx="0">
                  <c:v>68.92</c:v>
                </c:pt>
                <c:pt idx="1">
                  <c:v>69.069999999999993</c:v>
                </c:pt>
                <c:pt idx="2">
                  <c:v>69.52</c:v>
                </c:pt>
                <c:pt idx="3">
                  <c:v>69.77</c:v>
                </c:pt>
                <c:pt idx="4">
                  <c:v>70.3</c:v>
                </c:pt>
                <c:pt idx="5">
                  <c:v>70.13</c:v>
                </c:pt>
                <c:pt idx="6">
                  <c:v>69.989999999999995</c:v>
                </c:pt>
                <c:pt idx="7">
                  <c:v>71.13</c:v>
                </c:pt>
                <c:pt idx="8">
                  <c:v>70.28</c:v>
                </c:pt>
                <c:pt idx="9">
                  <c:v>70.12</c:v>
                </c:pt>
                <c:pt idx="10">
                  <c:v>68.819999999999993</c:v>
                </c:pt>
                <c:pt idx="11">
                  <c:v>69.75</c:v>
                </c:pt>
                <c:pt idx="12">
                  <c:v>70.3</c:v>
                </c:pt>
                <c:pt idx="13">
                  <c:v>71</c:v>
                </c:pt>
                <c:pt idx="14">
                  <c:v>70.569999999999993</c:v>
                </c:pt>
                <c:pt idx="15">
                  <c:v>70.5</c:v>
                </c:pt>
                <c:pt idx="16">
                  <c:v>69.290000000000006</c:v>
                </c:pt>
                <c:pt idx="17">
                  <c:v>68.77</c:v>
                </c:pt>
                <c:pt idx="18">
                  <c:v>69.12</c:v>
                </c:pt>
                <c:pt idx="19">
                  <c:v>69.45</c:v>
                </c:pt>
                <c:pt idx="20">
                  <c:v>68.92</c:v>
                </c:pt>
                <c:pt idx="21">
                  <c:v>67.349999999999994</c:v>
                </c:pt>
                <c:pt idx="22">
                  <c:v>67.400000000000006</c:v>
                </c:pt>
                <c:pt idx="23">
                  <c:v>67.989999999999995</c:v>
                </c:pt>
                <c:pt idx="24">
                  <c:v>67.650000000000006</c:v>
                </c:pt>
                <c:pt idx="25">
                  <c:v>67.760000000000005</c:v>
                </c:pt>
                <c:pt idx="26">
                  <c:v>67.61</c:v>
                </c:pt>
                <c:pt idx="27">
                  <c:v>67.78</c:v>
                </c:pt>
                <c:pt idx="28">
                  <c:v>68</c:v>
                </c:pt>
                <c:pt idx="29">
                  <c:v>67.900000000000006</c:v>
                </c:pt>
                <c:pt idx="30">
                  <c:v>67.099999999999994</c:v>
                </c:pt>
                <c:pt idx="31">
                  <c:v>67.08</c:v>
                </c:pt>
                <c:pt idx="32">
                  <c:v>67.12</c:v>
                </c:pt>
                <c:pt idx="33">
                  <c:v>66.95</c:v>
                </c:pt>
                <c:pt idx="34">
                  <c:v>68.430000000000007</c:v>
                </c:pt>
                <c:pt idx="35">
                  <c:v>68.16</c:v>
                </c:pt>
                <c:pt idx="36">
                  <c:v>69.52</c:v>
                </c:pt>
                <c:pt idx="37">
                  <c:v>69.849999999999994</c:v>
                </c:pt>
                <c:pt idx="38">
                  <c:v>69.16</c:v>
                </c:pt>
                <c:pt idx="40">
                  <c:v>67.7</c:v>
                </c:pt>
                <c:pt idx="41">
                  <c:v>67.77</c:v>
                </c:pt>
                <c:pt idx="42">
                  <c:v>67.459999999999994</c:v>
                </c:pt>
                <c:pt idx="43">
                  <c:v>67.75</c:v>
                </c:pt>
                <c:pt idx="44">
                  <c:v>66.83</c:v>
                </c:pt>
                <c:pt idx="45">
                  <c:v>66.790000000000006</c:v>
                </c:pt>
                <c:pt idx="46">
                  <c:v>66.63</c:v>
                </c:pt>
                <c:pt idx="47">
                  <c:v>66.72</c:v>
                </c:pt>
                <c:pt idx="48">
                  <c:v>66.05</c:v>
                </c:pt>
                <c:pt idx="49">
                  <c:v>66.099999999999994</c:v>
                </c:pt>
                <c:pt idx="50">
                  <c:v>65.97</c:v>
                </c:pt>
                <c:pt idx="51">
                  <c:v>64.39</c:v>
                </c:pt>
                <c:pt idx="52">
                  <c:v>64.180000000000007</c:v>
                </c:pt>
                <c:pt idx="53">
                  <c:v>63.49</c:v>
                </c:pt>
                <c:pt idx="54">
                  <c:v>64.33</c:v>
                </c:pt>
                <c:pt idx="55">
                  <c:v>63.75</c:v>
                </c:pt>
                <c:pt idx="56">
                  <c:v>63.25</c:v>
                </c:pt>
                <c:pt idx="57">
                  <c:v>64.709999999999994</c:v>
                </c:pt>
                <c:pt idx="58">
                  <c:v>63.31</c:v>
                </c:pt>
                <c:pt idx="59">
                  <c:v>63.93</c:v>
                </c:pt>
                <c:pt idx="60">
                  <c:v>63.52</c:v>
                </c:pt>
                <c:pt idx="61">
                  <c:v>61.95</c:v>
                </c:pt>
                <c:pt idx="62">
                  <c:v>62.36</c:v>
                </c:pt>
                <c:pt idx="63">
                  <c:v>62.3</c:v>
                </c:pt>
                <c:pt idx="64">
                  <c:v>62.08</c:v>
                </c:pt>
                <c:pt idx="65">
                  <c:v>62.87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2041968"/>
        <c:axId val="652042360"/>
      </c:lineChart>
      <c:dateAx>
        <c:axId val="65204196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2042360"/>
        <c:crosses val="autoZero"/>
        <c:auto val="1"/>
        <c:lblOffset val="100"/>
        <c:baseTimeUnit val="days"/>
      </c:dateAx>
      <c:valAx>
        <c:axId val="652042360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20419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WFC!$AA$1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WFC!$W$2:$W$67</c:f>
              <c:numCache>
                <c:formatCode>d\-mmm\-yy</c:formatCode>
                <c:ptCount val="66"/>
                <c:pt idx="0">
                  <c:v>42768</c:v>
                </c:pt>
                <c:pt idx="1">
                  <c:v>42767</c:v>
                </c:pt>
                <c:pt idx="2">
                  <c:v>42767</c:v>
                </c:pt>
                <c:pt idx="3">
                  <c:v>42766</c:v>
                </c:pt>
                <c:pt idx="4">
                  <c:v>42765</c:v>
                </c:pt>
                <c:pt idx="5">
                  <c:v>42762</c:v>
                </c:pt>
                <c:pt idx="6">
                  <c:v>42761</c:v>
                </c:pt>
                <c:pt idx="7">
                  <c:v>42760</c:v>
                </c:pt>
                <c:pt idx="8">
                  <c:v>42759</c:v>
                </c:pt>
                <c:pt idx="9">
                  <c:v>42758</c:v>
                </c:pt>
                <c:pt idx="10">
                  <c:v>42755</c:v>
                </c:pt>
                <c:pt idx="11">
                  <c:v>42754</c:v>
                </c:pt>
                <c:pt idx="12">
                  <c:v>42753</c:v>
                </c:pt>
                <c:pt idx="13">
                  <c:v>42752</c:v>
                </c:pt>
                <c:pt idx="14">
                  <c:v>42748</c:v>
                </c:pt>
                <c:pt idx="15">
                  <c:v>42747</c:v>
                </c:pt>
                <c:pt idx="16">
                  <c:v>42746</c:v>
                </c:pt>
                <c:pt idx="17">
                  <c:v>42745</c:v>
                </c:pt>
                <c:pt idx="18">
                  <c:v>42744</c:v>
                </c:pt>
                <c:pt idx="19">
                  <c:v>42741</c:v>
                </c:pt>
                <c:pt idx="20">
                  <c:v>42740</c:v>
                </c:pt>
                <c:pt idx="21">
                  <c:v>42739</c:v>
                </c:pt>
                <c:pt idx="22">
                  <c:v>42738</c:v>
                </c:pt>
                <c:pt idx="23">
                  <c:v>42734</c:v>
                </c:pt>
                <c:pt idx="24">
                  <c:v>42733</c:v>
                </c:pt>
                <c:pt idx="25">
                  <c:v>42732</c:v>
                </c:pt>
                <c:pt idx="26">
                  <c:v>42731</c:v>
                </c:pt>
                <c:pt idx="27">
                  <c:v>42727</c:v>
                </c:pt>
                <c:pt idx="28">
                  <c:v>42726</c:v>
                </c:pt>
                <c:pt idx="29">
                  <c:v>42725</c:v>
                </c:pt>
                <c:pt idx="30">
                  <c:v>42724</c:v>
                </c:pt>
                <c:pt idx="31">
                  <c:v>42723</c:v>
                </c:pt>
                <c:pt idx="32">
                  <c:v>42720</c:v>
                </c:pt>
                <c:pt idx="33">
                  <c:v>42719</c:v>
                </c:pt>
                <c:pt idx="34">
                  <c:v>42718</c:v>
                </c:pt>
                <c:pt idx="35">
                  <c:v>42717</c:v>
                </c:pt>
                <c:pt idx="36">
                  <c:v>42716</c:v>
                </c:pt>
                <c:pt idx="37">
                  <c:v>42713</c:v>
                </c:pt>
                <c:pt idx="38">
                  <c:v>42712</c:v>
                </c:pt>
                <c:pt idx="39">
                  <c:v>42711</c:v>
                </c:pt>
                <c:pt idx="40">
                  <c:v>42710</c:v>
                </c:pt>
                <c:pt idx="41">
                  <c:v>42709</c:v>
                </c:pt>
                <c:pt idx="42">
                  <c:v>42706</c:v>
                </c:pt>
                <c:pt idx="43">
                  <c:v>42705</c:v>
                </c:pt>
                <c:pt idx="44">
                  <c:v>42704</c:v>
                </c:pt>
                <c:pt idx="45">
                  <c:v>42703</c:v>
                </c:pt>
                <c:pt idx="46">
                  <c:v>42702</c:v>
                </c:pt>
                <c:pt idx="47">
                  <c:v>42699</c:v>
                </c:pt>
                <c:pt idx="48">
                  <c:v>42697</c:v>
                </c:pt>
                <c:pt idx="49">
                  <c:v>42696</c:v>
                </c:pt>
                <c:pt idx="50">
                  <c:v>42695</c:v>
                </c:pt>
                <c:pt idx="51">
                  <c:v>42692</c:v>
                </c:pt>
                <c:pt idx="52">
                  <c:v>42691</c:v>
                </c:pt>
                <c:pt idx="53">
                  <c:v>42690</c:v>
                </c:pt>
                <c:pt idx="54">
                  <c:v>42689</c:v>
                </c:pt>
                <c:pt idx="55">
                  <c:v>42688</c:v>
                </c:pt>
                <c:pt idx="56">
                  <c:v>42685</c:v>
                </c:pt>
                <c:pt idx="57">
                  <c:v>42684</c:v>
                </c:pt>
                <c:pt idx="58">
                  <c:v>42683</c:v>
                </c:pt>
                <c:pt idx="59">
                  <c:v>42682</c:v>
                </c:pt>
                <c:pt idx="60">
                  <c:v>42681</c:v>
                </c:pt>
                <c:pt idx="61">
                  <c:v>42678</c:v>
                </c:pt>
                <c:pt idx="62">
                  <c:v>42677</c:v>
                </c:pt>
                <c:pt idx="63">
                  <c:v>42676</c:v>
                </c:pt>
                <c:pt idx="64">
                  <c:v>42676</c:v>
                </c:pt>
                <c:pt idx="65">
                  <c:v>42675</c:v>
                </c:pt>
              </c:numCache>
            </c:numRef>
          </c:cat>
          <c:val>
            <c:numRef>
              <c:f>WFC!$AA$2:$AA$67</c:f>
              <c:numCache>
                <c:formatCode>General</c:formatCode>
                <c:ptCount val="66"/>
                <c:pt idx="0">
                  <c:v>55.75</c:v>
                </c:pt>
                <c:pt idx="1">
                  <c:v>55.91</c:v>
                </c:pt>
                <c:pt idx="3">
                  <c:v>56.33</c:v>
                </c:pt>
                <c:pt idx="4">
                  <c:v>56.08</c:v>
                </c:pt>
                <c:pt idx="5">
                  <c:v>56.59</c:v>
                </c:pt>
                <c:pt idx="6">
                  <c:v>57.18</c:v>
                </c:pt>
                <c:pt idx="7">
                  <c:v>56.62</c:v>
                </c:pt>
                <c:pt idx="8">
                  <c:v>54.7</c:v>
                </c:pt>
                <c:pt idx="9">
                  <c:v>54.25</c:v>
                </c:pt>
                <c:pt idx="10">
                  <c:v>55.07</c:v>
                </c:pt>
                <c:pt idx="11">
                  <c:v>54.58</c:v>
                </c:pt>
                <c:pt idx="12">
                  <c:v>54.27</c:v>
                </c:pt>
                <c:pt idx="13">
                  <c:v>53.78</c:v>
                </c:pt>
                <c:pt idx="14">
                  <c:v>55.31</c:v>
                </c:pt>
                <c:pt idx="15">
                  <c:v>54.5</c:v>
                </c:pt>
                <c:pt idx="16">
                  <c:v>54.8</c:v>
                </c:pt>
                <c:pt idx="17">
                  <c:v>54.62</c:v>
                </c:pt>
                <c:pt idx="18">
                  <c:v>54.24</c:v>
                </c:pt>
                <c:pt idx="19">
                  <c:v>55.04</c:v>
                </c:pt>
                <c:pt idx="20">
                  <c:v>55.18</c:v>
                </c:pt>
                <c:pt idx="21">
                  <c:v>56.05</c:v>
                </c:pt>
                <c:pt idx="22">
                  <c:v>56</c:v>
                </c:pt>
                <c:pt idx="23">
                  <c:v>55.11</c:v>
                </c:pt>
                <c:pt idx="24">
                  <c:v>54.84</c:v>
                </c:pt>
                <c:pt idx="25">
                  <c:v>55.32</c:v>
                </c:pt>
                <c:pt idx="26">
                  <c:v>55.95</c:v>
                </c:pt>
                <c:pt idx="27">
                  <c:v>55.96</c:v>
                </c:pt>
                <c:pt idx="28">
                  <c:v>55.75</c:v>
                </c:pt>
                <c:pt idx="29">
                  <c:v>55.71</c:v>
                </c:pt>
                <c:pt idx="30">
                  <c:v>56.1</c:v>
                </c:pt>
                <c:pt idx="31">
                  <c:v>55.22</c:v>
                </c:pt>
                <c:pt idx="32">
                  <c:v>55.34</c:v>
                </c:pt>
                <c:pt idx="33">
                  <c:v>55.19</c:v>
                </c:pt>
                <c:pt idx="34">
                  <c:v>54.7</c:v>
                </c:pt>
                <c:pt idx="35">
                  <c:v>55.84</c:v>
                </c:pt>
                <c:pt idx="36">
                  <c:v>55.78</c:v>
                </c:pt>
                <c:pt idx="37">
                  <c:v>57.14</c:v>
                </c:pt>
                <c:pt idx="38">
                  <c:v>57.29</c:v>
                </c:pt>
                <c:pt idx="39">
                  <c:v>57.28</c:v>
                </c:pt>
                <c:pt idx="40">
                  <c:v>55.55</c:v>
                </c:pt>
                <c:pt idx="41">
                  <c:v>54.35</c:v>
                </c:pt>
                <c:pt idx="42">
                  <c:v>53.58</c:v>
                </c:pt>
                <c:pt idx="43">
                  <c:v>54.34</c:v>
                </c:pt>
                <c:pt idx="44">
                  <c:v>52.92</c:v>
                </c:pt>
                <c:pt idx="45">
                  <c:v>51.86</c:v>
                </c:pt>
                <c:pt idx="46">
                  <c:v>51.58</c:v>
                </c:pt>
                <c:pt idx="47">
                  <c:v>52.62</c:v>
                </c:pt>
                <c:pt idx="48">
                  <c:v>52.16</c:v>
                </c:pt>
                <c:pt idx="49">
                  <c:v>52.22</c:v>
                </c:pt>
                <c:pt idx="50">
                  <c:v>52.12</c:v>
                </c:pt>
                <c:pt idx="51">
                  <c:v>52.82</c:v>
                </c:pt>
                <c:pt idx="52">
                  <c:v>52.49</c:v>
                </c:pt>
                <c:pt idx="53">
                  <c:v>51.68</c:v>
                </c:pt>
                <c:pt idx="54">
                  <c:v>52.59</c:v>
                </c:pt>
                <c:pt idx="55">
                  <c:v>53.22</c:v>
                </c:pt>
                <c:pt idx="56">
                  <c:v>51.73</c:v>
                </c:pt>
                <c:pt idx="57">
                  <c:v>51.63</c:v>
                </c:pt>
                <c:pt idx="58">
                  <c:v>47.99</c:v>
                </c:pt>
                <c:pt idx="59">
                  <c:v>45.54</c:v>
                </c:pt>
                <c:pt idx="60">
                  <c:v>45.4</c:v>
                </c:pt>
                <c:pt idx="61">
                  <c:v>44.6</c:v>
                </c:pt>
                <c:pt idx="62">
                  <c:v>45.34</c:v>
                </c:pt>
                <c:pt idx="63">
                  <c:v>45.24</c:v>
                </c:pt>
                <c:pt idx="65">
                  <c:v>45.99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2044320"/>
        <c:axId val="652044712"/>
      </c:lineChart>
      <c:dateAx>
        <c:axId val="65204432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2044712"/>
        <c:crosses val="autoZero"/>
        <c:auto val="1"/>
        <c:lblOffset val="100"/>
        <c:baseTimeUnit val="days"/>
      </c:dateAx>
      <c:valAx>
        <c:axId val="652044712"/>
        <c:scaling>
          <c:orientation val="minMax"/>
          <c:min val="4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2044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AA!$W$2:$W$428</c:f>
              <c:strCache>
                <c:ptCount val="68"/>
                <c:pt idx="0">
                  <c:v>2-Feb-17</c:v>
                </c:pt>
                <c:pt idx="1">
                  <c:v>1-Feb-17</c:v>
                </c:pt>
                <c:pt idx="2">
                  <c:v>31-Jan-17</c:v>
                </c:pt>
                <c:pt idx="3">
                  <c:v>30-Jan-17</c:v>
                </c:pt>
                <c:pt idx="4">
                  <c:v>27-Jan-17</c:v>
                </c:pt>
                <c:pt idx="5">
                  <c:v>26-Jan-17</c:v>
                </c:pt>
                <c:pt idx="6">
                  <c:v>25-Jan-17</c:v>
                </c:pt>
                <c:pt idx="7">
                  <c:v>24-Jan-17</c:v>
                </c:pt>
                <c:pt idx="8">
                  <c:v>23-Jan-17</c:v>
                </c:pt>
                <c:pt idx="9">
                  <c:v>20-Jan-17</c:v>
                </c:pt>
                <c:pt idx="10">
                  <c:v>19-Jan-17</c:v>
                </c:pt>
                <c:pt idx="11">
                  <c:v>18-Jan-17</c:v>
                </c:pt>
                <c:pt idx="12">
                  <c:v>17-Jan-17</c:v>
                </c:pt>
                <c:pt idx="13">
                  <c:v>13-Jan-17</c:v>
                </c:pt>
                <c:pt idx="14">
                  <c:v>12-Jan-17</c:v>
                </c:pt>
                <c:pt idx="15">
                  <c:v>11-Jan-17</c:v>
                </c:pt>
                <c:pt idx="16">
                  <c:v>10-Jan-17</c:v>
                </c:pt>
                <c:pt idx="17">
                  <c:v>9-Jan-17</c:v>
                </c:pt>
                <c:pt idx="18">
                  <c:v>6-Jan-17</c:v>
                </c:pt>
                <c:pt idx="19">
                  <c:v>5-Jan-17</c:v>
                </c:pt>
                <c:pt idx="20">
                  <c:v>4-Jan-17</c:v>
                </c:pt>
                <c:pt idx="21">
                  <c:v>3-Jan-17</c:v>
                </c:pt>
                <c:pt idx="22">
                  <c:v>30-Dec-16</c:v>
                </c:pt>
                <c:pt idx="23">
                  <c:v>29-Dec-16</c:v>
                </c:pt>
                <c:pt idx="24">
                  <c:v>28-Dec-16</c:v>
                </c:pt>
                <c:pt idx="25">
                  <c:v>27-Dec-16</c:v>
                </c:pt>
                <c:pt idx="26">
                  <c:v>23-Dec-16</c:v>
                </c:pt>
                <c:pt idx="27">
                  <c:v>22-Dec-16</c:v>
                </c:pt>
                <c:pt idx="28">
                  <c:v>21-Dec-16</c:v>
                </c:pt>
                <c:pt idx="29">
                  <c:v>20-Dec-16</c:v>
                </c:pt>
                <c:pt idx="30">
                  <c:v>19-Dec-16</c:v>
                </c:pt>
                <c:pt idx="31">
                  <c:v>16-Dec-16</c:v>
                </c:pt>
                <c:pt idx="32">
                  <c:v>15-Dec-16</c:v>
                </c:pt>
                <c:pt idx="33">
                  <c:v>14-Dec-16</c:v>
                </c:pt>
                <c:pt idx="34">
                  <c:v>13-Dec-16</c:v>
                </c:pt>
                <c:pt idx="35">
                  <c:v>12-Dec-16</c:v>
                </c:pt>
                <c:pt idx="36">
                  <c:v>9-Dec-16</c:v>
                </c:pt>
                <c:pt idx="37">
                  <c:v>8-Dec-16</c:v>
                </c:pt>
                <c:pt idx="38">
                  <c:v>7-Dec-16</c:v>
                </c:pt>
                <c:pt idx="39">
                  <c:v>6-Dec-16</c:v>
                </c:pt>
                <c:pt idx="40">
                  <c:v>5-Dec-16</c:v>
                </c:pt>
                <c:pt idx="41">
                  <c:v>2-Dec-16</c:v>
                </c:pt>
                <c:pt idx="42">
                  <c:v>1-Dec-16</c:v>
                </c:pt>
                <c:pt idx="43">
                  <c:v>30-Nov-16</c:v>
                </c:pt>
                <c:pt idx="44">
                  <c:v>29-Nov-16</c:v>
                </c:pt>
                <c:pt idx="45">
                  <c:v>28-Nov-16</c:v>
                </c:pt>
                <c:pt idx="46">
                  <c:v>25-Nov-16</c:v>
                </c:pt>
                <c:pt idx="47">
                  <c:v>23-Nov-16</c:v>
                </c:pt>
                <c:pt idx="48">
                  <c:v>22-Nov-16</c:v>
                </c:pt>
                <c:pt idx="49">
                  <c:v>21-Nov-16</c:v>
                </c:pt>
                <c:pt idx="50">
                  <c:v>18-Nov-16</c:v>
                </c:pt>
                <c:pt idx="51">
                  <c:v>17-Nov-16</c:v>
                </c:pt>
                <c:pt idx="52">
                  <c:v>16-Nov-16</c:v>
                </c:pt>
                <c:pt idx="53">
                  <c:v>15-Nov-16</c:v>
                </c:pt>
                <c:pt idx="54">
                  <c:v>14-Nov-16</c:v>
                </c:pt>
                <c:pt idx="55">
                  <c:v>11-Nov-16</c:v>
                </c:pt>
                <c:pt idx="56">
                  <c:v>10-Nov-16</c:v>
                </c:pt>
                <c:pt idx="57">
                  <c:v>9-Nov-16</c:v>
                </c:pt>
                <c:pt idx="58">
                  <c:v>8-Nov-16</c:v>
                </c:pt>
                <c:pt idx="59">
                  <c:v>7-Nov-16</c:v>
                </c:pt>
                <c:pt idx="60">
                  <c:v>4-Nov-16</c:v>
                </c:pt>
                <c:pt idx="61">
                  <c:v>3-Nov-16</c:v>
                </c:pt>
                <c:pt idx="62">
                  <c:v>2-Nov-16</c:v>
                </c:pt>
                <c:pt idx="63">
                  <c:v>2-Nov-16</c:v>
                </c:pt>
                <c:pt idx="64">
                  <c:v>1-Nov-16</c:v>
                </c:pt>
                <c:pt idx="65">
                  <c:v>31-Oct-16</c:v>
                </c:pt>
                <c:pt idx="66">
                  <c:v>28-Oct-16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AA!$AA$2:$AA$428</c:f>
              <c:numCache>
                <c:formatCode>General</c:formatCode>
                <c:ptCount val="427"/>
                <c:pt idx="0">
                  <c:v>37.68</c:v>
                </c:pt>
                <c:pt idx="1">
                  <c:v>36.26</c:v>
                </c:pt>
                <c:pt idx="2">
                  <c:v>36.450000000000003</c:v>
                </c:pt>
                <c:pt idx="3">
                  <c:v>36.549999999999997</c:v>
                </c:pt>
                <c:pt idx="4">
                  <c:v>36.67</c:v>
                </c:pt>
                <c:pt idx="5">
                  <c:v>36.299999999999997</c:v>
                </c:pt>
                <c:pt idx="6">
                  <c:v>36.53</c:v>
                </c:pt>
                <c:pt idx="7">
                  <c:v>37.5</c:v>
                </c:pt>
                <c:pt idx="8">
                  <c:v>36.29</c:v>
                </c:pt>
                <c:pt idx="9">
                  <c:v>35.659999999999997</c:v>
                </c:pt>
                <c:pt idx="10">
                  <c:v>35.42</c:v>
                </c:pt>
                <c:pt idx="11">
                  <c:v>34.81</c:v>
                </c:pt>
                <c:pt idx="12">
                  <c:v>32.64</c:v>
                </c:pt>
                <c:pt idx="13">
                  <c:v>33.01</c:v>
                </c:pt>
                <c:pt idx="14">
                  <c:v>33.04</c:v>
                </c:pt>
                <c:pt idx="15">
                  <c:v>31.97</c:v>
                </c:pt>
                <c:pt idx="16">
                  <c:v>30.98</c:v>
                </c:pt>
                <c:pt idx="17">
                  <c:v>29.48</c:v>
                </c:pt>
                <c:pt idx="18">
                  <c:v>30.68</c:v>
                </c:pt>
                <c:pt idx="19">
                  <c:v>30.65</c:v>
                </c:pt>
                <c:pt idx="20">
                  <c:v>30.26</c:v>
                </c:pt>
                <c:pt idx="21">
                  <c:v>28.83</c:v>
                </c:pt>
                <c:pt idx="22">
                  <c:v>28.08</c:v>
                </c:pt>
                <c:pt idx="23">
                  <c:v>28.89</c:v>
                </c:pt>
                <c:pt idx="24">
                  <c:v>29.43</c:v>
                </c:pt>
                <c:pt idx="25">
                  <c:v>29.65</c:v>
                </c:pt>
                <c:pt idx="26">
                  <c:v>29.71</c:v>
                </c:pt>
                <c:pt idx="27">
                  <c:v>29.75</c:v>
                </c:pt>
                <c:pt idx="28">
                  <c:v>30.43</c:v>
                </c:pt>
                <c:pt idx="29">
                  <c:v>30.16</c:v>
                </c:pt>
                <c:pt idx="30">
                  <c:v>29.29</c:v>
                </c:pt>
                <c:pt idx="31">
                  <c:v>29.4</c:v>
                </c:pt>
                <c:pt idx="32">
                  <c:v>29.79</c:v>
                </c:pt>
                <c:pt idx="33">
                  <c:v>30.45</c:v>
                </c:pt>
                <c:pt idx="34">
                  <c:v>30.24</c:v>
                </c:pt>
                <c:pt idx="35">
                  <c:v>31.24</c:v>
                </c:pt>
                <c:pt idx="36">
                  <c:v>32.049999999999997</c:v>
                </c:pt>
                <c:pt idx="37">
                  <c:v>31.31</c:v>
                </c:pt>
                <c:pt idx="38">
                  <c:v>30.9</c:v>
                </c:pt>
                <c:pt idx="39">
                  <c:v>31.15</c:v>
                </c:pt>
                <c:pt idx="40">
                  <c:v>31.22</c:v>
                </c:pt>
                <c:pt idx="41">
                  <c:v>29.04</c:v>
                </c:pt>
                <c:pt idx="42">
                  <c:v>28.88</c:v>
                </c:pt>
                <c:pt idx="43">
                  <c:v>28.97</c:v>
                </c:pt>
                <c:pt idx="44">
                  <c:v>29.73</c:v>
                </c:pt>
                <c:pt idx="45">
                  <c:v>30.86</c:v>
                </c:pt>
                <c:pt idx="46">
                  <c:v>31.7</c:v>
                </c:pt>
                <c:pt idx="47">
                  <c:v>31.51</c:v>
                </c:pt>
                <c:pt idx="48">
                  <c:v>31.34</c:v>
                </c:pt>
                <c:pt idx="49">
                  <c:v>30.69</c:v>
                </c:pt>
                <c:pt idx="50">
                  <c:v>30.42</c:v>
                </c:pt>
                <c:pt idx="51">
                  <c:v>31.85</c:v>
                </c:pt>
                <c:pt idx="52">
                  <c:v>31.42</c:v>
                </c:pt>
                <c:pt idx="53">
                  <c:v>30.21</c:v>
                </c:pt>
                <c:pt idx="54">
                  <c:v>29.62</c:v>
                </c:pt>
                <c:pt idx="55">
                  <c:v>29.3</c:v>
                </c:pt>
                <c:pt idx="56">
                  <c:v>29.1</c:v>
                </c:pt>
                <c:pt idx="57">
                  <c:v>28.72</c:v>
                </c:pt>
                <c:pt idx="58">
                  <c:v>26.4</c:v>
                </c:pt>
                <c:pt idx="59">
                  <c:v>25.08</c:v>
                </c:pt>
                <c:pt idx="60">
                  <c:v>25.2</c:v>
                </c:pt>
                <c:pt idx="61">
                  <c:v>24.15</c:v>
                </c:pt>
                <c:pt idx="62">
                  <c:v>22.91</c:v>
                </c:pt>
                <c:pt idx="64">
                  <c:v>23</c:v>
                </c:pt>
                <c:pt idx="65">
                  <c:v>21.44</c:v>
                </c:pt>
                <c:pt idx="66">
                  <c:v>21.4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8903416"/>
        <c:axId val="708903808"/>
      </c:lineChart>
      <c:dateAx>
        <c:axId val="708903416"/>
        <c:scaling>
          <c:orientation val="maxMin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8903808"/>
        <c:crosses val="autoZero"/>
        <c:auto val="0"/>
        <c:lblOffset val="100"/>
        <c:baseTimeUnit val="days"/>
      </c:dateAx>
      <c:valAx>
        <c:axId val="708903808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89034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KATE!$AA$1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rgbClr val="FF0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KATE!$W$2:$W$67</c:f>
              <c:numCache>
                <c:formatCode>d\-mmm\-yy</c:formatCode>
                <c:ptCount val="66"/>
                <c:pt idx="0">
                  <c:v>42768</c:v>
                </c:pt>
                <c:pt idx="1">
                  <c:v>42767</c:v>
                </c:pt>
                <c:pt idx="2">
                  <c:v>42766</c:v>
                </c:pt>
                <c:pt idx="3">
                  <c:v>42765</c:v>
                </c:pt>
                <c:pt idx="4">
                  <c:v>42762</c:v>
                </c:pt>
                <c:pt idx="5">
                  <c:v>42761</c:v>
                </c:pt>
                <c:pt idx="6">
                  <c:v>42760</c:v>
                </c:pt>
                <c:pt idx="7">
                  <c:v>42759</c:v>
                </c:pt>
                <c:pt idx="8">
                  <c:v>42758</c:v>
                </c:pt>
                <c:pt idx="9">
                  <c:v>42755</c:v>
                </c:pt>
                <c:pt idx="10">
                  <c:v>42754</c:v>
                </c:pt>
                <c:pt idx="11">
                  <c:v>42753</c:v>
                </c:pt>
                <c:pt idx="12">
                  <c:v>42752</c:v>
                </c:pt>
                <c:pt idx="13">
                  <c:v>42748</c:v>
                </c:pt>
                <c:pt idx="14">
                  <c:v>42747</c:v>
                </c:pt>
                <c:pt idx="15">
                  <c:v>42746</c:v>
                </c:pt>
                <c:pt idx="16">
                  <c:v>42745</c:v>
                </c:pt>
                <c:pt idx="17">
                  <c:v>42744</c:v>
                </c:pt>
                <c:pt idx="18">
                  <c:v>42741</c:v>
                </c:pt>
                <c:pt idx="19">
                  <c:v>42740</c:v>
                </c:pt>
                <c:pt idx="20">
                  <c:v>42739</c:v>
                </c:pt>
                <c:pt idx="21">
                  <c:v>42738</c:v>
                </c:pt>
                <c:pt idx="22">
                  <c:v>42734</c:v>
                </c:pt>
                <c:pt idx="23">
                  <c:v>42733</c:v>
                </c:pt>
                <c:pt idx="24">
                  <c:v>42732</c:v>
                </c:pt>
                <c:pt idx="25">
                  <c:v>42731</c:v>
                </c:pt>
                <c:pt idx="26">
                  <c:v>42727</c:v>
                </c:pt>
                <c:pt idx="27">
                  <c:v>42726</c:v>
                </c:pt>
                <c:pt idx="28">
                  <c:v>42725</c:v>
                </c:pt>
                <c:pt idx="29">
                  <c:v>42724</c:v>
                </c:pt>
                <c:pt idx="30">
                  <c:v>42723</c:v>
                </c:pt>
                <c:pt idx="31">
                  <c:v>42720</c:v>
                </c:pt>
                <c:pt idx="32">
                  <c:v>42719</c:v>
                </c:pt>
                <c:pt idx="33">
                  <c:v>42718</c:v>
                </c:pt>
                <c:pt idx="34">
                  <c:v>42717</c:v>
                </c:pt>
                <c:pt idx="35">
                  <c:v>42716</c:v>
                </c:pt>
                <c:pt idx="36">
                  <c:v>42713</c:v>
                </c:pt>
                <c:pt idx="37">
                  <c:v>42712</c:v>
                </c:pt>
                <c:pt idx="38">
                  <c:v>42711</c:v>
                </c:pt>
                <c:pt idx="39">
                  <c:v>42710</c:v>
                </c:pt>
                <c:pt idx="40">
                  <c:v>42709</c:v>
                </c:pt>
                <c:pt idx="41">
                  <c:v>42706</c:v>
                </c:pt>
                <c:pt idx="42">
                  <c:v>42705</c:v>
                </c:pt>
                <c:pt idx="43">
                  <c:v>42704</c:v>
                </c:pt>
                <c:pt idx="44">
                  <c:v>42703</c:v>
                </c:pt>
                <c:pt idx="45">
                  <c:v>42702</c:v>
                </c:pt>
                <c:pt idx="46">
                  <c:v>42699</c:v>
                </c:pt>
                <c:pt idx="47">
                  <c:v>42697</c:v>
                </c:pt>
                <c:pt idx="48">
                  <c:v>42696</c:v>
                </c:pt>
                <c:pt idx="49">
                  <c:v>42695</c:v>
                </c:pt>
                <c:pt idx="50">
                  <c:v>42692</c:v>
                </c:pt>
                <c:pt idx="51">
                  <c:v>42691</c:v>
                </c:pt>
                <c:pt idx="52">
                  <c:v>42690</c:v>
                </c:pt>
                <c:pt idx="53">
                  <c:v>42689</c:v>
                </c:pt>
                <c:pt idx="54">
                  <c:v>42688</c:v>
                </c:pt>
                <c:pt idx="55">
                  <c:v>42685</c:v>
                </c:pt>
                <c:pt idx="56">
                  <c:v>42684</c:v>
                </c:pt>
                <c:pt idx="57">
                  <c:v>42683</c:v>
                </c:pt>
                <c:pt idx="58">
                  <c:v>42682</c:v>
                </c:pt>
                <c:pt idx="59">
                  <c:v>42681</c:v>
                </c:pt>
                <c:pt idx="60">
                  <c:v>42678</c:v>
                </c:pt>
                <c:pt idx="61">
                  <c:v>42677</c:v>
                </c:pt>
                <c:pt idx="62">
                  <c:v>42676</c:v>
                </c:pt>
                <c:pt idx="63">
                  <c:v>42675</c:v>
                </c:pt>
                <c:pt idx="64">
                  <c:v>42674</c:v>
                </c:pt>
                <c:pt idx="65">
                  <c:v>42671</c:v>
                </c:pt>
              </c:numCache>
            </c:numRef>
          </c:cat>
          <c:val>
            <c:numRef>
              <c:f>KATE!$AA$2:$AA$68</c:f>
              <c:numCache>
                <c:formatCode>General</c:formatCode>
                <c:ptCount val="67"/>
                <c:pt idx="0">
                  <c:v>18.18</c:v>
                </c:pt>
                <c:pt idx="1">
                  <c:v>18.53</c:v>
                </c:pt>
                <c:pt idx="2">
                  <c:v>18.510000000000002</c:v>
                </c:pt>
                <c:pt idx="3">
                  <c:v>17.89</c:v>
                </c:pt>
                <c:pt idx="4">
                  <c:v>18.2</c:v>
                </c:pt>
                <c:pt idx="5">
                  <c:v>18.670000000000002</c:v>
                </c:pt>
                <c:pt idx="6">
                  <c:v>18.63</c:v>
                </c:pt>
                <c:pt idx="7">
                  <c:v>18.61</c:v>
                </c:pt>
                <c:pt idx="8">
                  <c:v>18.399999999999999</c:v>
                </c:pt>
                <c:pt idx="9">
                  <c:v>17.760000000000002</c:v>
                </c:pt>
                <c:pt idx="10">
                  <c:v>17.829999999999998</c:v>
                </c:pt>
                <c:pt idx="11">
                  <c:v>18.28</c:v>
                </c:pt>
                <c:pt idx="12">
                  <c:v>17.97</c:v>
                </c:pt>
                <c:pt idx="13">
                  <c:v>18.100000000000001</c:v>
                </c:pt>
                <c:pt idx="14">
                  <c:v>18.16</c:v>
                </c:pt>
                <c:pt idx="15">
                  <c:v>17.95</c:v>
                </c:pt>
                <c:pt idx="16">
                  <c:v>18.21</c:v>
                </c:pt>
                <c:pt idx="17">
                  <c:v>17.809999999999999</c:v>
                </c:pt>
                <c:pt idx="18">
                  <c:v>17.579999999999998</c:v>
                </c:pt>
                <c:pt idx="19">
                  <c:v>18.260000000000002</c:v>
                </c:pt>
                <c:pt idx="20">
                  <c:v>18.14</c:v>
                </c:pt>
                <c:pt idx="21">
                  <c:v>17.84</c:v>
                </c:pt>
                <c:pt idx="22">
                  <c:v>18.670000000000002</c:v>
                </c:pt>
                <c:pt idx="23">
                  <c:v>18.489999999999998</c:v>
                </c:pt>
                <c:pt idx="24">
                  <c:v>17.86</c:v>
                </c:pt>
                <c:pt idx="25">
                  <c:v>14.51</c:v>
                </c:pt>
                <c:pt idx="26">
                  <c:v>14.15</c:v>
                </c:pt>
                <c:pt idx="27">
                  <c:v>14.02</c:v>
                </c:pt>
                <c:pt idx="28">
                  <c:v>14.6</c:v>
                </c:pt>
                <c:pt idx="29">
                  <c:v>14.7</c:v>
                </c:pt>
                <c:pt idx="30">
                  <c:v>14.48</c:v>
                </c:pt>
                <c:pt idx="31">
                  <c:v>14.57</c:v>
                </c:pt>
                <c:pt idx="32">
                  <c:v>14.9</c:v>
                </c:pt>
                <c:pt idx="33">
                  <c:v>15.29</c:v>
                </c:pt>
                <c:pt idx="34">
                  <c:v>15.51</c:v>
                </c:pt>
                <c:pt idx="35">
                  <c:v>15.58</c:v>
                </c:pt>
                <c:pt idx="36">
                  <c:v>16.72</c:v>
                </c:pt>
                <c:pt idx="37">
                  <c:v>17.010000000000002</c:v>
                </c:pt>
                <c:pt idx="38">
                  <c:v>15.71</c:v>
                </c:pt>
                <c:pt idx="39">
                  <c:v>15.4</c:v>
                </c:pt>
                <c:pt idx="40">
                  <c:v>15.29</c:v>
                </c:pt>
                <c:pt idx="41">
                  <c:v>14.85</c:v>
                </c:pt>
                <c:pt idx="42">
                  <c:v>14.4</c:v>
                </c:pt>
                <c:pt idx="43">
                  <c:v>14.85</c:v>
                </c:pt>
                <c:pt idx="44">
                  <c:v>15.35</c:v>
                </c:pt>
                <c:pt idx="45">
                  <c:v>15.74</c:v>
                </c:pt>
                <c:pt idx="46">
                  <c:v>16.02</c:v>
                </c:pt>
                <c:pt idx="47">
                  <c:v>16.350000000000001</c:v>
                </c:pt>
                <c:pt idx="48">
                  <c:v>16.71</c:v>
                </c:pt>
                <c:pt idx="49">
                  <c:v>16.29</c:v>
                </c:pt>
                <c:pt idx="50">
                  <c:v>16.39</c:v>
                </c:pt>
                <c:pt idx="51">
                  <c:v>16.97</c:v>
                </c:pt>
                <c:pt idx="52">
                  <c:v>17.23</c:v>
                </c:pt>
                <c:pt idx="53">
                  <c:v>17.399999999999999</c:v>
                </c:pt>
                <c:pt idx="54">
                  <c:v>17.93</c:v>
                </c:pt>
                <c:pt idx="55">
                  <c:v>16.62</c:v>
                </c:pt>
                <c:pt idx="56">
                  <c:v>16.55</c:v>
                </c:pt>
                <c:pt idx="57">
                  <c:v>16.03</c:v>
                </c:pt>
                <c:pt idx="58">
                  <c:v>15.7</c:v>
                </c:pt>
                <c:pt idx="59">
                  <c:v>15.92</c:v>
                </c:pt>
                <c:pt idx="60">
                  <c:v>15.57</c:v>
                </c:pt>
                <c:pt idx="61">
                  <c:v>15.15</c:v>
                </c:pt>
                <c:pt idx="62">
                  <c:v>14.67</c:v>
                </c:pt>
                <c:pt idx="63">
                  <c:v>16.329999999999998</c:v>
                </c:pt>
                <c:pt idx="64">
                  <c:v>16.75</c:v>
                </c:pt>
                <c:pt idx="65">
                  <c:v>16.309999999999999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8905768"/>
        <c:axId val="708906160"/>
      </c:lineChart>
      <c:dateAx>
        <c:axId val="70890576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8906160"/>
        <c:crosses val="autoZero"/>
        <c:auto val="1"/>
        <c:lblOffset val="100"/>
        <c:baseTimeUnit val="days"/>
      </c:dateAx>
      <c:valAx>
        <c:axId val="708906160"/>
        <c:scaling>
          <c:orientation val="minMax"/>
          <c:min val="14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89057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CF!$AA$1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CF!$W$2:$W$67</c:f>
              <c:numCache>
                <c:formatCode>d\-mmm\-yy</c:formatCode>
                <c:ptCount val="66"/>
                <c:pt idx="0">
                  <c:v>42768</c:v>
                </c:pt>
                <c:pt idx="1">
                  <c:v>42767</c:v>
                </c:pt>
                <c:pt idx="2">
                  <c:v>42766</c:v>
                </c:pt>
                <c:pt idx="3">
                  <c:v>42765</c:v>
                </c:pt>
                <c:pt idx="4">
                  <c:v>42762</c:v>
                </c:pt>
                <c:pt idx="5">
                  <c:v>42761</c:v>
                </c:pt>
                <c:pt idx="6">
                  <c:v>42760</c:v>
                </c:pt>
                <c:pt idx="7">
                  <c:v>42759</c:v>
                </c:pt>
                <c:pt idx="8">
                  <c:v>42758</c:v>
                </c:pt>
                <c:pt idx="9">
                  <c:v>42755</c:v>
                </c:pt>
                <c:pt idx="10">
                  <c:v>42754</c:v>
                </c:pt>
                <c:pt idx="11">
                  <c:v>42753</c:v>
                </c:pt>
                <c:pt idx="12">
                  <c:v>42752</c:v>
                </c:pt>
                <c:pt idx="13">
                  <c:v>42748</c:v>
                </c:pt>
                <c:pt idx="14">
                  <c:v>42747</c:v>
                </c:pt>
                <c:pt idx="15">
                  <c:v>42746</c:v>
                </c:pt>
                <c:pt idx="16">
                  <c:v>42745</c:v>
                </c:pt>
                <c:pt idx="17">
                  <c:v>42744</c:v>
                </c:pt>
                <c:pt idx="18">
                  <c:v>42741</c:v>
                </c:pt>
                <c:pt idx="19">
                  <c:v>42740</c:v>
                </c:pt>
                <c:pt idx="20">
                  <c:v>42739</c:v>
                </c:pt>
                <c:pt idx="21">
                  <c:v>42738</c:v>
                </c:pt>
                <c:pt idx="22">
                  <c:v>42734</c:v>
                </c:pt>
                <c:pt idx="23">
                  <c:v>42733</c:v>
                </c:pt>
                <c:pt idx="24">
                  <c:v>42732</c:v>
                </c:pt>
                <c:pt idx="25">
                  <c:v>42731</c:v>
                </c:pt>
                <c:pt idx="26">
                  <c:v>42727</c:v>
                </c:pt>
                <c:pt idx="27">
                  <c:v>42726</c:v>
                </c:pt>
                <c:pt idx="28">
                  <c:v>42725</c:v>
                </c:pt>
                <c:pt idx="29">
                  <c:v>42724</c:v>
                </c:pt>
                <c:pt idx="30">
                  <c:v>42723</c:v>
                </c:pt>
                <c:pt idx="31">
                  <c:v>42720</c:v>
                </c:pt>
                <c:pt idx="32">
                  <c:v>42719</c:v>
                </c:pt>
                <c:pt idx="33">
                  <c:v>42718</c:v>
                </c:pt>
                <c:pt idx="34">
                  <c:v>42717</c:v>
                </c:pt>
                <c:pt idx="35">
                  <c:v>42716</c:v>
                </c:pt>
                <c:pt idx="36">
                  <c:v>42713</c:v>
                </c:pt>
                <c:pt idx="37">
                  <c:v>42712</c:v>
                </c:pt>
                <c:pt idx="38">
                  <c:v>42711</c:v>
                </c:pt>
                <c:pt idx="39">
                  <c:v>42710</c:v>
                </c:pt>
                <c:pt idx="40">
                  <c:v>42709</c:v>
                </c:pt>
                <c:pt idx="41">
                  <c:v>42706</c:v>
                </c:pt>
                <c:pt idx="42">
                  <c:v>42705</c:v>
                </c:pt>
                <c:pt idx="43">
                  <c:v>42704</c:v>
                </c:pt>
                <c:pt idx="44">
                  <c:v>42703</c:v>
                </c:pt>
                <c:pt idx="45">
                  <c:v>42702</c:v>
                </c:pt>
                <c:pt idx="46">
                  <c:v>42699</c:v>
                </c:pt>
                <c:pt idx="47">
                  <c:v>42697</c:v>
                </c:pt>
                <c:pt idx="48">
                  <c:v>42696</c:v>
                </c:pt>
                <c:pt idx="49">
                  <c:v>42695</c:v>
                </c:pt>
                <c:pt idx="50">
                  <c:v>42692</c:v>
                </c:pt>
                <c:pt idx="51">
                  <c:v>42691</c:v>
                </c:pt>
                <c:pt idx="52">
                  <c:v>42690</c:v>
                </c:pt>
                <c:pt idx="53">
                  <c:v>42689</c:v>
                </c:pt>
                <c:pt idx="54">
                  <c:v>42688</c:v>
                </c:pt>
                <c:pt idx="55">
                  <c:v>42685</c:v>
                </c:pt>
                <c:pt idx="56">
                  <c:v>42684</c:v>
                </c:pt>
                <c:pt idx="57">
                  <c:v>42684</c:v>
                </c:pt>
                <c:pt idx="58">
                  <c:v>42683</c:v>
                </c:pt>
                <c:pt idx="59">
                  <c:v>42682</c:v>
                </c:pt>
                <c:pt idx="60">
                  <c:v>42681</c:v>
                </c:pt>
                <c:pt idx="61">
                  <c:v>42678</c:v>
                </c:pt>
                <c:pt idx="62">
                  <c:v>42677</c:v>
                </c:pt>
                <c:pt idx="63">
                  <c:v>42676</c:v>
                </c:pt>
                <c:pt idx="64">
                  <c:v>42675</c:v>
                </c:pt>
                <c:pt idx="65">
                  <c:v>42674</c:v>
                </c:pt>
              </c:numCache>
            </c:numRef>
          </c:cat>
          <c:val>
            <c:numRef>
              <c:f>CF!$AA$2:$AA$69</c:f>
              <c:numCache>
                <c:formatCode>General</c:formatCode>
                <c:ptCount val="68"/>
                <c:pt idx="0">
                  <c:v>35.630000000000003</c:v>
                </c:pt>
                <c:pt idx="1">
                  <c:v>36.630000000000003</c:v>
                </c:pt>
                <c:pt idx="2">
                  <c:v>35.29</c:v>
                </c:pt>
                <c:pt idx="3">
                  <c:v>35.39</c:v>
                </c:pt>
                <c:pt idx="4">
                  <c:v>36.51</c:v>
                </c:pt>
                <c:pt idx="5">
                  <c:v>36.21</c:v>
                </c:pt>
                <c:pt idx="6">
                  <c:v>36.54</c:v>
                </c:pt>
                <c:pt idx="7">
                  <c:v>36.85</c:v>
                </c:pt>
                <c:pt idx="8">
                  <c:v>35.25</c:v>
                </c:pt>
                <c:pt idx="9">
                  <c:v>34.200000000000003</c:v>
                </c:pt>
                <c:pt idx="10">
                  <c:v>32.25</c:v>
                </c:pt>
                <c:pt idx="11">
                  <c:v>32.32</c:v>
                </c:pt>
                <c:pt idx="12">
                  <c:v>32.89</c:v>
                </c:pt>
                <c:pt idx="13">
                  <c:v>33.979999999999997</c:v>
                </c:pt>
                <c:pt idx="14">
                  <c:v>34.51</c:v>
                </c:pt>
                <c:pt idx="15">
                  <c:v>34.19</c:v>
                </c:pt>
                <c:pt idx="16">
                  <c:v>32.729999999999997</c:v>
                </c:pt>
                <c:pt idx="17">
                  <c:v>33.770000000000003</c:v>
                </c:pt>
                <c:pt idx="18">
                  <c:v>33.47</c:v>
                </c:pt>
                <c:pt idx="19">
                  <c:v>33.049999999999997</c:v>
                </c:pt>
                <c:pt idx="20">
                  <c:v>33.04</c:v>
                </c:pt>
                <c:pt idx="21">
                  <c:v>31.87</c:v>
                </c:pt>
                <c:pt idx="22">
                  <c:v>31.48</c:v>
                </c:pt>
                <c:pt idx="23">
                  <c:v>31.9</c:v>
                </c:pt>
                <c:pt idx="24">
                  <c:v>31.63</c:v>
                </c:pt>
                <c:pt idx="25">
                  <c:v>31.95</c:v>
                </c:pt>
                <c:pt idx="26">
                  <c:v>30.71</c:v>
                </c:pt>
                <c:pt idx="27">
                  <c:v>30.11</c:v>
                </c:pt>
                <c:pt idx="28">
                  <c:v>28.9</c:v>
                </c:pt>
                <c:pt idx="29">
                  <c:v>28.99</c:v>
                </c:pt>
                <c:pt idx="30">
                  <c:v>28.29</c:v>
                </c:pt>
                <c:pt idx="31">
                  <c:v>29.48</c:v>
                </c:pt>
                <c:pt idx="32">
                  <c:v>28.65</c:v>
                </c:pt>
                <c:pt idx="33">
                  <c:v>28.11</c:v>
                </c:pt>
                <c:pt idx="34">
                  <c:v>28.41</c:v>
                </c:pt>
                <c:pt idx="35">
                  <c:v>29</c:v>
                </c:pt>
                <c:pt idx="36">
                  <c:v>30.95</c:v>
                </c:pt>
                <c:pt idx="37">
                  <c:v>30.37</c:v>
                </c:pt>
                <c:pt idx="38">
                  <c:v>29.72</c:v>
                </c:pt>
                <c:pt idx="39">
                  <c:v>28.57</c:v>
                </c:pt>
                <c:pt idx="40">
                  <c:v>28.58</c:v>
                </c:pt>
                <c:pt idx="41">
                  <c:v>28.38</c:v>
                </c:pt>
                <c:pt idx="42">
                  <c:v>28.72</c:v>
                </c:pt>
                <c:pt idx="43">
                  <c:v>28.94</c:v>
                </c:pt>
                <c:pt idx="44">
                  <c:v>27.43</c:v>
                </c:pt>
                <c:pt idx="45">
                  <c:v>28.19</c:v>
                </c:pt>
                <c:pt idx="46">
                  <c:v>28.55</c:v>
                </c:pt>
                <c:pt idx="47">
                  <c:v>28.38</c:v>
                </c:pt>
                <c:pt idx="48">
                  <c:v>28.39</c:v>
                </c:pt>
                <c:pt idx="49">
                  <c:v>29.87</c:v>
                </c:pt>
                <c:pt idx="50">
                  <c:v>28.96</c:v>
                </c:pt>
                <c:pt idx="51">
                  <c:v>27.09</c:v>
                </c:pt>
                <c:pt idx="52">
                  <c:v>27.44</c:v>
                </c:pt>
                <c:pt idx="53">
                  <c:v>27.8</c:v>
                </c:pt>
                <c:pt idx="54">
                  <c:v>28.2</c:v>
                </c:pt>
                <c:pt idx="55">
                  <c:v>27.78</c:v>
                </c:pt>
                <c:pt idx="56">
                  <c:v>27.13</c:v>
                </c:pt>
                <c:pt idx="58">
                  <c:v>26.48</c:v>
                </c:pt>
                <c:pt idx="59">
                  <c:v>24.34</c:v>
                </c:pt>
                <c:pt idx="60">
                  <c:v>23.29</c:v>
                </c:pt>
                <c:pt idx="61">
                  <c:v>23.11</c:v>
                </c:pt>
                <c:pt idx="62">
                  <c:v>22.6</c:v>
                </c:pt>
                <c:pt idx="63">
                  <c:v>24.7</c:v>
                </c:pt>
                <c:pt idx="64">
                  <c:v>24.89</c:v>
                </c:pt>
                <c:pt idx="65">
                  <c:v>24.01</c:v>
                </c:pt>
                <c:pt idx="66">
                  <c:v>24.52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8908120"/>
        <c:axId val="708908512"/>
      </c:lineChart>
      <c:dateAx>
        <c:axId val="70890812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8908512"/>
        <c:crosses val="autoZero"/>
        <c:auto val="1"/>
        <c:lblOffset val="100"/>
        <c:baseTimeUnit val="days"/>
      </c:dateAx>
      <c:valAx>
        <c:axId val="708908512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8908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TGT!$AA$1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TGT!$W$2:$W$67</c:f>
              <c:numCache>
                <c:formatCode>d\-mmm\-yy</c:formatCode>
                <c:ptCount val="66"/>
                <c:pt idx="0">
                  <c:v>42768</c:v>
                </c:pt>
                <c:pt idx="1">
                  <c:v>42767</c:v>
                </c:pt>
                <c:pt idx="2">
                  <c:v>42766</c:v>
                </c:pt>
                <c:pt idx="3">
                  <c:v>42765</c:v>
                </c:pt>
                <c:pt idx="4">
                  <c:v>42762</c:v>
                </c:pt>
                <c:pt idx="5">
                  <c:v>42761</c:v>
                </c:pt>
                <c:pt idx="6">
                  <c:v>42760</c:v>
                </c:pt>
                <c:pt idx="7">
                  <c:v>42759</c:v>
                </c:pt>
                <c:pt idx="8">
                  <c:v>42758</c:v>
                </c:pt>
                <c:pt idx="9">
                  <c:v>42755</c:v>
                </c:pt>
                <c:pt idx="10">
                  <c:v>42754</c:v>
                </c:pt>
                <c:pt idx="11">
                  <c:v>42753</c:v>
                </c:pt>
                <c:pt idx="12">
                  <c:v>42752</c:v>
                </c:pt>
                <c:pt idx="13">
                  <c:v>42748</c:v>
                </c:pt>
                <c:pt idx="14">
                  <c:v>42747</c:v>
                </c:pt>
                <c:pt idx="15">
                  <c:v>42746</c:v>
                </c:pt>
                <c:pt idx="16">
                  <c:v>42745</c:v>
                </c:pt>
                <c:pt idx="17">
                  <c:v>42744</c:v>
                </c:pt>
                <c:pt idx="18">
                  <c:v>42741</c:v>
                </c:pt>
                <c:pt idx="19">
                  <c:v>42740</c:v>
                </c:pt>
                <c:pt idx="20">
                  <c:v>42739</c:v>
                </c:pt>
                <c:pt idx="21">
                  <c:v>42738</c:v>
                </c:pt>
                <c:pt idx="22">
                  <c:v>42734</c:v>
                </c:pt>
                <c:pt idx="23">
                  <c:v>42733</c:v>
                </c:pt>
                <c:pt idx="24">
                  <c:v>42732</c:v>
                </c:pt>
                <c:pt idx="25">
                  <c:v>42731</c:v>
                </c:pt>
                <c:pt idx="26">
                  <c:v>42727</c:v>
                </c:pt>
                <c:pt idx="27">
                  <c:v>42726</c:v>
                </c:pt>
                <c:pt idx="28">
                  <c:v>42725</c:v>
                </c:pt>
                <c:pt idx="29">
                  <c:v>42724</c:v>
                </c:pt>
                <c:pt idx="30">
                  <c:v>42723</c:v>
                </c:pt>
                <c:pt idx="31">
                  <c:v>42720</c:v>
                </c:pt>
                <c:pt idx="32">
                  <c:v>42719</c:v>
                </c:pt>
                <c:pt idx="33">
                  <c:v>42718</c:v>
                </c:pt>
                <c:pt idx="34">
                  <c:v>42717</c:v>
                </c:pt>
                <c:pt idx="35">
                  <c:v>42716</c:v>
                </c:pt>
                <c:pt idx="36">
                  <c:v>42713</c:v>
                </c:pt>
                <c:pt idx="37">
                  <c:v>42712</c:v>
                </c:pt>
                <c:pt idx="38">
                  <c:v>42711</c:v>
                </c:pt>
                <c:pt idx="39">
                  <c:v>42710</c:v>
                </c:pt>
                <c:pt idx="40">
                  <c:v>42709</c:v>
                </c:pt>
                <c:pt idx="41">
                  <c:v>42706</c:v>
                </c:pt>
                <c:pt idx="42">
                  <c:v>42705</c:v>
                </c:pt>
                <c:pt idx="43">
                  <c:v>42704</c:v>
                </c:pt>
                <c:pt idx="44">
                  <c:v>42703</c:v>
                </c:pt>
                <c:pt idx="45">
                  <c:v>42702</c:v>
                </c:pt>
                <c:pt idx="46">
                  <c:v>42699</c:v>
                </c:pt>
                <c:pt idx="47">
                  <c:v>42697</c:v>
                </c:pt>
                <c:pt idx="48">
                  <c:v>42696</c:v>
                </c:pt>
                <c:pt idx="49">
                  <c:v>42695</c:v>
                </c:pt>
                <c:pt idx="50">
                  <c:v>42692</c:v>
                </c:pt>
                <c:pt idx="51">
                  <c:v>42691</c:v>
                </c:pt>
                <c:pt idx="52">
                  <c:v>42690</c:v>
                </c:pt>
                <c:pt idx="53">
                  <c:v>42689</c:v>
                </c:pt>
                <c:pt idx="54">
                  <c:v>42688</c:v>
                </c:pt>
                <c:pt idx="55">
                  <c:v>42688</c:v>
                </c:pt>
                <c:pt idx="56">
                  <c:v>42685</c:v>
                </c:pt>
                <c:pt idx="57">
                  <c:v>42684</c:v>
                </c:pt>
                <c:pt idx="58">
                  <c:v>42683</c:v>
                </c:pt>
                <c:pt idx="59">
                  <c:v>42682</c:v>
                </c:pt>
                <c:pt idx="60">
                  <c:v>42681</c:v>
                </c:pt>
                <c:pt idx="61">
                  <c:v>42678</c:v>
                </c:pt>
                <c:pt idx="62">
                  <c:v>42677</c:v>
                </c:pt>
                <c:pt idx="63">
                  <c:v>42676</c:v>
                </c:pt>
                <c:pt idx="64">
                  <c:v>42675</c:v>
                </c:pt>
                <c:pt idx="65">
                  <c:v>42674</c:v>
                </c:pt>
              </c:numCache>
            </c:numRef>
          </c:cat>
          <c:val>
            <c:numRef>
              <c:f>TGT!$AA$2:$AA$69</c:f>
              <c:numCache>
                <c:formatCode>General</c:formatCode>
                <c:ptCount val="68"/>
                <c:pt idx="0">
                  <c:v>63.68</c:v>
                </c:pt>
                <c:pt idx="1">
                  <c:v>63.67</c:v>
                </c:pt>
                <c:pt idx="2">
                  <c:v>64.48</c:v>
                </c:pt>
                <c:pt idx="3">
                  <c:v>64.12</c:v>
                </c:pt>
                <c:pt idx="4">
                  <c:v>63.7</c:v>
                </c:pt>
                <c:pt idx="5">
                  <c:v>64.17</c:v>
                </c:pt>
                <c:pt idx="6">
                  <c:v>65</c:v>
                </c:pt>
                <c:pt idx="7">
                  <c:v>64.41</c:v>
                </c:pt>
                <c:pt idx="8">
                  <c:v>63.85</c:v>
                </c:pt>
                <c:pt idx="9">
                  <c:v>64.099999999999994</c:v>
                </c:pt>
                <c:pt idx="10">
                  <c:v>65.39</c:v>
                </c:pt>
                <c:pt idx="11">
                  <c:v>66.849999999999994</c:v>
                </c:pt>
                <c:pt idx="12">
                  <c:v>70.94</c:v>
                </c:pt>
                <c:pt idx="13">
                  <c:v>70.19</c:v>
                </c:pt>
                <c:pt idx="14">
                  <c:v>71.25</c:v>
                </c:pt>
                <c:pt idx="15">
                  <c:v>71.61</c:v>
                </c:pt>
                <c:pt idx="16">
                  <c:v>71.430000000000007</c:v>
                </c:pt>
                <c:pt idx="17">
                  <c:v>71.430000000000007</c:v>
                </c:pt>
                <c:pt idx="18">
                  <c:v>71.44</c:v>
                </c:pt>
                <c:pt idx="19">
                  <c:v>72.56</c:v>
                </c:pt>
                <c:pt idx="20">
                  <c:v>73.81</c:v>
                </c:pt>
                <c:pt idx="21">
                  <c:v>72.75</c:v>
                </c:pt>
                <c:pt idx="22">
                  <c:v>72.23</c:v>
                </c:pt>
                <c:pt idx="23">
                  <c:v>72.62</c:v>
                </c:pt>
                <c:pt idx="24">
                  <c:v>72.83</c:v>
                </c:pt>
                <c:pt idx="25">
                  <c:v>73.7</c:v>
                </c:pt>
                <c:pt idx="26">
                  <c:v>73.5</c:v>
                </c:pt>
                <c:pt idx="27">
                  <c:v>73.739999999999995</c:v>
                </c:pt>
                <c:pt idx="28">
                  <c:v>77.13</c:v>
                </c:pt>
                <c:pt idx="29">
                  <c:v>77.650000000000006</c:v>
                </c:pt>
                <c:pt idx="30">
                  <c:v>77.040000000000006</c:v>
                </c:pt>
                <c:pt idx="31">
                  <c:v>76.75</c:v>
                </c:pt>
                <c:pt idx="32">
                  <c:v>76.98</c:v>
                </c:pt>
                <c:pt idx="33">
                  <c:v>77.19</c:v>
                </c:pt>
                <c:pt idx="34">
                  <c:v>77.67</c:v>
                </c:pt>
                <c:pt idx="35">
                  <c:v>76.739999999999995</c:v>
                </c:pt>
                <c:pt idx="36">
                  <c:v>77.39</c:v>
                </c:pt>
                <c:pt idx="37">
                  <c:v>77.84</c:v>
                </c:pt>
                <c:pt idx="38">
                  <c:v>76.97</c:v>
                </c:pt>
                <c:pt idx="39">
                  <c:v>76.77</c:v>
                </c:pt>
                <c:pt idx="40">
                  <c:v>76.98</c:v>
                </c:pt>
                <c:pt idx="41">
                  <c:v>77.94</c:v>
                </c:pt>
                <c:pt idx="42">
                  <c:v>77.819999999999993</c:v>
                </c:pt>
                <c:pt idx="43">
                  <c:v>77.239999999999995</c:v>
                </c:pt>
                <c:pt idx="44">
                  <c:v>78.41</c:v>
                </c:pt>
                <c:pt idx="45">
                  <c:v>77.72</c:v>
                </c:pt>
                <c:pt idx="46">
                  <c:v>78.61</c:v>
                </c:pt>
                <c:pt idx="47">
                  <c:v>78.48</c:v>
                </c:pt>
                <c:pt idx="48">
                  <c:v>77.87</c:v>
                </c:pt>
                <c:pt idx="49">
                  <c:v>76.510000000000005</c:v>
                </c:pt>
                <c:pt idx="50">
                  <c:v>76.19</c:v>
                </c:pt>
                <c:pt idx="51">
                  <c:v>76.13</c:v>
                </c:pt>
                <c:pt idx="52">
                  <c:v>76.03</c:v>
                </c:pt>
                <c:pt idx="53">
                  <c:v>71.44</c:v>
                </c:pt>
                <c:pt idx="54">
                  <c:v>72.17</c:v>
                </c:pt>
                <c:pt idx="56">
                  <c:v>71.349999999999994</c:v>
                </c:pt>
                <c:pt idx="57">
                  <c:v>70.540000000000006</c:v>
                </c:pt>
                <c:pt idx="58">
                  <c:v>68.81</c:v>
                </c:pt>
                <c:pt idx="59">
                  <c:v>67.05</c:v>
                </c:pt>
                <c:pt idx="60">
                  <c:v>67.53</c:v>
                </c:pt>
                <c:pt idx="61">
                  <c:v>66.53</c:v>
                </c:pt>
                <c:pt idx="62">
                  <c:v>66.67</c:v>
                </c:pt>
                <c:pt idx="63">
                  <c:v>68.260000000000005</c:v>
                </c:pt>
                <c:pt idx="64">
                  <c:v>67.78</c:v>
                </c:pt>
                <c:pt idx="65">
                  <c:v>68.73</c:v>
                </c:pt>
                <c:pt idx="66">
                  <c:v>68.83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8910472"/>
        <c:axId val="708910864"/>
      </c:lineChart>
      <c:dateAx>
        <c:axId val="70891047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8910864"/>
        <c:crosses val="autoZero"/>
        <c:auto val="1"/>
        <c:lblOffset val="100"/>
        <c:baseTimeUnit val="days"/>
      </c:dateAx>
      <c:valAx>
        <c:axId val="708910864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89104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NWL!$W$2:$W$67</c:f>
              <c:numCache>
                <c:formatCode>d\-mmm\-yy</c:formatCode>
                <c:ptCount val="66"/>
                <c:pt idx="0">
                  <c:v>42768</c:v>
                </c:pt>
                <c:pt idx="1">
                  <c:v>42767</c:v>
                </c:pt>
                <c:pt idx="2">
                  <c:v>42766</c:v>
                </c:pt>
                <c:pt idx="3">
                  <c:v>42765</c:v>
                </c:pt>
                <c:pt idx="4">
                  <c:v>42762</c:v>
                </c:pt>
                <c:pt idx="5">
                  <c:v>42761</c:v>
                </c:pt>
                <c:pt idx="6">
                  <c:v>42760</c:v>
                </c:pt>
                <c:pt idx="7">
                  <c:v>42759</c:v>
                </c:pt>
                <c:pt idx="8">
                  <c:v>42758</c:v>
                </c:pt>
                <c:pt idx="9">
                  <c:v>42755</c:v>
                </c:pt>
                <c:pt idx="10">
                  <c:v>42754</c:v>
                </c:pt>
                <c:pt idx="11">
                  <c:v>42753</c:v>
                </c:pt>
                <c:pt idx="12">
                  <c:v>42752</c:v>
                </c:pt>
                <c:pt idx="13">
                  <c:v>42748</c:v>
                </c:pt>
                <c:pt idx="14">
                  <c:v>42747</c:v>
                </c:pt>
                <c:pt idx="15">
                  <c:v>42746</c:v>
                </c:pt>
                <c:pt idx="16">
                  <c:v>42745</c:v>
                </c:pt>
                <c:pt idx="17">
                  <c:v>42744</c:v>
                </c:pt>
                <c:pt idx="18">
                  <c:v>42741</c:v>
                </c:pt>
                <c:pt idx="19">
                  <c:v>42740</c:v>
                </c:pt>
                <c:pt idx="20">
                  <c:v>42739</c:v>
                </c:pt>
                <c:pt idx="21">
                  <c:v>42738</c:v>
                </c:pt>
                <c:pt idx="22">
                  <c:v>42734</c:v>
                </c:pt>
                <c:pt idx="23">
                  <c:v>42733</c:v>
                </c:pt>
                <c:pt idx="24">
                  <c:v>42732</c:v>
                </c:pt>
                <c:pt idx="25">
                  <c:v>42731</c:v>
                </c:pt>
                <c:pt idx="26">
                  <c:v>42727</c:v>
                </c:pt>
                <c:pt idx="27">
                  <c:v>42726</c:v>
                </c:pt>
                <c:pt idx="28">
                  <c:v>42725</c:v>
                </c:pt>
                <c:pt idx="29">
                  <c:v>42724</c:v>
                </c:pt>
                <c:pt idx="30">
                  <c:v>42723</c:v>
                </c:pt>
                <c:pt idx="31">
                  <c:v>42720</c:v>
                </c:pt>
                <c:pt idx="32">
                  <c:v>42719</c:v>
                </c:pt>
                <c:pt idx="33">
                  <c:v>42718</c:v>
                </c:pt>
                <c:pt idx="34">
                  <c:v>42717</c:v>
                </c:pt>
                <c:pt idx="35">
                  <c:v>42716</c:v>
                </c:pt>
                <c:pt idx="36">
                  <c:v>42713</c:v>
                </c:pt>
                <c:pt idx="37">
                  <c:v>42712</c:v>
                </c:pt>
                <c:pt idx="38">
                  <c:v>42711</c:v>
                </c:pt>
                <c:pt idx="39">
                  <c:v>42710</c:v>
                </c:pt>
                <c:pt idx="40">
                  <c:v>42709</c:v>
                </c:pt>
                <c:pt idx="41">
                  <c:v>42706</c:v>
                </c:pt>
                <c:pt idx="42">
                  <c:v>42705</c:v>
                </c:pt>
                <c:pt idx="43">
                  <c:v>42704</c:v>
                </c:pt>
                <c:pt idx="44">
                  <c:v>42703</c:v>
                </c:pt>
                <c:pt idx="45">
                  <c:v>42702</c:v>
                </c:pt>
                <c:pt idx="46">
                  <c:v>42702</c:v>
                </c:pt>
                <c:pt idx="47">
                  <c:v>42699</c:v>
                </c:pt>
                <c:pt idx="48">
                  <c:v>42697</c:v>
                </c:pt>
                <c:pt idx="49">
                  <c:v>42696</c:v>
                </c:pt>
                <c:pt idx="50">
                  <c:v>42695</c:v>
                </c:pt>
                <c:pt idx="51">
                  <c:v>42692</c:v>
                </c:pt>
                <c:pt idx="52">
                  <c:v>42691</c:v>
                </c:pt>
                <c:pt idx="53">
                  <c:v>42690</c:v>
                </c:pt>
                <c:pt idx="54">
                  <c:v>42689</c:v>
                </c:pt>
                <c:pt idx="55">
                  <c:v>42688</c:v>
                </c:pt>
                <c:pt idx="56">
                  <c:v>42685</c:v>
                </c:pt>
                <c:pt idx="57">
                  <c:v>42684</c:v>
                </c:pt>
                <c:pt idx="58">
                  <c:v>42683</c:v>
                </c:pt>
                <c:pt idx="59">
                  <c:v>42682</c:v>
                </c:pt>
                <c:pt idx="60">
                  <c:v>42681</c:v>
                </c:pt>
                <c:pt idx="61">
                  <c:v>42678</c:v>
                </c:pt>
                <c:pt idx="62">
                  <c:v>42677</c:v>
                </c:pt>
                <c:pt idx="63">
                  <c:v>42676</c:v>
                </c:pt>
                <c:pt idx="64">
                  <c:v>42675</c:v>
                </c:pt>
                <c:pt idx="65">
                  <c:v>42674</c:v>
                </c:pt>
              </c:numCache>
            </c:numRef>
          </c:cat>
          <c:val>
            <c:numRef>
              <c:f>NWL!$AA$2:$AA$67</c:f>
              <c:numCache>
                <c:formatCode>General</c:formatCode>
                <c:ptCount val="66"/>
                <c:pt idx="0">
                  <c:v>47.81</c:v>
                </c:pt>
                <c:pt idx="1">
                  <c:v>47.45</c:v>
                </c:pt>
                <c:pt idx="2">
                  <c:v>47.33</c:v>
                </c:pt>
                <c:pt idx="3">
                  <c:v>46.28</c:v>
                </c:pt>
                <c:pt idx="4">
                  <c:v>46.13</c:v>
                </c:pt>
                <c:pt idx="5">
                  <c:v>46.35</c:v>
                </c:pt>
                <c:pt idx="6">
                  <c:v>46.92</c:v>
                </c:pt>
                <c:pt idx="7">
                  <c:v>47.18</c:v>
                </c:pt>
                <c:pt idx="8">
                  <c:v>46.42</c:v>
                </c:pt>
                <c:pt idx="9">
                  <c:v>46.08</c:v>
                </c:pt>
                <c:pt idx="10">
                  <c:v>45.97</c:v>
                </c:pt>
                <c:pt idx="11">
                  <c:v>47.55</c:v>
                </c:pt>
                <c:pt idx="12">
                  <c:v>47.71</c:v>
                </c:pt>
                <c:pt idx="13">
                  <c:v>47</c:v>
                </c:pt>
                <c:pt idx="14">
                  <c:v>47.12</c:v>
                </c:pt>
                <c:pt idx="15">
                  <c:v>46.88</c:v>
                </c:pt>
                <c:pt idx="16">
                  <c:v>46.97</c:v>
                </c:pt>
                <c:pt idx="17">
                  <c:v>46.94</c:v>
                </c:pt>
                <c:pt idx="18">
                  <c:v>46.86</c:v>
                </c:pt>
                <c:pt idx="19">
                  <c:v>46.68</c:v>
                </c:pt>
                <c:pt idx="20">
                  <c:v>46.51</c:v>
                </c:pt>
                <c:pt idx="21">
                  <c:v>44.92</c:v>
                </c:pt>
                <c:pt idx="22">
                  <c:v>44.65</c:v>
                </c:pt>
                <c:pt idx="23">
                  <c:v>45.3</c:v>
                </c:pt>
                <c:pt idx="24">
                  <c:v>45.37</c:v>
                </c:pt>
                <c:pt idx="25">
                  <c:v>45.49</c:v>
                </c:pt>
                <c:pt idx="26">
                  <c:v>45.39</c:v>
                </c:pt>
                <c:pt idx="27">
                  <c:v>45.54</c:v>
                </c:pt>
                <c:pt idx="28">
                  <c:v>46.17</c:v>
                </c:pt>
                <c:pt idx="29">
                  <c:v>45.61</c:v>
                </c:pt>
                <c:pt idx="30">
                  <c:v>45.7</c:v>
                </c:pt>
                <c:pt idx="31">
                  <c:v>46.18</c:v>
                </c:pt>
                <c:pt idx="32">
                  <c:v>46.68</c:v>
                </c:pt>
                <c:pt idx="33">
                  <c:v>46.64</c:v>
                </c:pt>
                <c:pt idx="34">
                  <c:v>47.3</c:v>
                </c:pt>
                <c:pt idx="35">
                  <c:v>46.48</c:v>
                </c:pt>
                <c:pt idx="36">
                  <c:v>45.53</c:v>
                </c:pt>
                <c:pt idx="37">
                  <c:v>45.19</c:v>
                </c:pt>
                <c:pt idx="38">
                  <c:v>45.65</c:v>
                </c:pt>
                <c:pt idx="39">
                  <c:v>45.68</c:v>
                </c:pt>
                <c:pt idx="40">
                  <c:v>45.7</c:v>
                </c:pt>
                <c:pt idx="41">
                  <c:v>45.68</c:v>
                </c:pt>
                <c:pt idx="42">
                  <c:v>45.44</c:v>
                </c:pt>
                <c:pt idx="43">
                  <c:v>47.01</c:v>
                </c:pt>
                <c:pt idx="44">
                  <c:v>47.47</c:v>
                </c:pt>
                <c:pt idx="45">
                  <c:v>47.59</c:v>
                </c:pt>
                <c:pt idx="47">
                  <c:v>48.46</c:v>
                </c:pt>
                <c:pt idx="48">
                  <c:v>48.17</c:v>
                </c:pt>
                <c:pt idx="49">
                  <c:v>48.1</c:v>
                </c:pt>
                <c:pt idx="50">
                  <c:v>47.57</c:v>
                </c:pt>
                <c:pt idx="51">
                  <c:v>46.74</c:v>
                </c:pt>
                <c:pt idx="52">
                  <c:v>47.56</c:v>
                </c:pt>
                <c:pt idx="53">
                  <c:v>46.93</c:v>
                </c:pt>
                <c:pt idx="54">
                  <c:v>47.05</c:v>
                </c:pt>
                <c:pt idx="55">
                  <c:v>46.51</c:v>
                </c:pt>
                <c:pt idx="56">
                  <c:v>47.45</c:v>
                </c:pt>
                <c:pt idx="57">
                  <c:v>47.66</c:v>
                </c:pt>
                <c:pt idx="58">
                  <c:v>49.6</c:v>
                </c:pt>
                <c:pt idx="59">
                  <c:v>50.41</c:v>
                </c:pt>
                <c:pt idx="60">
                  <c:v>49.16</c:v>
                </c:pt>
                <c:pt idx="61">
                  <c:v>47.54</c:v>
                </c:pt>
                <c:pt idx="62">
                  <c:v>47.61</c:v>
                </c:pt>
                <c:pt idx="63">
                  <c:v>47.65</c:v>
                </c:pt>
                <c:pt idx="64">
                  <c:v>48.16</c:v>
                </c:pt>
                <c:pt idx="65">
                  <c:v>48.02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8912824"/>
        <c:axId val="708913216"/>
      </c:lineChart>
      <c:dateAx>
        <c:axId val="70891282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8913216"/>
        <c:crosses val="autoZero"/>
        <c:auto val="1"/>
        <c:lblOffset val="100"/>
        <c:baseTimeUnit val="days"/>
      </c:dateAx>
      <c:valAx>
        <c:axId val="708913216"/>
        <c:scaling>
          <c:orientation val="minMax"/>
          <c:min val="3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89128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42768</c:v>
                </c:pt>
                <c:pt idx="1">
                  <c:v>42767</c:v>
                </c:pt>
                <c:pt idx="2">
                  <c:v>42766</c:v>
                </c:pt>
                <c:pt idx="3">
                  <c:v>42765</c:v>
                </c:pt>
                <c:pt idx="4">
                  <c:v>42762</c:v>
                </c:pt>
                <c:pt idx="5">
                  <c:v>42761</c:v>
                </c:pt>
                <c:pt idx="6">
                  <c:v>42760</c:v>
                </c:pt>
                <c:pt idx="7">
                  <c:v>42759</c:v>
                </c:pt>
                <c:pt idx="8">
                  <c:v>42758</c:v>
                </c:pt>
                <c:pt idx="9">
                  <c:v>42755</c:v>
                </c:pt>
                <c:pt idx="10">
                  <c:v>42754</c:v>
                </c:pt>
                <c:pt idx="11">
                  <c:v>42753</c:v>
                </c:pt>
                <c:pt idx="12">
                  <c:v>42752</c:v>
                </c:pt>
                <c:pt idx="13">
                  <c:v>42748</c:v>
                </c:pt>
                <c:pt idx="14">
                  <c:v>42747</c:v>
                </c:pt>
                <c:pt idx="15">
                  <c:v>42746</c:v>
                </c:pt>
                <c:pt idx="16">
                  <c:v>42745</c:v>
                </c:pt>
                <c:pt idx="17">
                  <c:v>42744</c:v>
                </c:pt>
                <c:pt idx="18">
                  <c:v>42741</c:v>
                </c:pt>
                <c:pt idx="19">
                  <c:v>42740</c:v>
                </c:pt>
                <c:pt idx="20">
                  <c:v>42739</c:v>
                </c:pt>
                <c:pt idx="21">
                  <c:v>42738</c:v>
                </c:pt>
                <c:pt idx="22">
                  <c:v>42734</c:v>
                </c:pt>
                <c:pt idx="23">
                  <c:v>42733</c:v>
                </c:pt>
                <c:pt idx="24">
                  <c:v>42732</c:v>
                </c:pt>
                <c:pt idx="25">
                  <c:v>42731</c:v>
                </c:pt>
                <c:pt idx="26">
                  <c:v>42727</c:v>
                </c:pt>
                <c:pt idx="27">
                  <c:v>42726</c:v>
                </c:pt>
                <c:pt idx="28">
                  <c:v>42725</c:v>
                </c:pt>
                <c:pt idx="29">
                  <c:v>42724</c:v>
                </c:pt>
                <c:pt idx="30">
                  <c:v>42723</c:v>
                </c:pt>
                <c:pt idx="31">
                  <c:v>42720</c:v>
                </c:pt>
                <c:pt idx="32">
                  <c:v>42719</c:v>
                </c:pt>
                <c:pt idx="33">
                  <c:v>42718</c:v>
                </c:pt>
                <c:pt idx="34">
                  <c:v>42717</c:v>
                </c:pt>
                <c:pt idx="35">
                  <c:v>42716</c:v>
                </c:pt>
                <c:pt idx="36">
                  <c:v>42713</c:v>
                </c:pt>
                <c:pt idx="37">
                  <c:v>42712</c:v>
                </c:pt>
                <c:pt idx="38">
                  <c:v>42711</c:v>
                </c:pt>
                <c:pt idx="39">
                  <c:v>42710</c:v>
                </c:pt>
                <c:pt idx="40">
                  <c:v>42709</c:v>
                </c:pt>
                <c:pt idx="41">
                  <c:v>42706</c:v>
                </c:pt>
                <c:pt idx="42">
                  <c:v>42705</c:v>
                </c:pt>
                <c:pt idx="43">
                  <c:v>42704</c:v>
                </c:pt>
                <c:pt idx="44">
                  <c:v>42703</c:v>
                </c:pt>
                <c:pt idx="45">
                  <c:v>42702</c:v>
                </c:pt>
                <c:pt idx="46">
                  <c:v>42699</c:v>
                </c:pt>
                <c:pt idx="47">
                  <c:v>42697</c:v>
                </c:pt>
                <c:pt idx="48">
                  <c:v>42696</c:v>
                </c:pt>
                <c:pt idx="49">
                  <c:v>42695</c:v>
                </c:pt>
                <c:pt idx="50">
                  <c:v>42692</c:v>
                </c:pt>
                <c:pt idx="51">
                  <c:v>42691</c:v>
                </c:pt>
                <c:pt idx="52">
                  <c:v>42690</c:v>
                </c:pt>
                <c:pt idx="53">
                  <c:v>42689</c:v>
                </c:pt>
                <c:pt idx="54">
                  <c:v>42688</c:v>
                </c:pt>
                <c:pt idx="55">
                  <c:v>42685</c:v>
                </c:pt>
                <c:pt idx="56">
                  <c:v>42684</c:v>
                </c:pt>
                <c:pt idx="57">
                  <c:v>42683</c:v>
                </c:pt>
                <c:pt idx="58">
                  <c:v>42682</c:v>
                </c:pt>
                <c:pt idx="59">
                  <c:v>42681</c:v>
                </c:pt>
                <c:pt idx="60">
                  <c:v>42678</c:v>
                </c:pt>
                <c:pt idx="61">
                  <c:v>42677</c:v>
                </c:pt>
                <c:pt idx="62">
                  <c:v>42676</c:v>
                </c:pt>
                <c:pt idx="63">
                  <c:v>42675</c:v>
                </c:pt>
                <c:pt idx="64">
                  <c:v>42674</c:v>
                </c:pt>
                <c:pt idx="65">
                  <c:v>42671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40.89</c:v>
                </c:pt>
                <c:pt idx="1">
                  <c:v>41.34</c:v>
                </c:pt>
                <c:pt idx="2">
                  <c:v>42.81</c:v>
                </c:pt>
                <c:pt idx="3">
                  <c:v>41.79</c:v>
                </c:pt>
                <c:pt idx="4">
                  <c:v>41.53</c:v>
                </c:pt>
                <c:pt idx="5">
                  <c:v>42.06</c:v>
                </c:pt>
                <c:pt idx="6">
                  <c:v>42.8</c:v>
                </c:pt>
                <c:pt idx="7">
                  <c:v>43.4</c:v>
                </c:pt>
                <c:pt idx="8">
                  <c:v>42.56</c:v>
                </c:pt>
                <c:pt idx="9">
                  <c:v>42.46</c:v>
                </c:pt>
                <c:pt idx="10">
                  <c:v>42.03</c:v>
                </c:pt>
                <c:pt idx="11">
                  <c:v>43.23</c:v>
                </c:pt>
                <c:pt idx="12">
                  <c:v>43.56</c:v>
                </c:pt>
                <c:pt idx="13">
                  <c:v>42.39</c:v>
                </c:pt>
                <c:pt idx="14">
                  <c:v>42.65</c:v>
                </c:pt>
                <c:pt idx="15">
                  <c:v>42.87</c:v>
                </c:pt>
                <c:pt idx="16">
                  <c:v>43.38</c:v>
                </c:pt>
                <c:pt idx="17">
                  <c:v>42.04</c:v>
                </c:pt>
                <c:pt idx="18">
                  <c:v>42.47</c:v>
                </c:pt>
                <c:pt idx="19">
                  <c:v>42.1</c:v>
                </c:pt>
                <c:pt idx="20">
                  <c:v>43.5</c:v>
                </c:pt>
                <c:pt idx="21">
                  <c:v>43.08</c:v>
                </c:pt>
                <c:pt idx="22">
                  <c:v>42.98</c:v>
                </c:pt>
                <c:pt idx="23">
                  <c:v>42.84</c:v>
                </c:pt>
                <c:pt idx="24">
                  <c:v>43.14</c:v>
                </c:pt>
                <c:pt idx="25">
                  <c:v>42.92</c:v>
                </c:pt>
                <c:pt idx="26">
                  <c:v>42.84</c:v>
                </c:pt>
                <c:pt idx="27">
                  <c:v>42.75</c:v>
                </c:pt>
                <c:pt idx="28">
                  <c:v>44.21</c:v>
                </c:pt>
                <c:pt idx="29">
                  <c:v>44.26</c:v>
                </c:pt>
                <c:pt idx="30">
                  <c:v>44.85</c:v>
                </c:pt>
                <c:pt idx="31">
                  <c:v>45.21</c:v>
                </c:pt>
                <c:pt idx="32">
                  <c:v>46.01</c:v>
                </c:pt>
                <c:pt idx="33">
                  <c:v>47.3</c:v>
                </c:pt>
                <c:pt idx="34">
                  <c:v>47.88</c:v>
                </c:pt>
                <c:pt idx="35">
                  <c:v>47.87</c:v>
                </c:pt>
                <c:pt idx="36">
                  <c:v>49.36</c:v>
                </c:pt>
                <c:pt idx="37">
                  <c:v>50.61</c:v>
                </c:pt>
                <c:pt idx="38">
                  <c:v>48.91</c:v>
                </c:pt>
                <c:pt idx="39">
                  <c:v>48.37</c:v>
                </c:pt>
                <c:pt idx="40">
                  <c:v>48.47</c:v>
                </c:pt>
                <c:pt idx="41">
                  <c:v>46.2</c:v>
                </c:pt>
                <c:pt idx="42">
                  <c:v>46.23</c:v>
                </c:pt>
                <c:pt idx="43">
                  <c:v>46.49</c:v>
                </c:pt>
                <c:pt idx="44">
                  <c:v>47.71</c:v>
                </c:pt>
                <c:pt idx="45">
                  <c:v>48.03</c:v>
                </c:pt>
                <c:pt idx="46">
                  <c:v>48.91</c:v>
                </c:pt>
                <c:pt idx="47">
                  <c:v>48.59</c:v>
                </c:pt>
                <c:pt idx="48">
                  <c:v>48.27</c:v>
                </c:pt>
                <c:pt idx="49">
                  <c:v>48.14</c:v>
                </c:pt>
                <c:pt idx="50">
                  <c:v>47.57</c:v>
                </c:pt>
                <c:pt idx="51">
                  <c:v>48.57</c:v>
                </c:pt>
                <c:pt idx="52">
                  <c:v>47.51</c:v>
                </c:pt>
                <c:pt idx="53">
                  <c:v>46.9</c:v>
                </c:pt>
                <c:pt idx="54">
                  <c:v>47.16</c:v>
                </c:pt>
                <c:pt idx="55">
                  <c:v>49.7</c:v>
                </c:pt>
                <c:pt idx="56">
                  <c:v>51.76</c:v>
                </c:pt>
                <c:pt idx="57">
                  <c:v>50.18</c:v>
                </c:pt>
                <c:pt idx="58">
                  <c:v>50.32</c:v>
                </c:pt>
                <c:pt idx="59">
                  <c:v>50.3</c:v>
                </c:pt>
                <c:pt idx="60">
                  <c:v>49.09</c:v>
                </c:pt>
                <c:pt idx="61">
                  <c:v>48.24</c:v>
                </c:pt>
                <c:pt idx="62">
                  <c:v>49.73</c:v>
                </c:pt>
                <c:pt idx="63">
                  <c:v>50.37</c:v>
                </c:pt>
                <c:pt idx="64">
                  <c:v>50.78</c:v>
                </c:pt>
                <c:pt idx="65">
                  <c:v>50.12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8915176"/>
        <c:axId val="708915568"/>
      </c:lineChart>
      <c:dateAx>
        <c:axId val="70891517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8915568"/>
        <c:crosses val="autoZero"/>
        <c:auto val="1"/>
        <c:lblOffset val="100"/>
        <c:baseTimeUnit val="days"/>
      </c:dateAx>
      <c:valAx>
        <c:axId val="708915568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89151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2-Feb-17</c:v>
                </c:pt>
                <c:pt idx="1">
                  <c:v>1-Feb-17</c:v>
                </c:pt>
                <c:pt idx="2">
                  <c:v>31-Jan-17</c:v>
                </c:pt>
                <c:pt idx="3">
                  <c:v>30-Jan-17</c:v>
                </c:pt>
                <c:pt idx="4">
                  <c:v>27-Jan-17</c:v>
                </c:pt>
                <c:pt idx="5">
                  <c:v>26-Jan-17</c:v>
                </c:pt>
                <c:pt idx="6">
                  <c:v>25-Jan-17</c:v>
                </c:pt>
                <c:pt idx="7">
                  <c:v>24-Jan-17</c:v>
                </c:pt>
                <c:pt idx="8">
                  <c:v>23-Jan-17</c:v>
                </c:pt>
                <c:pt idx="9">
                  <c:v>20-Jan-17</c:v>
                </c:pt>
                <c:pt idx="10">
                  <c:v>19-Jan-17</c:v>
                </c:pt>
                <c:pt idx="11">
                  <c:v>18-Jan-17</c:v>
                </c:pt>
                <c:pt idx="12">
                  <c:v>17-Jan-17</c:v>
                </c:pt>
                <c:pt idx="13">
                  <c:v>13-Jan-17</c:v>
                </c:pt>
                <c:pt idx="14">
                  <c:v>12-Jan-17</c:v>
                </c:pt>
                <c:pt idx="15">
                  <c:v>11-Jan-17</c:v>
                </c:pt>
                <c:pt idx="16">
                  <c:v>10-Jan-17</c:v>
                </c:pt>
                <c:pt idx="17">
                  <c:v>9-Jan-17</c:v>
                </c:pt>
                <c:pt idx="18">
                  <c:v>6-Jan-17</c:v>
                </c:pt>
                <c:pt idx="19">
                  <c:v>5-Jan-17</c:v>
                </c:pt>
                <c:pt idx="20">
                  <c:v>4-Jan-17</c:v>
                </c:pt>
                <c:pt idx="21">
                  <c:v>3-Jan-17</c:v>
                </c:pt>
                <c:pt idx="22">
                  <c:v>30-Dec-16</c:v>
                </c:pt>
                <c:pt idx="23">
                  <c:v>29-Dec-16</c:v>
                </c:pt>
                <c:pt idx="24">
                  <c:v>28-Dec-16</c:v>
                </c:pt>
                <c:pt idx="25">
                  <c:v>27-Dec-16</c:v>
                </c:pt>
                <c:pt idx="26">
                  <c:v>23-Dec-16</c:v>
                </c:pt>
                <c:pt idx="27">
                  <c:v>22-Dec-16</c:v>
                </c:pt>
                <c:pt idx="28">
                  <c:v>21-Dec-16</c:v>
                </c:pt>
                <c:pt idx="29">
                  <c:v>20-Dec-16</c:v>
                </c:pt>
                <c:pt idx="30">
                  <c:v>19-Dec-16</c:v>
                </c:pt>
                <c:pt idx="31">
                  <c:v>16-Dec-16</c:v>
                </c:pt>
                <c:pt idx="32">
                  <c:v>15-Dec-16</c:v>
                </c:pt>
                <c:pt idx="33">
                  <c:v>14-Dec-16</c:v>
                </c:pt>
                <c:pt idx="34">
                  <c:v>13-Dec-16</c:v>
                </c:pt>
                <c:pt idx="35">
                  <c:v>12-Dec-16</c:v>
                </c:pt>
                <c:pt idx="36">
                  <c:v>9-Dec-16</c:v>
                </c:pt>
                <c:pt idx="37">
                  <c:v>8-Dec-16</c:v>
                </c:pt>
                <c:pt idx="38">
                  <c:v>7-Dec-16</c:v>
                </c:pt>
                <c:pt idx="39">
                  <c:v>6-Dec-16</c:v>
                </c:pt>
                <c:pt idx="40">
                  <c:v>5-Dec-16</c:v>
                </c:pt>
                <c:pt idx="41">
                  <c:v>2-Dec-16</c:v>
                </c:pt>
                <c:pt idx="42">
                  <c:v>1-Dec-16</c:v>
                </c:pt>
                <c:pt idx="43">
                  <c:v>30-Nov-16</c:v>
                </c:pt>
                <c:pt idx="44">
                  <c:v>29-Nov-16</c:v>
                </c:pt>
                <c:pt idx="45">
                  <c:v>28-Nov-16</c:v>
                </c:pt>
                <c:pt idx="46">
                  <c:v>28-Nov-16</c:v>
                </c:pt>
                <c:pt idx="47">
                  <c:v>25-Nov-16</c:v>
                </c:pt>
                <c:pt idx="48">
                  <c:v>23-Nov-16</c:v>
                </c:pt>
                <c:pt idx="49">
                  <c:v>22-Nov-16</c:v>
                </c:pt>
                <c:pt idx="50">
                  <c:v>21-Nov-16</c:v>
                </c:pt>
                <c:pt idx="51">
                  <c:v>18-Nov-16</c:v>
                </c:pt>
                <c:pt idx="52">
                  <c:v>17-Nov-16</c:v>
                </c:pt>
                <c:pt idx="53">
                  <c:v>16-Nov-16</c:v>
                </c:pt>
                <c:pt idx="54">
                  <c:v>15-Nov-16</c:v>
                </c:pt>
                <c:pt idx="55">
                  <c:v>14-Nov-16</c:v>
                </c:pt>
                <c:pt idx="56">
                  <c:v>11-Nov-16</c:v>
                </c:pt>
                <c:pt idx="57">
                  <c:v>10-Nov-16</c:v>
                </c:pt>
                <c:pt idx="58">
                  <c:v>9-Nov-16</c:v>
                </c:pt>
                <c:pt idx="59">
                  <c:v>8-Nov-16</c:v>
                </c:pt>
                <c:pt idx="60">
                  <c:v>7-Nov-16</c:v>
                </c:pt>
                <c:pt idx="61">
                  <c:v>4-Nov-16</c:v>
                </c:pt>
                <c:pt idx="62">
                  <c:v>3-Nov-16</c:v>
                </c:pt>
                <c:pt idx="63">
                  <c:v>2-Nov-16</c:v>
                </c:pt>
                <c:pt idx="64">
                  <c:v>1-Nov-16</c:v>
                </c:pt>
                <c:pt idx="65">
                  <c:v>31-Oct-16</c:v>
                </c:pt>
                <c:pt idx="66">
                  <c:v>28-Oct-16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77.400000000000006</c:v>
                </c:pt>
                <c:pt idx="1">
                  <c:v>75.239999999999995</c:v>
                </c:pt>
                <c:pt idx="2">
                  <c:v>75.209999999999994</c:v>
                </c:pt>
                <c:pt idx="3">
                  <c:v>75.61</c:v>
                </c:pt>
                <c:pt idx="4">
                  <c:v>75.59</c:v>
                </c:pt>
                <c:pt idx="5">
                  <c:v>75.81</c:v>
                </c:pt>
                <c:pt idx="6">
                  <c:v>75.39</c:v>
                </c:pt>
                <c:pt idx="7">
                  <c:v>74.47</c:v>
                </c:pt>
                <c:pt idx="8">
                  <c:v>74.150000000000006</c:v>
                </c:pt>
                <c:pt idx="9">
                  <c:v>74.540000000000006</c:v>
                </c:pt>
                <c:pt idx="10">
                  <c:v>74.22</c:v>
                </c:pt>
                <c:pt idx="11">
                  <c:v>74.52</c:v>
                </c:pt>
                <c:pt idx="12">
                  <c:v>73.849999999999994</c:v>
                </c:pt>
                <c:pt idx="13">
                  <c:v>73.89</c:v>
                </c:pt>
                <c:pt idx="14">
                  <c:v>73.680000000000007</c:v>
                </c:pt>
                <c:pt idx="15">
                  <c:v>73.94</c:v>
                </c:pt>
                <c:pt idx="16">
                  <c:v>73.75</c:v>
                </c:pt>
                <c:pt idx="17">
                  <c:v>73.09</c:v>
                </c:pt>
                <c:pt idx="18">
                  <c:v>74.150000000000006</c:v>
                </c:pt>
                <c:pt idx="19">
                  <c:v>74.03</c:v>
                </c:pt>
                <c:pt idx="20">
                  <c:v>74.37</c:v>
                </c:pt>
                <c:pt idx="21">
                  <c:v>74.17</c:v>
                </c:pt>
                <c:pt idx="22">
                  <c:v>74.12</c:v>
                </c:pt>
                <c:pt idx="23">
                  <c:v>74.28</c:v>
                </c:pt>
                <c:pt idx="24">
                  <c:v>74.349999999999994</c:v>
                </c:pt>
                <c:pt idx="25">
                  <c:v>74.510000000000005</c:v>
                </c:pt>
                <c:pt idx="26">
                  <c:v>74.58</c:v>
                </c:pt>
                <c:pt idx="27">
                  <c:v>74.48</c:v>
                </c:pt>
                <c:pt idx="28">
                  <c:v>74.44</c:v>
                </c:pt>
                <c:pt idx="29">
                  <c:v>74.48</c:v>
                </c:pt>
                <c:pt idx="30">
                  <c:v>74.37</c:v>
                </c:pt>
                <c:pt idx="31">
                  <c:v>74.11</c:v>
                </c:pt>
                <c:pt idx="32">
                  <c:v>73.540000000000006</c:v>
                </c:pt>
                <c:pt idx="33">
                  <c:v>72.61</c:v>
                </c:pt>
                <c:pt idx="34">
                  <c:v>72.930000000000007</c:v>
                </c:pt>
                <c:pt idx="35">
                  <c:v>72.819999999999993</c:v>
                </c:pt>
                <c:pt idx="36">
                  <c:v>72.47</c:v>
                </c:pt>
                <c:pt idx="37">
                  <c:v>71.67</c:v>
                </c:pt>
                <c:pt idx="38">
                  <c:v>71.650000000000006</c:v>
                </c:pt>
                <c:pt idx="39">
                  <c:v>70.95</c:v>
                </c:pt>
                <c:pt idx="40">
                  <c:v>70.36</c:v>
                </c:pt>
                <c:pt idx="41">
                  <c:v>70.61</c:v>
                </c:pt>
                <c:pt idx="42">
                  <c:v>70.349999999999994</c:v>
                </c:pt>
                <c:pt idx="43">
                  <c:v>69.92</c:v>
                </c:pt>
                <c:pt idx="44">
                  <c:v>69.63</c:v>
                </c:pt>
                <c:pt idx="45">
                  <c:v>72.040000000000006</c:v>
                </c:pt>
                <c:pt idx="47">
                  <c:v>72.38</c:v>
                </c:pt>
                <c:pt idx="48">
                  <c:v>72.400000000000006</c:v>
                </c:pt>
                <c:pt idx="49">
                  <c:v>72.37</c:v>
                </c:pt>
                <c:pt idx="50">
                  <c:v>72.180000000000007</c:v>
                </c:pt>
                <c:pt idx="51">
                  <c:v>72.02</c:v>
                </c:pt>
                <c:pt idx="52">
                  <c:v>71.78</c:v>
                </c:pt>
                <c:pt idx="53">
                  <c:v>70.72</c:v>
                </c:pt>
                <c:pt idx="54">
                  <c:v>71.3</c:v>
                </c:pt>
                <c:pt idx="55">
                  <c:v>70.69</c:v>
                </c:pt>
                <c:pt idx="56">
                  <c:v>69.64</c:v>
                </c:pt>
                <c:pt idx="57">
                  <c:v>69.45</c:v>
                </c:pt>
                <c:pt idx="58">
                  <c:v>68.17</c:v>
                </c:pt>
                <c:pt idx="59">
                  <c:v>67.58</c:v>
                </c:pt>
                <c:pt idx="60">
                  <c:v>66.86</c:v>
                </c:pt>
                <c:pt idx="61">
                  <c:v>66.72</c:v>
                </c:pt>
                <c:pt idx="62">
                  <c:v>68.09</c:v>
                </c:pt>
                <c:pt idx="63">
                  <c:v>67.34</c:v>
                </c:pt>
                <c:pt idx="64">
                  <c:v>67.209999999999994</c:v>
                </c:pt>
                <c:pt idx="65">
                  <c:v>67.900000000000006</c:v>
                </c:pt>
                <c:pt idx="66">
                  <c:v>67.53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8917528"/>
        <c:axId val="708917920"/>
      </c:lineChart>
      <c:catAx>
        <c:axId val="70891752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8917920"/>
        <c:crosses val="autoZero"/>
        <c:auto val="1"/>
        <c:lblAlgn val="ctr"/>
        <c:lblOffset val="100"/>
        <c:noMultiLvlLbl val="0"/>
      </c:catAx>
      <c:valAx>
        <c:axId val="708917920"/>
        <c:scaling>
          <c:orientation val="minMax"/>
          <c:max val="70"/>
          <c:min val="62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89175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NSC!$W$2:$W$71</c:f>
              <c:strCache>
                <c:ptCount val="69"/>
                <c:pt idx="0">
                  <c:v>2/2/2017</c:v>
                </c:pt>
                <c:pt idx="1">
                  <c:v>2/1/2017</c:v>
                </c:pt>
                <c:pt idx="2">
                  <c:v>2/1/2017</c:v>
                </c:pt>
                <c:pt idx="3">
                  <c:v>1/31/2017</c:v>
                </c:pt>
                <c:pt idx="4">
                  <c:v>1/30/2017</c:v>
                </c:pt>
                <c:pt idx="5">
                  <c:v>1/27/2017</c:v>
                </c:pt>
                <c:pt idx="6">
                  <c:v>1/26/2017</c:v>
                </c:pt>
                <c:pt idx="7">
                  <c:v>1/25/2017</c:v>
                </c:pt>
                <c:pt idx="8">
                  <c:v>1/24/2017</c:v>
                </c:pt>
                <c:pt idx="9">
                  <c:v>1/23/2017</c:v>
                </c:pt>
                <c:pt idx="10">
                  <c:v>1/20/2017</c:v>
                </c:pt>
                <c:pt idx="11">
                  <c:v>1/19/2017</c:v>
                </c:pt>
                <c:pt idx="12">
                  <c:v>1/18/2017</c:v>
                </c:pt>
                <c:pt idx="13">
                  <c:v>1/17/2017</c:v>
                </c:pt>
                <c:pt idx="14">
                  <c:v>1/13/2017</c:v>
                </c:pt>
                <c:pt idx="15">
                  <c:v>1/12/2017</c:v>
                </c:pt>
                <c:pt idx="16">
                  <c:v>1/11/2017</c:v>
                </c:pt>
                <c:pt idx="17">
                  <c:v>1/10/2017</c:v>
                </c:pt>
                <c:pt idx="18">
                  <c:v>1/9/2017</c:v>
                </c:pt>
                <c:pt idx="19">
                  <c:v>1/6/2017</c:v>
                </c:pt>
                <c:pt idx="20">
                  <c:v>1/5/2017</c:v>
                </c:pt>
                <c:pt idx="21">
                  <c:v>1/4/2017</c:v>
                </c:pt>
                <c:pt idx="22">
                  <c:v>1/3/2017</c:v>
                </c:pt>
                <c:pt idx="23">
                  <c:v>12/30/2016</c:v>
                </c:pt>
                <c:pt idx="24">
                  <c:v>12/29/2016</c:v>
                </c:pt>
                <c:pt idx="25">
                  <c:v>12/28/2016</c:v>
                </c:pt>
                <c:pt idx="26">
                  <c:v>12/27/2016</c:v>
                </c:pt>
                <c:pt idx="27">
                  <c:v>12/23/2016</c:v>
                </c:pt>
                <c:pt idx="28">
                  <c:v>12/22/2016</c:v>
                </c:pt>
                <c:pt idx="29">
                  <c:v>12/21/2016</c:v>
                </c:pt>
                <c:pt idx="30">
                  <c:v>12/20/2016</c:v>
                </c:pt>
                <c:pt idx="31">
                  <c:v>12/19/2016</c:v>
                </c:pt>
                <c:pt idx="32">
                  <c:v>12/16/2016</c:v>
                </c:pt>
                <c:pt idx="33">
                  <c:v>12/15/2016</c:v>
                </c:pt>
                <c:pt idx="34">
                  <c:v>12/14/2016</c:v>
                </c:pt>
                <c:pt idx="35">
                  <c:v>12/13/2016</c:v>
                </c:pt>
                <c:pt idx="36">
                  <c:v>12/12/2016</c:v>
                </c:pt>
                <c:pt idx="37">
                  <c:v>12/9/2016</c:v>
                </c:pt>
                <c:pt idx="38">
                  <c:v>12/8/2016</c:v>
                </c:pt>
                <c:pt idx="39">
                  <c:v>12/7/2016</c:v>
                </c:pt>
                <c:pt idx="40">
                  <c:v>12/6/2016</c:v>
                </c:pt>
                <c:pt idx="41">
                  <c:v>12/5/2016</c:v>
                </c:pt>
                <c:pt idx="42">
                  <c:v>12/2/2016</c:v>
                </c:pt>
                <c:pt idx="43">
                  <c:v>12/1/2016</c:v>
                </c:pt>
                <c:pt idx="44">
                  <c:v>11/30/2016</c:v>
                </c:pt>
                <c:pt idx="45">
                  <c:v>11/29/2016</c:v>
                </c:pt>
                <c:pt idx="46">
                  <c:v>11/28/2016</c:v>
                </c:pt>
                <c:pt idx="47">
                  <c:v>11/25/2016</c:v>
                </c:pt>
                <c:pt idx="48">
                  <c:v>11/23/2016</c:v>
                </c:pt>
                <c:pt idx="49">
                  <c:v>11/22/2016</c:v>
                </c:pt>
                <c:pt idx="50">
                  <c:v>11/21/2016</c:v>
                </c:pt>
                <c:pt idx="51">
                  <c:v>11/18/2016</c:v>
                </c:pt>
                <c:pt idx="52">
                  <c:v>11/17/2016</c:v>
                </c:pt>
                <c:pt idx="53">
                  <c:v>11/16/2016</c:v>
                </c:pt>
                <c:pt idx="54">
                  <c:v>11/15/2016</c:v>
                </c:pt>
                <c:pt idx="55">
                  <c:v>11/14/2016</c:v>
                </c:pt>
                <c:pt idx="56">
                  <c:v>11/11/2016</c:v>
                </c:pt>
                <c:pt idx="57">
                  <c:v>11/10/2016</c:v>
                </c:pt>
                <c:pt idx="58">
                  <c:v>11/9/2016</c:v>
                </c:pt>
                <c:pt idx="59">
                  <c:v>11/8/2016</c:v>
                </c:pt>
                <c:pt idx="60">
                  <c:v>11/7/2016</c:v>
                </c:pt>
                <c:pt idx="61">
                  <c:v>11/4/2016</c:v>
                </c:pt>
                <c:pt idx="62">
                  <c:v>11/3/2016</c:v>
                </c:pt>
                <c:pt idx="63">
                  <c:v>11/2/2016</c:v>
                </c:pt>
                <c:pt idx="64">
                  <c:v>11/2/2016</c:v>
                </c:pt>
                <c:pt idx="65">
                  <c:v>11/1/2016</c:v>
                </c:pt>
                <c:pt idx="66">
                  <c:v>10/31/2016</c:v>
                </c:pt>
                <c:pt idx="67">
                  <c:v>10/28/2016</c:v>
                </c:pt>
                <c:pt idx="68">
                  <c:v>* Close price adjusted for dividends and splits.</c:v>
                </c:pt>
              </c:strCache>
            </c:strRef>
          </c:cat>
          <c:val>
            <c:numRef>
              <c:f>NSC!$AA$2:$AA$71</c:f>
              <c:numCache>
                <c:formatCode>0.00</c:formatCode>
                <c:ptCount val="70"/>
                <c:pt idx="0">
                  <c:v>119.47</c:v>
                </c:pt>
                <c:pt idx="1">
                  <c:v>119.93</c:v>
                </c:pt>
                <c:pt idx="3">
                  <c:v>117.46</c:v>
                </c:pt>
                <c:pt idx="4">
                  <c:v>119.63</c:v>
                </c:pt>
                <c:pt idx="5">
                  <c:v>120.35</c:v>
                </c:pt>
                <c:pt idx="6">
                  <c:v>119.51</c:v>
                </c:pt>
                <c:pt idx="7">
                  <c:v>120.53</c:v>
                </c:pt>
                <c:pt idx="8">
                  <c:v>116.62</c:v>
                </c:pt>
                <c:pt idx="9">
                  <c:v>113.55</c:v>
                </c:pt>
                <c:pt idx="10">
                  <c:v>113.59</c:v>
                </c:pt>
                <c:pt idx="11">
                  <c:v>114.42</c:v>
                </c:pt>
                <c:pt idx="12">
                  <c:v>109.97</c:v>
                </c:pt>
                <c:pt idx="13">
                  <c:v>108.9</c:v>
                </c:pt>
                <c:pt idx="14">
                  <c:v>111.59</c:v>
                </c:pt>
                <c:pt idx="15">
                  <c:v>111.01</c:v>
                </c:pt>
                <c:pt idx="16">
                  <c:v>110.55</c:v>
                </c:pt>
                <c:pt idx="17">
                  <c:v>109.26</c:v>
                </c:pt>
                <c:pt idx="18">
                  <c:v>109.18</c:v>
                </c:pt>
                <c:pt idx="19">
                  <c:v>111.66</c:v>
                </c:pt>
                <c:pt idx="20">
                  <c:v>110.29</c:v>
                </c:pt>
                <c:pt idx="21">
                  <c:v>110.64</c:v>
                </c:pt>
                <c:pt idx="22">
                  <c:v>106.99</c:v>
                </c:pt>
                <c:pt idx="23">
                  <c:v>108.07</c:v>
                </c:pt>
                <c:pt idx="24">
                  <c:v>108.82</c:v>
                </c:pt>
                <c:pt idx="25">
                  <c:v>108.72</c:v>
                </c:pt>
                <c:pt idx="26">
                  <c:v>109.45</c:v>
                </c:pt>
                <c:pt idx="27">
                  <c:v>109.28</c:v>
                </c:pt>
                <c:pt idx="28">
                  <c:v>108.78</c:v>
                </c:pt>
                <c:pt idx="29">
                  <c:v>108.05</c:v>
                </c:pt>
                <c:pt idx="30">
                  <c:v>108.17</c:v>
                </c:pt>
                <c:pt idx="31">
                  <c:v>106.93</c:v>
                </c:pt>
                <c:pt idx="32">
                  <c:v>106.67</c:v>
                </c:pt>
                <c:pt idx="33">
                  <c:v>108.11</c:v>
                </c:pt>
                <c:pt idx="34">
                  <c:v>107.58</c:v>
                </c:pt>
                <c:pt idx="35">
                  <c:v>109.83</c:v>
                </c:pt>
                <c:pt idx="36">
                  <c:v>110.69</c:v>
                </c:pt>
                <c:pt idx="37">
                  <c:v>110.6</c:v>
                </c:pt>
                <c:pt idx="38">
                  <c:v>110.02</c:v>
                </c:pt>
                <c:pt idx="39">
                  <c:v>109.75</c:v>
                </c:pt>
                <c:pt idx="40">
                  <c:v>106.21</c:v>
                </c:pt>
                <c:pt idx="41">
                  <c:v>105.96</c:v>
                </c:pt>
                <c:pt idx="42">
                  <c:v>105.6</c:v>
                </c:pt>
                <c:pt idx="43">
                  <c:v>106.83</c:v>
                </c:pt>
                <c:pt idx="44">
                  <c:v>106.46</c:v>
                </c:pt>
                <c:pt idx="45">
                  <c:v>104.37</c:v>
                </c:pt>
                <c:pt idx="46">
                  <c:v>103.99</c:v>
                </c:pt>
                <c:pt idx="47">
                  <c:v>104.34</c:v>
                </c:pt>
                <c:pt idx="48">
                  <c:v>104.04</c:v>
                </c:pt>
                <c:pt idx="49">
                  <c:v>103.92</c:v>
                </c:pt>
                <c:pt idx="50">
                  <c:v>104.6</c:v>
                </c:pt>
                <c:pt idx="51">
                  <c:v>103.45</c:v>
                </c:pt>
                <c:pt idx="52">
                  <c:v>103.14</c:v>
                </c:pt>
                <c:pt idx="53">
                  <c:v>103</c:v>
                </c:pt>
                <c:pt idx="54">
                  <c:v>104.58</c:v>
                </c:pt>
                <c:pt idx="55">
                  <c:v>103.99</c:v>
                </c:pt>
                <c:pt idx="56">
                  <c:v>100.91</c:v>
                </c:pt>
                <c:pt idx="57">
                  <c:v>100.5</c:v>
                </c:pt>
                <c:pt idx="58">
                  <c:v>98.8</c:v>
                </c:pt>
                <c:pt idx="59">
                  <c:v>96</c:v>
                </c:pt>
                <c:pt idx="60">
                  <c:v>94.95</c:v>
                </c:pt>
                <c:pt idx="61">
                  <c:v>91.62</c:v>
                </c:pt>
                <c:pt idx="62">
                  <c:v>91.76</c:v>
                </c:pt>
                <c:pt idx="63">
                  <c:v>91.99</c:v>
                </c:pt>
                <c:pt idx="65">
                  <c:v>91.6</c:v>
                </c:pt>
                <c:pt idx="66">
                  <c:v>93</c:v>
                </c:pt>
                <c:pt idx="67">
                  <c:v>92.27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9945656"/>
        <c:axId val="709946048"/>
      </c:lineChart>
      <c:catAx>
        <c:axId val="70994565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9946048"/>
        <c:crosses val="autoZero"/>
        <c:auto val="1"/>
        <c:lblAlgn val="ctr"/>
        <c:lblOffset val="100"/>
        <c:noMultiLvlLbl val="0"/>
      </c:catAx>
      <c:valAx>
        <c:axId val="709946048"/>
        <c:scaling>
          <c:orientation val="minMax"/>
          <c:min val="6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9945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2-Feb-17</c:v>
                </c:pt>
                <c:pt idx="1">
                  <c:v>1-Feb-17</c:v>
                </c:pt>
                <c:pt idx="2">
                  <c:v>31-Jan-17</c:v>
                </c:pt>
                <c:pt idx="3">
                  <c:v>30-Jan-17</c:v>
                </c:pt>
                <c:pt idx="4">
                  <c:v>27-Jan-17</c:v>
                </c:pt>
                <c:pt idx="5">
                  <c:v>26-Jan-17</c:v>
                </c:pt>
                <c:pt idx="6">
                  <c:v>25-Jan-17</c:v>
                </c:pt>
                <c:pt idx="7">
                  <c:v>24-Jan-17</c:v>
                </c:pt>
                <c:pt idx="8">
                  <c:v>23-Jan-17</c:v>
                </c:pt>
                <c:pt idx="9">
                  <c:v>20-Jan-17</c:v>
                </c:pt>
                <c:pt idx="10">
                  <c:v>19-Jan-17</c:v>
                </c:pt>
                <c:pt idx="11">
                  <c:v>18-Jan-17</c:v>
                </c:pt>
                <c:pt idx="12">
                  <c:v>17-Jan-17</c:v>
                </c:pt>
                <c:pt idx="13">
                  <c:v>13-Jan-17</c:v>
                </c:pt>
                <c:pt idx="14">
                  <c:v>12-Jan-17</c:v>
                </c:pt>
                <c:pt idx="15">
                  <c:v>11-Jan-17</c:v>
                </c:pt>
                <c:pt idx="16">
                  <c:v>10-Jan-17</c:v>
                </c:pt>
                <c:pt idx="17">
                  <c:v>9-Jan-17</c:v>
                </c:pt>
                <c:pt idx="18">
                  <c:v>6-Jan-17</c:v>
                </c:pt>
                <c:pt idx="19">
                  <c:v>5-Jan-17</c:v>
                </c:pt>
                <c:pt idx="20">
                  <c:v>4-Jan-17</c:v>
                </c:pt>
                <c:pt idx="21">
                  <c:v>3-Jan-17</c:v>
                </c:pt>
                <c:pt idx="22">
                  <c:v>30-Dec-16</c:v>
                </c:pt>
                <c:pt idx="23">
                  <c:v>29-Dec-16</c:v>
                </c:pt>
                <c:pt idx="24">
                  <c:v>28-Dec-16</c:v>
                </c:pt>
                <c:pt idx="25">
                  <c:v>27-Dec-16</c:v>
                </c:pt>
                <c:pt idx="26">
                  <c:v>23-Dec-16</c:v>
                </c:pt>
                <c:pt idx="27">
                  <c:v>22-Dec-16</c:v>
                </c:pt>
                <c:pt idx="28">
                  <c:v>21-Dec-16</c:v>
                </c:pt>
                <c:pt idx="29">
                  <c:v>20-Dec-16</c:v>
                </c:pt>
                <c:pt idx="30">
                  <c:v>19-Dec-16</c:v>
                </c:pt>
                <c:pt idx="31">
                  <c:v>16-Dec-16</c:v>
                </c:pt>
                <c:pt idx="32">
                  <c:v>15-Dec-16</c:v>
                </c:pt>
                <c:pt idx="33">
                  <c:v>14-Dec-16</c:v>
                </c:pt>
                <c:pt idx="34">
                  <c:v>14-Dec-16</c:v>
                </c:pt>
                <c:pt idx="35">
                  <c:v>13-Dec-16</c:v>
                </c:pt>
                <c:pt idx="36">
                  <c:v>12-Dec-16</c:v>
                </c:pt>
                <c:pt idx="37">
                  <c:v>9-Dec-16</c:v>
                </c:pt>
                <c:pt idx="38">
                  <c:v>8-Dec-16</c:v>
                </c:pt>
                <c:pt idx="39">
                  <c:v>7-Dec-16</c:v>
                </c:pt>
                <c:pt idx="40">
                  <c:v>6-Dec-16</c:v>
                </c:pt>
                <c:pt idx="41">
                  <c:v>5-Dec-16</c:v>
                </c:pt>
                <c:pt idx="42">
                  <c:v>2-Dec-16</c:v>
                </c:pt>
                <c:pt idx="43">
                  <c:v>1-Dec-16</c:v>
                </c:pt>
                <c:pt idx="44">
                  <c:v>30-Nov-16</c:v>
                </c:pt>
                <c:pt idx="45">
                  <c:v>29-Nov-16</c:v>
                </c:pt>
                <c:pt idx="46">
                  <c:v>28-Nov-16</c:v>
                </c:pt>
                <c:pt idx="47">
                  <c:v>25-Nov-16</c:v>
                </c:pt>
                <c:pt idx="48">
                  <c:v>23-Nov-16</c:v>
                </c:pt>
                <c:pt idx="49">
                  <c:v>22-Nov-16</c:v>
                </c:pt>
                <c:pt idx="50">
                  <c:v>21-Nov-16</c:v>
                </c:pt>
                <c:pt idx="51">
                  <c:v>18-Nov-16</c:v>
                </c:pt>
                <c:pt idx="52">
                  <c:v>17-Nov-16</c:v>
                </c:pt>
                <c:pt idx="53">
                  <c:v>16-Nov-16</c:v>
                </c:pt>
                <c:pt idx="54">
                  <c:v>15-Nov-16</c:v>
                </c:pt>
                <c:pt idx="55">
                  <c:v>14-Nov-16</c:v>
                </c:pt>
                <c:pt idx="56">
                  <c:v>11-Nov-16</c:v>
                </c:pt>
                <c:pt idx="57">
                  <c:v>10-Nov-16</c:v>
                </c:pt>
                <c:pt idx="58">
                  <c:v>9-Nov-16</c:v>
                </c:pt>
                <c:pt idx="59">
                  <c:v>8-Nov-16</c:v>
                </c:pt>
                <c:pt idx="60">
                  <c:v>7-Nov-16</c:v>
                </c:pt>
                <c:pt idx="61">
                  <c:v>4-Nov-16</c:v>
                </c:pt>
                <c:pt idx="62">
                  <c:v>3-Nov-16</c:v>
                </c:pt>
                <c:pt idx="63">
                  <c:v>2-Nov-16</c:v>
                </c:pt>
                <c:pt idx="64">
                  <c:v>1-Nov-16</c:v>
                </c:pt>
                <c:pt idx="65">
                  <c:v>31-Oct-16</c:v>
                </c:pt>
                <c:pt idx="66">
                  <c:v>28-Oct-16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204.05</c:v>
                </c:pt>
                <c:pt idx="1">
                  <c:v>203.69</c:v>
                </c:pt>
                <c:pt idx="2">
                  <c:v>199.5</c:v>
                </c:pt>
                <c:pt idx="3">
                  <c:v>203.22</c:v>
                </c:pt>
                <c:pt idx="4">
                  <c:v>205.71</c:v>
                </c:pt>
                <c:pt idx="5">
                  <c:v>204.17</c:v>
                </c:pt>
                <c:pt idx="6">
                  <c:v>202.48</c:v>
                </c:pt>
                <c:pt idx="7">
                  <c:v>197.75</c:v>
                </c:pt>
                <c:pt idx="8">
                  <c:v>191</c:v>
                </c:pt>
                <c:pt idx="9">
                  <c:v>191.08</c:v>
                </c:pt>
                <c:pt idx="10">
                  <c:v>185.56</c:v>
                </c:pt>
                <c:pt idx="11">
                  <c:v>185.02</c:v>
                </c:pt>
                <c:pt idx="12">
                  <c:v>179.11</c:v>
                </c:pt>
                <c:pt idx="13">
                  <c:v>180.45</c:v>
                </c:pt>
                <c:pt idx="14">
                  <c:v>178.86</c:v>
                </c:pt>
                <c:pt idx="15">
                  <c:v>179.42</c:v>
                </c:pt>
                <c:pt idx="16">
                  <c:v>180.57</c:v>
                </c:pt>
                <c:pt idx="17">
                  <c:v>176.97</c:v>
                </c:pt>
                <c:pt idx="18">
                  <c:v>176.59</c:v>
                </c:pt>
                <c:pt idx="19">
                  <c:v>174.28</c:v>
                </c:pt>
                <c:pt idx="20">
                  <c:v>177.07</c:v>
                </c:pt>
                <c:pt idx="21">
                  <c:v>178.34</c:v>
                </c:pt>
                <c:pt idx="22">
                  <c:v>176.77</c:v>
                </c:pt>
                <c:pt idx="23">
                  <c:v>179.87</c:v>
                </c:pt>
                <c:pt idx="24">
                  <c:v>180.19</c:v>
                </c:pt>
                <c:pt idx="25">
                  <c:v>182.31</c:v>
                </c:pt>
                <c:pt idx="26">
                  <c:v>181.94</c:v>
                </c:pt>
                <c:pt idx="27">
                  <c:v>180.6</c:v>
                </c:pt>
                <c:pt idx="28">
                  <c:v>182.29</c:v>
                </c:pt>
                <c:pt idx="29">
                  <c:v>182.07</c:v>
                </c:pt>
                <c:pt idx="30">
                  <c:v>180.46</c:v>
                </c:pt>
                <c:pt idx="31">
                  <c:v>178.42</c:v>
                </c:pt>
                <c:pt idx="32">
                  <c:v>180.01</c:v>
                </c:pt>
                <c:pt idx="33">
                  <c:v>177.62</c:v>
                </c:pt>
                <c:pt idx="35">
                  <c:v>179.44</c:v>
                </c:pt>
                <c:pt idx="36">
                  <c:v>178.16</c:v>
                </c:pt>
                <c:pt idx="37">
                  <c:v>179.09</c:v>
                </c:pt>
                <c:pt idx="38">
                  <c:v>170.71</c:v>
                </c:pt>
                <c:pt idx="39">
                  <c:v>168.55</c:v>
                </c:pt>
                <c:pt idx="40">
                  <c:v>164.76</c:v>
                </c:pt>
                <c:pt idx="41">
                  <c:v>166.13</c:v>
                </c:pt>
                <c:pt idx="42">
                  <c:v>164.22</c:v>
                </c:pt>
                <c:pt idx="43">
                  <c:v>162.79</c:v>
                </c:pt>
                <c:pt idx="44">
                  <c:v>170.49</c:v>
                </c:pt>
                <c:pt idx="45">
                  <c:v>175.45</c:v>
                </c:pt>
                <c:pt idx="46">
                  <c:v>174.65</c:v>
                </c:pt>
                <c:pt idx="47">
                  <c:v>176.75</c:v>
                </c:pt>
                <c:pt idx="48">
                  <c:v>177.08</c:v>
                </c:pt>
                <c:pt idx="49">
                  <c:v>177.02</c:v>
                </c:pt>
                <c:pt idx="50">
                  <c:v>172.58</c:v>
                </c:pt>
                <c:pt idx="51">
                  <c:v>168.16</c:v>
                </c:pt>
                <c:pt idx="52">
                  <c:v>167.04</c:v>
                </c:pt>
                <c:pt idx="53">
                  <c:v>167.83</c:v>
                </c:pt>
                <c:pt idx="54">
                  <c:v>166.45</c:v>
                </c:pt>
                <c:pt idx="55">
                  <c:v>163.78</c:v>
                </c:pt>
                <c:pt idx="56">
                  <c:v>167.54</c:v>
                </c:pt>
                <c:pt idx="57">
                  <c:v>167.94</c:v>
                </c:pt>
                <c:pt idx="58">
                  <c:v>173.42</c:v>
                </c:pt>
                <c:pt idx="59">
                  <c:v>177</c:v>
                </c:pt>
                <c:pt idx="60">
                  <c:v>176.96</c:v>
                </c:pt>
                <c:pt idx="61">
                  <c:v>172.17</c:v>
                </c:pt>
                <c:pt idx="62">
                  <c:v>172.99</c:v>
                </c:pt>
                <c:pt idx="63">
                  <c:v>172.56</c:v>
                </c:pt>
                <c:pt idx="64">
                  <c:v>168.8</c:v>
                </c:pt>
                <c:pt idx="65">
                  <c:v>170.28</c:v>
                </c:pt>
                <c:pt idx="66">
                  <c:v>169.35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9948008"/>
        <c:axId val="709948400"/>
      </c:lineChart>
      <c:catAx>
        <c:axId val="70994800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9948400"/>
        <c:crosses val="autoZero"/>
        <c:auto val="1"/>
        <c:lblAlgn val="ctr"/>
        <c:lblOffset val="100"/>
        <c:noMultiLvlLbl val="0"/>
      </c:catAx>
      <c:valAx>
        <c:axId val="709948400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9948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UAL!$W$2:$W$67</c:f>
              <c:numCache>
                <c:formatCode>d\-mmm\-yy</c:formatCode>
                <c:ptCount val="66"/>
                <c:pt idx="0">
                  <c:v>42768</c:v>
                </c:pt>
                <c:pt idx="1">
                  <c:v>42767</c:v>
                </c:pt>
                <c:pt idx="2">
                  <c:v>42766</c:v>
                </c:pt>
                <c:pt idx="3">
                  <c:v>42765</c:v>
                </c:pt>
                <c:pt idx="4">
                  <c:v>42762</c:v>
                </c:pt>
                <c:pt idx="5">
                  <c:v>42761</c:v>
                </c:pt>
                <c:pt idx="6">
                  <c:v>42760</c:v>
                </c:pt>
                <c:pt idx="7">
                  <c:v>42759</c:v>
                </c:pt>
                <c:pt idx="8">
                  <c:v>42758</c:v>
                </c:pt>
                <c:pt idx="9">
                  <c:v>42755</c:v>
                </c:pt>
                <c:pt idx="10">
                  <c:v>42754</c:v>
                </c:pt>
                <c:pt idx="11">
                  <c:v>42753</c:v>
                </c:pt>
                <c:pt idx="12">
                  <c:v>42752</c:v>
                </c:pt>
                <c:pt idx="13">
                  <c:v>42748</c:v>
                </c:pt>
                <c:pt idx="14">
                  <c:v>42747</c:v>
                </c:pt>
                <c:pt idx="15">
                  <c:v>42746</c:v>
                </c:pt>
                <c:pt idx="16">
                  <c:v>42745</c:v>
                </c:pt>
                <c:pt idx="17">
                  <c:v>42744</c:v>
                </c:pt>
                <c:pt idx="18">
                  <c:v>42741</c:v>
                </c:pt>
                <c:pt idx="19">
                  <c:v>42740</c:v>
                </c:pt>
                <c:pt idx="20">
                  <c:v>42739</c:v>
                </c:pt>
                <c:pt idx="21">
                  <c:v>42738</c:v>
                </c:pt>
                <c:pt idx="22">
                  <c:v>42734</c:v>
                </c:pt>
                <c:pt idx="23">
                  <c:v>42733</c:v>
                </c:pt>
                <c:pt idx="24">
                  <c:v>42732</c:v>
                </c:pt>
                <c:pt idx="25">
                  <c:v>42731</c:v>
                </c:pt>
                <c:pt idx="26">
                  <c:v>42727</c:v>
                </c:pt>
                <c:pt idx="27">
                  <c:v>42726</c:v>
                </c:pt>
                <c:pt idx="28">
                  <c:v>42725</c:v>
                </c:pt>
                <c:pt idx="29">
                  <c:v>42724</c:v>
                </c:pt>
                <c:pt idx="30">
                  <c:v>42723</c:v>
                </c:pt>
                <c:pt idx="31">
                  <c:v>42720</c:v>
                </c:pt>
                <c:pt idx="32">
                  <c:v>42719</c:v>
                </c:pt>
                <c:pt idx="33">
                  <c:v>42718</c:v>
                </c:pt>
                <c:pt idx="34">
                  <c:v>42717</c:v>
                </c:pt>
                <c:pt idx="35">
                  <c:v>42716</c:v>
                </c:pt>
                <c:pt idx="36">
                  <c:v>42713</c:v>
                </c:pt>
                <c:pt idx="37">
                  <c:v>42712</c:v>
                </c:pt>
                <c:pt idx="38">
                  <c:v>42711</c:v>
                </c:pt>
                <c:pt idx="39">
                  <c:v>42710</c:v>
                </c:pt>
                <c:pt idx="40">
                  <c:v>42709</c:v>
                </c:pt>
                <c:pt idx="41">
                  <c:v>42706</c:v>
                </c:pt>
                <c:pt idx="42">
                  <c:v>42705</c:v>
                </c:pt>
                <c:pt idx="43">
                  <c:v>42704</c:v>
                </c:pt>
                <c:pt idx="44">
                  <c:v>42703</c:v>
                </c:pt>
                <c:pt idx="45">
                  <c:v>42702</c:v>
                </c:pt>
                <c:pt idx="46">
                  <c:v>42699</c:v>
                </c:pt>
                <c:pt idx="47">
                  <c:v>42697</c:v>
                </c:pt>
                <c:pt idx="48">
                  <c:v>42696</c:v>
                </c:pt>
                <c:pt idx="49">
                  <c:v>42695</c:v>
                </c:pt>
                <c:pt idx="50">
                  <c:v>42692</c:v>
                </c:pt>
                <c:pt idx="51">
                  <c:v>42691</c:v>
                </c:pt>
                <c:pt idx="52">
                  <c:v>42690</c:v>
                </c:pt>
                <c:pt idx="53">
                  <c:v>42689</c:v>
                </c:pt>
                <c:pt idx="54">
                  <c:v>42688</c:v>
                </c:pt>
                <c:pt idx="55">
                  <c:v>42685</c:v>
                </c:pt>
                <c:pt idx="56">
                  <c:v>42684</c:v>
                </c:pt>
                <c:pt idx="57">
                  <c:v>42683</c:v>
                </c:pt>
                <c:pt idx="58">
                  <c:v>42682</c:v>
                </c:pt>
                <c:pt idx="59">
                  <c:v>42681</c:v>
                </c:pt>
                <c:pt idx="60">
                  <c:v>42678</c:v>
                </c:pt>
                <c:pt idx="61">
                  <c:v>42677</c:v>
                </c:pt>
                <c:pt idx="62">
                  <c:v>42676</c:v>
                </c:pt>
                <c:pt idx="63">
                  <c:v>42675</c:v>
                </c:pt>
                <c:pt idx="64">
                  <c:v>42674</c:v>
                </c:pt>
                <c:pt idx="65">
                  <c:v>42671</c:v>
                </c:pt>
              </c:numCache>
            </c:numRef>
          </c:cat>
          <c:val>
            <c:numRef>
              <c:f>UAL!$AA$2:$AA$67</c:f>
              <c:numCache>
                <c:formatCode>General</c:formatCode>
                <c:ptCount val="66"/>
                <c:pt idx="0">
                  <c:v>72.14</c:v>
                </c:pt>
                <c:pt idx="1">
                  <c:v>71.48</c:v>
                </c:pt>
                <c:pt idx="2">
                  <c:v>70.47</c:v>
                </c:pt>
                <c:pt idx="3">
                  <c:v>71.72</c:v>
                </c:pt>
                <c:pt idx="4">
                  <c:v>74.42</c:v>
                </c:pt>
                <c:pt idx="5">
                  <c:v>75.38</c:v>
                </c:pt>
                <c:pt idx="6">
                  <c:v>73.59</c:v>
                </c:pt>
                <c:pt idx="7">
                  <c:v>73.180000000000007</c:v>
                </c:pt>
                <c:pt idx="8">
                  <c:v>72.75</c:v>
                </c:pt>
                <c:pt idx="9">
                  <c:v>75.239999999999995</c:v>
                </c:pt>
                <c:pt idx="10">
                  <c:v>74.02</c:v>
                </c:pt>
                <c:pt idx="11">
                  <c:v>74</c:v>
                </c:pt>
                <c:pt idx="12">
                  <c:v>73.739999999999995</c:v>
                </c:pt>
                <c:pt idx="13">
                  <c:v>74.319999999999993</c:v>
                </c:pt>
                <c:pt idx="14">
                  <c:v>74</c:v>
                </c:pt>
                <c:pt idx="15">
                  <c:v>75.040000000000006</c:v>
                </c:pt>
                <c:pt idx="16">
                  <c:v>73.66</c:v>
                </c:pt>
                <c:pt idx="17">
                  <c:v>71.28</c:v>
                </c:pt>
                <c:pt idx="18">
                  <c:v>71.37</c:v>
                </c:pt>
                <c:pt idx="19">
                  <c:v>70.930000000000007</c:v>
                </c:pt>
                <c:pt idx="20">
                  <c:v>73.02</c:v>
                </c:pt>
                <c:pt idx="21">
                  <c:v>72.709999999999994</c:v>
                </c:pt>
                <c:pt idx="22">
                  <c:v>72.88</c:v>
                </c:pt>
                <c:pt idx="23">
                  <c:v>73.28</c:v>
                </c:pt>
                <c:pt idx="24">
                  <c:v>73.53</c:v>
                </c:pt>
                <c:pt idx="25">
                  <c:v>74.67</c:v>
                </c:pt>
                <c:pt idx="26">
                  <c:v>74.790000000000006</c:v>
                </c:pt>
                <c:pt idx="27">
                  <c:v>74.19</c:v>
                </c:pt>
                <c:pt idx="28">
                  <c:v>75.72</c:v>
                </c:pt>
                <c:pt idx="29">
                  <c:v>76.05</c:v>
                </c:pt>
                <c:pt idx="30">
                  <c:v>74.48</c:v>
                </c:pt>
                <c:pt idx="31">
                  <c:v>74.42</c:v>
                </c:pt>
                <c:pt idx="32">
                  <c:v>74.790000000000006</c:v>
                </c:pt>
                <c:pt idx="33">
                  <c:v>72.94</c:v>
                </c:pt>
                <c:pt idx="34">
                  <c:v>72.55</c:v>
                </c:pt>
                <c:pt idx="35">
                  <c:v>73.239999999999995</c:v>
                </c:pt>
                <c:pt idx="36">
                  <c:v>75.17</c:v>
                </c:pt>
                <c:pt idx="37">
                  <c:v>72.739999999999995</c:v>
                </c:pt>
                <c:pt idx="38">
                  <c:v>72.430000000000007</c:v>
                </c:pt>
                <c:pt idx="39">
                  <c:v>70.97</c:v>
                </c:pt>
                <c:pt idx="40">
                  <c:v>68.260000000000005</c:v>
                </c:pt>
                <c:pt idx="41">
                  <c:v>69.27</c:v>
                </c:pt>
                <c:pt idx="42">
                  <c:v>68.47</c:v>
                </c:pt>
                <c:pt idx="43">
                  <c:v>68.95</c:v>
                </c:pt>
                <c:pt idx="44">
                  <c:v>69.72</c:v>
                </c:pt>
                <c:pt idx="45">
                  <c:v>69.25</c:v>
                </c:pt>
                <c:pt idx="46">
                  <c:v>70.09</c:v>
                </c:pt>
                <c:pt idx="47">
                  <c:v>69.88</c:v>
                </c:pt>
                <c:pt idx="48">
                  <c:v>69.5</c:v>
                </c:pt>
                <c:pt idx="49">
                  <c:v>68.989999999999995</c:v>
                </c:pt>
                <c:pt idx="50">
                  <c:v>68.290000000000006</c:v>
                </c:pt>
                <c:pt idx="51">
                  <c:v>67.86</c:v>
                </c:pt>
                <c:pt idx="52">
                  <c:v>65.5</c:v>
                </c:pt>
                <c:pt idx="53">
                  <c:v>66.06</c:v>
                </c:pt>
                <c:pt idx="54">
                  <c:v>62.94</c:v>
                </c:pt>
                <c:pt idx="55">
                  <c:v>60.25</c:v>
                </c:pt>
                <c:pt idx="56">
                  <c:v>59.94</c:v>
                </c:pt>
                <c:pt idx="57">
                  <c:v>60.13</c:v>
                </c:pt>
                <c:pt idx="58">
                  <c:v>59.31</c:v>
                </c:pt>
                <c:pt idx="59">
                  <c:v>58.53</c:v>
                </c:pt>
                <c:pt idx="60">
                  <c:v>57.23</c:v>
                </c:pt>
                <c:pt idx="61">
                  <c:v>55.94</c:v>
                </c:pt>
                <c:pt idx="62">
                  <c:v>56.14</c:v>
                </c:pt>
                <c:pt idx="63">
                  <c:v>56</c:v>
                </c:pt>
                <c:pt idx="64">
                  <c:v>56.23</c:v>
                </c:pt>
                <c:pt idx="65">
                  <c:v>55.11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9950360"/>
        <c:axId val="709950752"/>
      </c:lineChart>
      <c:dateAx>
        <c:axId val="70995036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9950752"/>
        <c:crosses val="autoZero"/>
        <c:auto val="1"/>
        <c:lblOffset val="100"/>
        <c:baseTimeUnit val="days"/>
      </c:dateAx>
      <c:valAx>
        <c:axId val="709950752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99503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5299307318497824E-2"/>
          <c:y val="9.1482999291038355E-2"/>
          <c:w val="0.91375315625276532"/>
          <c:h val="0.78655843025669525"/>
        </c:manualLayout>
      </c:layout>
      <c:lineChart>
        <c:grouping val="standard"/>
        <c:varyColors val="0"/>
        <c:ser>
          <c:idx val="0"/>
          <c:order val="0"/>
          <c:tx>
            <c:strRef>
              <c:f>CAH!$AA$1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CAH!$W$2:$W$68</c:f>
              <c:numCache>
                <c:formatCode>d\-mmm\-yy</c:formatCode>
                <c:ptCount val="67"/>
                <c:pt idx="0">
                  <c:v>42768</c:v>
                </c:pt>
                <c:pt idx="1">
                  <c:v>42767</c:v>
                </c:pt>
                <c:pt idx="2">
                  <c:v>42766</c:v>
                </c:pt>
                <c:pt idx="3">
                  <c:v>42765</c:v>
                </c:pt>
                <c:pt idx="4">
                  <c:v>42762</c:v>
                </c:pt>
                <c:pt idx="5">
                  <c:v>42761</c:v>
                </c:pt>
                <c:pt idx="6">
                  <c:v>42760</c:v>
                </c:pt>
                <c:pt idx="7">
                  <c:v>42759</c:v>
                </c:pt>
                <c:pt idx="8">
                  <c:v>42758</c:v>
                </c:pt>
                <c:pt idx="9">
                  <c:v>42755</c:v>
                </c:pt>
                <c:pt idx="10">
                  <c:v>42754</c:v>
                </c:pt>
                <c:pt idx="11">
                  <c:v>42753</c:v>
                </c:pt>
                <c:pt idx="12">
                  <c:v>42752</c:v>
                </c:pt>
                <c:pt idx="13">
                  <c:v>42748</c:v>
                </c:pt>
                <c:pt idx="14">
                  <c:v>42747</c:v>
                </c:pt>
                <c:pt idx="15">
                  <c:v>42746</c:v>
                </c:pt>
                <c:pt idx="16">
                  <c:v>42745</c:v>
                </c:pt>
                <c:pt idx="17">
                  <c:v>42744</c:v>
                </c:pt>
                <c:pt idx="18">
                  <c:v>42741</c:v>
                </c:pt>
                <c:pt idx="19">
                  <c:v>42740</c:v>
                </c:pt>
                <c:pt idx="20">
                  <c:v>42739</c:v>
                </c:pt>
                <c:pt idx="21">
                  <c:v>42738</c:v>
                </c:pt>
                <c:pt idx="22">
                  <c:v>42734</c:v>
                </c:pt>
                <c:pt idx="23">
                  <c:v>42733</c:v>
                </c:pt>
                <c:pt idx="24">
                  <c:v>42733</c:v>
                </c:pt>
                <c:pt idx="25">
                  <c:v>42732</c:v>
                </c:pt>
                <c:pt idx="26">
                  <c:v>42731</c:v>
                </c:pt>
                <c:pt idx="27">
                  <c:v>42727</c:v>
                </c:pt>
                <c:pt idx="28">
                  <c:v>42726</c:v>
                </c:pt>
                <c:pt idx="29">
                  <c:v>42725</c:v>
                </c:pt>
                <c:pt idx="30">
                  <c:v>42724</c:v>
                </c:pt>
                <c:pt idx="31">
                  <c:v>42723</c:v>
                </c:pt>
                <c:pt idx="32">
                  <c:v>42720</c:v>
                </c:pt>
                <c:pt idx="33">
                  <c:v>42719</c:v>
                </c:pt>
                <c:pt idx="34">
                  <c:v>42718</c:v>
                </c:pt>
                <c:pt idx="35">
                  <c:v>42717</c:v>
                </c:pt>
                <c:pt idx="36">
                  <c:v>42716</c:v>
                </c:pt>
                <c:pt idx="37">
                  <c:v>42713</c:v>
                </c:pt>
                <c:pt idx="38">
                  <c:v>42712</c:v>
                </c:pt>
                <c:pt idx="39">
                  <c:v>42711</c:v>
                </c:pt>
                <c:pt idx="40">
                  <c:v>42710</c:v>
                </c:pt>
                <c:pt idx="41">
                  <c:v>42709</c:v>
                </c:pt>
                <c:pt idx="42">
                  <c:v>42706</c:v>
                </c:pt>
                <c:pt idx="43">
                  <c:v>42705</c:v>
                </c:pt>
                <c:pt idx="44">
                  <c:v>42704</c:v>
                </c:pt>
                <c:pt idx="45">
                  <c:v>42703</c:v>
                </c:pt>
                <c:pt idx="46">
                  <c:v>42702</c:v>
                </c:pt>
                <c:pt idx="47">
                  <c:v>42699</c:v>
                </c:pt>
                <c:pt idx="48">
                  <c:v>42697</c:v>
                </c:pt>
                <c:pt idx="49">
                  <c:v>42696</c:v>
                </c:pt>
                <c:pt idx="50">
                  <c:v>42695</c:v>
                </c:pt>
                <c:pt idx="51">
                  <c:v>42692</c:v>
                </c:pt>
                <c:pt idx="52">
                  <c:v>42691</c:v>
                </c:pt>
                <c:pt idx="53">
                  <c:v>42690</c:v>
                </c:pt>
                <c:pt idx="54">
                  <c:v>42689</c:v>
                </c:pt>
                <c:pt idx="55">
                  <c:v>42688</c:v>
                </c:pt>
                <c:pt idx="56">
                  <c:v>42685</c:v>
                </c:pt>
                <c:pt idx="57">
                  <c:v>42684</c:v>
                </c:pt>
                <c:pt idx="58">
                  <c:v>42683</c:v>
                </c:pt>
                <c:pt idx="59">
                  <c:v>42682</c:v>
                </c:pt>
                <c:pt idx="60">
                  <c:v>42681</c:v>
                </c:pt>
                <c:pt idx="61">
                  <c:v>42678</c:v>
                </c:pt>
                <c:pt idx="62">
                  <c:v>42677</c:v>
                </c:pt>
                <c:pt idx="63">
                  <c:v>42676</c:v>
                </c:pt>
                <c:pt idx="64">
                  <c:v>42675</c:v>
                </c:pt>
                <c:pt idx="65">
                  <c:v>42674</c:v>
                </c:pt>
                <c:pt idx="66">
                  <c:v>42671</c:v>
                </c:pt>
              </c:numCache>
            </c:numRef>
          </c:cat>
          <c:val>
            <c:numRef>
              <c:f>CAH!$AA$2:$AA$69</c:f>
              <c:numCache>
                <c:formatCode>General</c:formatCode>
                <c:ptCount val="68"/>
                <c:pt idx="0">
                  <c:v>74.44</c:v>
                </c:pt>
                <c:pt idx="1">
                  <c:v>75.349999999999994</c:v>
                </c:pt>
                <c:pt idx="2">
                  <c:v>74.959999999999994</c:v>
                </c:pt>
                <c:pt idx="3">
                  <c:v>73.19</c:v>
                </c:pt>
                <c:pt idx="4">
                  <c:v>72.47</c:v>
                </c:pt>
                <c:pt idx="5">
                  <c:v>73.09</c:v>
                </c:pt>
                <c:pt idx="6">
                  <c:v>75.87</c:v>
                </c:pt>
                <c:pt idx="7">
                  <c:v>74.650000000000006</c:v>
                </c:pt>
                <c:pt idx="8">
                  <c:v>74.72</c:v>
                </c:pt>
                <c:pt idx="9">
                  <c:v>75.03</c:v>
                </c:pt>
                <c:pt idx="10">
                  <c:v>75.55</c:v>
                </c:pt>
                <c:pt idx="11">
                  <c:v>75.8</c:v>
                </c:pt>
                <c:pt idx="12">
                  <c:v>75.180000000000007</c:v>
                </c:pt>
                <c:pt idx="13">
                  <c:v>75</c:v>
                </c:pt>
                <c:pt idx="14">
                  <c:v>74.19</c:v>
                </c:pt>
                <c:pt idx="15">
                  <c:v>73.72</c:v>
                </c:pt>
                <c:pt idx="16">
                  <c:v>75.22</c:v>
                </c:pt>
                <c:pt idx="17">
                  <c:v>74.760000000000005</c:v>
                </c:pt>
                <c:pt idx="18">
                  <c:v>75.33</c:v>
                </c:pt>
                <c:pt idx="19">
                  <c:v>74.5</c:v>
                </c:pt>
                <c:pt idx="20">
                  <c:v>75.63</c:v>
                </c:pt>
                <c:pt idx="21">
                  <c:v>74.48</c:v>
                </c:pt>
                <c:pt idx="22">
                  <c:v>71.97</c:v>
                </c:pt>
                <c:pt idx="23">
                  <c:v>72.349999999999994</c:v>
                </c:pt>
                <c:pt idx="25">
                  <c:v>72.55</c:v>
                </c:pt>
                <c:pt idx="26">
                  <c:v>73.069999999999993</c:v>
                </c:pt>
                <c:pt idx="27">
                  <c:v>72.88</c:v>
                </c:pt>
                <c:pt idx="28">
                  <c:v>72.11</c:v>
                </c:pt>
                <c:pt idx="29">
                  <c:v>72.62</c:v>
                </c:pt>
                <c:pt idx="30">
                  <c:v>73.349999999999994</c:v>
                </c:pt>
                <c:pt idx="31">
                  <c:v>73.7</c:v>
                </c:pt>
                <c:pt idx="32">
                  <c:v>73.760000000000005</c:v>
                </c:pt>
                <c:pt idx="33">
                  <c:v>73</c:v>
                </c:pt>
                <c:pt idx="34">
                  <c:v>72.47</c:v>
                </c:pt>
                <c:pt idx="35">
                  <c:v>73.75</c:v>
                </c:pt>
                <c:pt idx="36">
                  <c:v>73.48</c:v>
                </c:pt>
                <c:pt idx="37">
                  <c:v>73.040000000000006</c:v>
                </c:pt>
                <c:pt idx="38">
                  <c:v>71.11</c:v>
                </c:pt>
                <c:pt idx="39">
                  <c:v>70.5</c:v>
                </c:pt>
                <c:pt idx="40">
                  <c:v>71.42</c:v>
                </c:pt>
                <c:pt idx="41">
                  <c:v>72.099999999999994</c:v>
                </c:pt>
                <c:pt idx="42">
                  <c:v>70.83</c:v>
                </c:pt>
                <c:pt idx="43">
                  <c:v>70.930000000000007</c:v>
                </c:pt>
                <c:pt idx="44">
                  <c:v>71.010000000000005</c:v>
                </c:pt>
                <c:pt idx="45">
                  <c:v>70.989999999999995</c:v>
                </c:pt>
                <c:pt idx="46">
                  <c:v>71.569999999999993</c:v>
                </c:pt>
                <c:pt idx="47">
                  <c:v>71.11</c:v>
                </c:pt>
                <c:pt idx="48">
                  <c:v>70.55</c:v>
                </c:pt>
                <c:pt idx="49">
                  <c:v>70.13</c:v>
                </c:pt>
                <c:pt idx="50">
                  <c:v>70.25</c:v>
                </c:pt>
                <c:pt idx="51">
                  <c:v>70.77</c:v>
                </c:pt>
                <c:pt idx="52">
                  <c:v>71.64</c:v>
                </c:pt>
                <c:pt idx="53">
                  <c:v>70.83</c:v>
                </c:pt>
                <c:pt idx="54">
                  <c:v>71.39</c:v>
                </c:pt>
                <c:pt idx="55">
                  <c:v>72.349999999999994</c:v>
                </c:pt>
                <c:pt idx="56">
                  <c:v>71.37</c:v>
                </c:pt>
                <c:pt idx="57">
                  <c:v>71.72</c:v>
                </c:pt>
                <c:pt idx="58">
                  <c:v>69.25</c:v>
                </c:pt>
                <c:pt idx="59">
                  <c:v>65.349999999999994</c:v>
                </c:pt>
                <c:pt idx="60">
                  <c:v>66</c:v>
                </c:pt>
                <c:pt idx="61">
                  <c:v>65.17</c:v>
                </c:pt>
                <c:pt idx="62">
                  <c:v>65.38</c:v>
                </c:pt>
                <c:pt idx="63">
                  <c:v>68.66</c:v>
                </c:pt>
                <c:pt idx="64">
                  <c:v>66.89</c:v>
                </c:pt>
                <c:pt idx="65">
                  <c:v>68.69</c:v>
                </c:pt>
                <c:pt idx="66">
                  <c:v>67.5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9952712"/>
        <c:axId val="709953104"/>
      </c:lineChart>
      <c:dateAx>
        <c:axId val="70995271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9953104"/>
        <c:crosses val="autoZero"/>
        <c:auto val="1"/>
        <c:lblOffset val="100"/>
        <c:baseTimeUnit val="days"/>
      </c:dateAx>
      <c:valAx>
        <c:axId val="709953104"/>
        <c:scaling>
          <c:orientation val="minMax"/>
          <c:min val="6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99527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DAL!$W$2:$W$68</c:f>
              <c:numCache>
                <c:formatCode>d\-mmm\-yy</c:formatCode>
                <c:ptCount val="67"/>
                <c:pt idx="0">
                  <c:v>42768</c:v>
                </c:pt>
                <c:pt idx="1">
                  <c:v>42767</c:v>
                </c:pt>
                <c:pt idx="2">
                  <c:v>42766</c:v>
                </c:pt>
                <c:pt idx="3">
                  <c:v>42765</c:v>
                </c:pt>
                <c:pt idx="4">
                  <c:v>42762</c:v>
                </c:pt>
                <c:pt idx="5">
                  <c:v>42761</c:v>
                </c:pt>
                <c:pt idx="6">
                  <c:v>42760</c:v>
                </c:pt>
                <c:pt idx="7">
                  <c:v>42759</c:v>
                </c:pt>
                <c:pt idx="8">
                  <c:v>42758</c:v>
                </c:pt>
                <c:pt idx="9">
                  <c:v>42755</c:v>
                </c:pt>
                <c:pt idx="10">
                  <c:v>42754</c:v>
                </c:pt>
                <c:pt idx="11">
                  <c:v>42753</c:v>
                </c:pt>
                <c:pt idx="12">
                  <c:v>42752</c:v>
                </c:pt>
                <c:pt idx="13">
                  <c:v>42748</c:v>
                </c:pt>
                <c:pt idx="14">
                  <c:v>42747</c:v>
                </c:pt>
                <c:pt idx="15">
                  <c:v>42746</c:v>
                </c:pt>
                <c:pt idx="16">
                  <c:v>42745</c:v>
                </c:pt>
                <c:pt idx="17">
                  <c:v>42744</c:v>
                </c:pt>
                <c:pt idx="18">
                  <c:v>42741</c:v>
                </c:pt>
                <c:pt idx="19">
                  <c:v>42740</c:v>
                </c:pt>
                <c:pt idx="20">
                  <c:v>42739</c:v>
                </c:pt>
                <c:pt idx="21">
                  <c:v>42738</c:v>
                </c:pt>
                <c:pt idx="22">
                  <c:v>42734</c:v>
                </c:pt>
                <c:pt idx="23">
                  <c:v>42733</c:v>
                </c:pt>
                <c:pt idx="24">
                  <c:v>42732</c:v>
                </c:pt>
                <c:pt idx="25">
                  <c:v>42731</c:v>
                </c:pt>
                <c:pt idx="26">
                  <c:v>42727</c:v>
                </c:pt>
                <c:pt idx="27">
                  <c:v>42726</c:v>
                </c:pt>
                <c:pt idx="28">
                  <c:v>42725</c:v>
                </c:pt>
                <c:pt idx="29">
                  <c:v>42724</c:v>
                </c:pt>
                <c:pt idx="30">
                  <c:v>42723</c:v>
                </c:pt>
                <c:pt idx="31">
                  <c:v>42720</c:v>
                </c:pt>
                <c:pt idx="32">
                  <c:v>42719</c:v>
                </c:pt>
                <c:pt idx="33">
                  <c:v>42718</c:v>
                </c:pt>
                <c:pt idx="34">
                  <c:v>42717</c:v>
                </c:pt>
                <c:pt idx="35">
                  <c:v>42716</c:v>
                </c:pt>
                <c:pt idx="36">
                  <c:v>42713</c:v>
                </c:pt>
                <c:pt idx="37">
                  <c:v>42712</c:v>
                </c:pt>
                <c:pt idx="38">
                  <c:v>42711</c:v>
                </c:pt>
                <c:pt idx="39">
                  <c:v>42710</c:v>
                </c:pt>
                <c:pt idx="40">
                  <c:v>42709</c:v>
                </c:pt>
                <c:pt idx="41">
                  <c:v>42706</c:v>
                </c:pt>
                <c:pt idx="42">
                  <c:v>42705</c:v>
                </c:pt>
                <c:pt idx="43">
                  <c:v>42704</c:v>
                </c:pt>
                <c:pt idx="44">
                  <c:v>42703</c:v>
                </c:pt>
                <c:pt idx="45">
                  <c:v>42702</c:v>
                </c:pt>
                <c:pt idx="46">
                  <c:v>42699</c:v>
                </c:pt>
                <c:pt idx="47">
                  <c:v>42697</c:v>
                </c:pt>
                <c:pt idx="48">
                  <c:v>42696</c:v>
                </c:pt>
                <c:pt idx="49">
                  <c:v>42695</c:v>
                </c:pt>
                <c:pt idx="50">
                  <c:v>42692</c:v>
                </c:pt>
                <c:pt idx="51">
                  <c:v>42691</c:v>
                </c:pt>
                <c:pt idx="52">
                  <c:v>42690</c:v>
                </c:pt>
                <c:pt idx="53">
                  <c:v>42689</c:v>
                </c:pt>
                <c:pt idx="54">
                  <c:v>42688</c:v>
                </c:pt>
                <c:pt idx="55">
                  <c:v>42685</c:v>
                </c:pt>
                <c:pt idx="56">
                  <c:v>42684</c:v>
                </c:pt>
                <c:pt idx="57">
                  <c:v>42683</c:v>
                </c:pt>
                <c:pt idx="58">
                  <c:v>42682</c:v>
                </c:pt>
                <c:pt idx="59">
                  <c:v>42682</c:v>
                </c:pt>
                <c:pt idx="60">
                  <c:v>42681</c:v>
                </c:pt>
                <c:pt idx="61">
                  <c:v>42678</c:v>
                </c:pt>
                <c:pt idx="62">
                  <c:v>42677</c:v>
                </c:pt>
                <c:pt idx="63">
                  <c:v>42676</c:v>
                </c:pt>
                <c:pt idx="64">
                  <c:v>42675</c:v>
                </c:pt>
                <c:pt idx="65">
                  <c:v>42674</c:v>
                </c:pt>
                <c:pt idx="66">
                  <c:v>42671</c:v>
                </c:pt>
              </c:numCache>
            </c:numRef>
          </c:cat>
          <c:val>
            <c:numRef>
              <c:f>DAL!$AA$2:$AA$69</c:f>
              <c:numCache>
                <c:formatCode>General</c:formatCode>
                <c:ptCount val="68"/>
                <c:pt idx="0">
                  <c:v>47.38</c:v>
                </c:pt>
                <c:pt idx="1">
                  <c:v>47.26</c:v>
                </c:pt>
                <c:pt idx="2">
                  <c:v>47.24</c:v>
                </c:pt>
                <c:pt idx="3">
                  <c:v>47.67</c:v>
                </c:pt>
                <c:pt idx="4">
                  <c:v>49.7</c:v>
                </c:pt>
                <c:pt idx="5">
                  <c:v>50.9</c:v>
                </c:pt>
                <c:pt idx="6">
                  <c:v>50.19</c:v>
                </c:pt>
                <c:pt idx="7">
                  <c:v>49.44</c:v>
                </c:pt>
                <c:pt idx="8">
                  <c:v>48.77</c:v>
                </c:pt>
                <c:pt idx="9">
                  <c:v>50.5</c:v>
                </c:pt>
                <c:pt idx="10">
                  <c:v>49.7</c:v>
                </c:pt>
                <c:pt idx="11">
                  <c:v>50.3</c:v>
                </c:pt>
                <c:pt idx="12">
                  <c:v>50.33</c:v>
                </c:pt>
                <c:pt idx="13">
                  <c:v>51.23</c:v>
                </c:pt>
                <c:pt idx="14">
                  <c:v>50.89</c:v>
                </c:pt>
                <c:pt idx="15">
                  <c:v>51.44</c:v>
                </c:pt>
                <c:pt idx="16">
                  <c:v>50.93</c:v>
                </c:pt>
                <c:pt idx="17">
                  <c:v>49.69</c:v>
                </c:pt>
                <c:pt idx="18">
                  <c:v>49.68</c:v>
                </c:pt>
                <c:pt idx="19">
                  <c:v>49.73</c:v>
                </c:pt>
                <c:pt idx="20">
                  <c:v>50.7</c:v>
                </c:pt>
                <c:pt idx="21">
                  <c:v>49.48</c:v>
                </c:pt>
                <c:pt idx="22">
                  <c:v>49.19</c:v>
                </c:pt>
                <c:pt idx="23">
                  <c:v>49.31</c:v>
                </c:pt>
                <c:pt idx="24">
                  <c:v>49.51</c:v>
                </c:pt>
                <c:pt idx="25">
                  <c:v>50.36</c:v>
                </c:pt>
                <c:pt idx="26">
                  <c:v>49.89</c:v>
                </c:pt>
                <c:pt idx="27">
                  <c:v>49.8</c:v>
                </c:pt>
                <c:pt idx="28">
                  <c:v>50.92</c:v>
                </c:pt>
                <c:pt idx="29">
                  <c:v>50.76</c:v>
                </c:pt>
                <c:pt idx="30">
                  <c:v>50.42</c:v>
                </c:pt>
                <c:pt idx="31">
                  <c:v>50.16</c:v>
                </c:pt>
                <c:pt idx="32">
                  <c:v>50.5</c:v>
                </c:pt>
                <c:pt idx="33">
                  <c:v>49.82</c:v>
                </c:pt>
                <c:pt idx="34">
                  <c:v>49.66</c:v>
                </c:pt>
                <c:pt idx="35">
                  <c:v>49.97</c:v>
                </c:pt>
                <c:pt idx="36">
                  <c:v>51.78</c:v>
                </c:pt>
                <c:pt idx="37">
                  <c:v>51.35</c:v>
                </c:pt>
                <c:pt idx="38">
                  <c:v>51.1</c:v>
                </c:pt>
                <c:pt idx="39">
                  <c:v>49.43</c:v>
                </c:pt>
                <c:pt idx="40">
                  <c:v>47.82</c:v>
                </c:pt>
                <c:pt idx="41">
                  <c:v>48.31</c:v>
                </c:pt>
                <c:pt idx="42">
                  <c:v>47.77</c:v>
                </c:pt>
                <c:pt idx="43">
                  <c:v>48.18</c:v>
                </c:pt>
                <c:pt idx="44">
                  <c:v>48.59</c:v>
                </c:pt>
                <c:pt idx="45">
                  <c:v>48.49</c:v>
                </c:pt>
                <c:pt idx="46">
                  <c:v>49.24</c:v>
                </c:pt>
                <c:pt idx="47">
                  <c:v>49.21</c:v>
                </c:pt>
                <c:pt idx="48">
                  <c:v>48.9</c:v>
                </c:pt>
                <c:pt idx="49">
                  <c:v>48.61</c:v>
                </c:pt>
                <c:pt idx="50">
                  <c:v>48.9</c:v>
                </c:pt>
                <c:pt idx="51">
                  <c:v>48.51</c:v>
                </c:pt>
                <c:pt idx="52">
                  <c:v>47.38</c:v>
                </c:pt>
                <c:pt idx="53">
                  <c:v>47.65</c:v>
                </c:pt>
                <c:pt idx="54">
                  <c:v>47.47</c:v>
                </c:pt>
                <c:pt idx="55">
                  <c:v>46.38</c:v>
                </c:pt>
                <c:pt idx="56">
                  <c:v>45.95</c:v>
                </c:pt>
                <c:pt idx="57">
                  <c:v>45.25</c:v>
                </c:pt>
                <c:pt idx="58">
                  <c:v>44.53</c:v>
                </c:pt>
                <c:pt idx="60">
                  <c:v>44.21</c:v>
                </c:pt>
                <c:pt idx="61">
                  <c:v>42.88</c:v>
                </c:pt>
                <c:pt idx="62">
                  <c:v>41.92</c:v>
                </c:pt>
                <c:pt idx="63">
                  <c:v>41.93</c:v>
                </c:pt>
                <c:pt idx="64">
                  <c:v>41.88</c:v>
                </c:pt>
                <c:pt idx="65">
                  <c:v>41.77</c:v>
                </c:pt>
                <c:pt idx="66">
                  <c:v>41.34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9955064"/>
        <c:axId val="709955456"/>
      </c:lineChart>
      <c:dateAx>
        <c:axId val="7099550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9955456"/>
        <c:crosses val="autoZero"/>
        <c:auto val="1"/>
        <c:lblOffset val="100"/>
        <c:baseTimeUnit val="days"/>
      </c:dateAx>
      <c:valAx>
        <c:axId val="709955456"/>
        <c:scaling>
          <c:orientation val="minMax"/>
          <c:min val="3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99550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TEVA!$AA$1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TEVA!$W$2:$W$67</c:f>
              <c:numCache>
                <c:formatCode>d\-mmm\-yy</c:formatCode>
                <c:ptCount val="66"/>
                <c:pt idx="0">
                  <c:v>42768</c:v>
                </c:pt>
                <c:pt idx="1">
                  <c:v>42767</c:v>
                </c:pt>
                <c:pt idx="2">
                  <c:v>42766</c:v>
                </c:pt>
                <c:pt idx="3">
                  <c:v>42765</c:v>
                </c:pt>
                <c:pt idx="4">
                  <c:v>42762</c:v>
                </c:pt>
                <c:pt idx="5">
                  <c:v>42761</c:v>
                </c:pt>
                <c:pt idx="6">
                  <c:v>42760</c:v>
                </c:pt>
                <c:pt idx="7">
                  <c:v>42759</c:v>
                </c:pt>
                <c:pt idx="8">
                  <c:v>42758</c:v>
                </c:pt>
                <c:pt idx="9">
                  <c:v>42755</c:v>
                </c:pt>
                <c:pt idx="10">
                  <c:v>42754</c:v>
                </c:pt>
                <c:pt idx="11">
                  <c:v>42753</c:v>
                </c:pt>
                <c:pt idx="12">
                  <c:v>42752</c:v>
                </c:pt>
                <c:pt idx="13">
                  <c:v>42748</c:v>
                </c:pt>
                <c:pt idx="14">
                  <c:v>42747</c:v>
                </c:pt>
                <c:pt idx="15">
                  <c:v>42746</c:v>
                </c:pt>
                <c:pt idx="16">
                  <c:v>42745</c:v>
                </c:pt>
                <c:pt idx="17">
                  <c:v>42744</c:v>
                </c:pt>
                <c:pt idx="18">
                  <c:v>42741</c:v>
                </c:pt>
                <c:pt idx="19">
                  <c:v>42740</c:v>
                </c:pt>
                <c:pt idx="20">
                  <c:v>42739</c:v>
                </c:pt>
                <c:pt idx="21">
                  <c:v>42738</c:v>
                </c:pt>
                <c:pt idx="22">
                  <c:v>42734</c:v>
                </c:pt>
                <c:pt idx="23">
                  <c:v>42733</c:v>
                </c:pt>
                <c:pt idx="24">
                  <c:v>42732</c:v>
                </c:pt>
                <c:pt idx="25">
                  <c:v>42731</c:v>
                </c:pt>
                <c:pt idx="26">
                  <c:v>42727</c:v>
                </c:pt>
                <c:pt idx="27">
                  <c:v>42726</c:v>
                </c:pt>
                <c:pt idx="28">
                  <c:v>42725</c:v>
                </c:pt>
                <c:pt idx="29">
                  <c:v>42724</c:v>
                </c:pt>
                <c:pt idx="30">
                  <c:v>42723</c:v>
                </c:pt>
                <c:pt idx="31">
                  <c:v>42720</c:v>
                </c:pt>
                <c:pt idx="32">
                  <c:v>42719</c:v>
                </c:pt>
                <c:pt idx="33">
                  <c:v>42718</c:v>
                </c:pt>
                <c:pt idx="34">
                  <c:v>42717</c:v>
                </c:pt>
                <c:pt idx="35">
                  <c:v>42716</c:v>
                </c:pt>
                <c:pt idx="36">
                  <c:v>42713</c:v>
                </c:pt>
                <c:pt idx="37">
                  <c:v>42712</c:v>
                </c:pt>
                <c:pt idx="38">
                  <c:v>42711</c:v>
                </c:pt>
                <c:pt idx="39">
                  <c:v>42710</c:v>
                </c:pt>
                <c:pt idx="40">
                  <c:v>42709</c:v>
                </c:pt>
                <c:pt idx="41">
                  <c:v>42706</c:v>
                </c:pt>
                <c:pt idx="42">
                  <c:v>42705</c:v>
                </c:pt>
                <c:pt idx="43">
                  <c:v>42705</c:v>
                </c:pt>
                <c:pt idx="44">
                  <c:v>42704</c:v>
                </c:pt>
                <c:pt idx="45">
                  <c:v>42703</c:v>
                </c:pt>
                <c:pt idx="46">
                  <c:v>42702</c:v>
                </c:pt>
                <c:pt idx="47">
                  <c:v>42699</c:v>
                </c:pt>
                <c:pt idx="48">
                  <c:v>42697</c:v>
                </c:pt>
                <c:pt idx="49">
                  <c:v>42696</c:v>
                </c:pt>
                <c:pt idx="50">
                  <c:v>42695</c:v>
                </c:pt>
                <c:pt idx="51">
                  <c:v>42692</c:v>
                </c:pt>
                <c:pt idx="52">
                  <c:v>42691</c:v>
                </c:pt>
                <c:pt idx="53">
                  <c:v>42690</c:v>
                </c:pt>
                <c:pt idx="54">
                  <c:v>42689</c:v>
                </c:pt>
                <c:pt idx="55">
                  <c:v>42688</c:v>
                </c:pt>
                <c:pt idx="56">
                  <c:v>42685</c:v>
                </c:pt>
                <c:pt idx="57">
                  <c:v>42684</c:v>
                </c:pt>
                <c:pt idx="58">
                  <c:v>42683</c:v>
                </c:pt>
                <c:pt idx="59">
                  <c:v>42682</c:v>
                </c:pt>
                <c:pt idx="60">
                  <c:v>42681</c:v>
                </c:pt>
                <c:pt idx="61">
                  <c:v>42678</c:v>
                </c:pt>
                <c:pt idx="62">
                  <c:v>42677</c:v>
                </c:pt>
                <c:pt idx="63">
                  <c:v>42676</c:v>
                </c:pt>
                <c:pt idx="64">
                  <c:v>42675</c:v>
                </c:pt>
                <c:pt idx="65">
                  <c:v>42674</c:v>
                </c:pt>
              </c:numCache>
            </c:numRef>
          </c:cat>
          <c:val>
            <c:numRef>
              <c:f>TEVA!$AA$2:$AA$67</c:f>
              <c:numCache>
                <c:formatCode>General</c:formatCode>
                <c:ptCount val="66"/>
                <c:pt idx="0">
                  <c:v>34.19</c:v>
                </c:pt>
                <c:pt idx="1">
                  <c:v>34.69</c:v>
                </c:pt>
                <c:pt idx="2">
                  <c:v>33.43</c:v>
                </c:pt>
                <c:pt idx="3">
                  <c:v>34.520000000000003</c:v>
                </c:pt>
                <c:pt idx="4">
                  <c:v>34.590000000000003</c:v>
                </c:pt>
                <c:pt idx="5">
                  <c:v>33.93</c:v>
                </c:pt>
                <c:pt idx="6">
                  <c:v>33.68</c:v>
                </c:pt>
                <c:pt idx="7">
                  <c:v>32.6</c:v>
                </c:pt>
                <c:pt idx="8">
                  <c:v>32.71</c:v>
                </c:pt>
                <c:pt idx="9">
                  <c:v>33.229999999999997</c:v>
                </c:pt>
                <c:pt idx="10">
                  <c:v>33.47</c:v>
                </c:pt>
                <c:pt idx="11">
                  <c:v>34.1</c:v>
                </c:pt>
                <c:pt idx="12">
                  <c:v>33.75</c:v>
                </c:pt>
                <c:pt idx="13">
                  <c:v>33.97</c:v>
                </c:pt>
                <c:pt idx="14">
                  <c:v>33.94</c:v>
                </c:pt>
                <c:pt idx="15">
                  <c:v>34.28</c:v>
                </c:pt>
                <c:pt idx="16">
                  <c:v>35.200000000000003</c:v>
                </c:pt>
                <c:pt idx="17">
                  <c:v>35.06</c:v>
                </c:pt>
                <c:pt idx="18">
                  <c:v>35.1</c:v>
                </c:pt>
                <c:pt idx="19">
                  <c:v>37.96</c:v>
                </c:pt>
                <c:pt idx="20">
                  <c:v>37.74</c:v>
                </c:pt>
                <c:pt idx="21">
                  <c:v>37.479999999999997</c:v>
                </c:pt>
                <c:pt idx="22">
                  <c:v>36.25</c:v>
                </c:pt>
                <c:pt idx="23">
                  <c:v>36.08</c:v>
                </c:pt>
                <c:pt idx="24">
                  <c:v>35.93</c:v>
                </c:pt>
                <c:pt idx="25">
                  <c:v>36.340000000000003</c:v>
                </c:pt>
                <c:pt idx="26">
                  <c:v>36.82</c:v>
                </c:pt>
                <c:pt idx="27">
                  <c:v>36.909999999999997</c:v>
                </c:pt>
                <c:pt idx="28">
                  <c:v>36.369999999999997</c:v>
                </c:pt>
                <c:pt idx="29">
                  <c:v>36.25</c:v>
                </c:pt>
                <c:pt idx="30">
                  <c:v>36.57</c:v>
                </c:pt>
                <c:pt idx="31">
                  <c:v>36.51</c:v>
                </c:pt>
                <c:pt idx="32">
                  <c:v>36.729999999999997</c:v>
                </c:pt>
                <c:pt idx="33">
                  <c:v>37</c:v>
                </c:pt>
                <c:pt idx="34">
                  <c:v>37.659999999999997</c:v>
                </c:pt>
                <c:pt idx="35">
                  <c:v>37.25</c:v>
                </c:pt>
                <c:pt idx="36">
                  <c:v>36.299999999999997</c:v>
                </c:pt>
                <c:pt idx="37">
                  <c:v>35.909999999999997</c:v>
                </c:pt>
                <c:pt idx="38">
                  <c:v>35.270000000000003</c:v>
                </c:pt>
                <c:pt idx="39">
                  <c:v>35.03</c:v>
                </c:pt>
                <c:pt idx="40">
                  <c:v>37.04</c:v>
                </c:pt>
                <c:pt idx="41">
                  <c:v>36.53</c:v>
                </c:pt>
                <c:pt idx="42">
                  <c:v>36.57</c:v>
                </c:pt>
                <c:pt idx="44">
                  <c:v>37.700000000000003</c:v>
                </c:pt>
                <c:pt idx="45">
                  <c:v>37.86</c:v>
                </c:pt>
                <c:pt idx="46">
                  <c:v>38.15</c:v>
                </c:pt>
                <c:pt idx="47">
                  <c:v>38.21</c:v>
                </c:pt>
                <c:pt idx="48">
                  <c:v>38.11</c:v>
                </c:pt>
                <c:pt idx="49">
                  <c:v>37.83</c:v>
                </c:pt>
                <c:pt idx="50">
                  <c:v>38.799999999999997</c:v>
                </c:pt>
                <c:pt idx="51">
                  <c:v>38.56</c:v>
                </c:pt>
                <c:pt idx="52">
                  <c:v>38.89</c:v>
                </c:pt>
                <c:pt idx="53">
                  <c:v>38.07</c:v>
                </c:pt>
                <c:pt idx="54">
                  <c:v>37.6</c:v>
                </c:pt>
                <c:pt idx="55">
                  <c:v>41.03</c:v>
                </c:pt>
                <c:pt idx="56">
                  <c:v>40.65</c:v>
                </c:pt>
                <c:pt idx="57">
                  <c:v>40.06</c:v>
                </c:pt>
                <c:pt idx="58">
                  <c:v>39.97</c:v>
                </c:pt>
                <c:pt idx="59">
                  <c:v>38.770000000000003</c:v>
                </c:pt>
                <c:pt idx="60">
                  <c:v>40.78</c:v>
                </c:pt>
                <c:pt idx="61">
                  <c:v>40.24</c:v>
                </c:pt>
                <c:pt idx="62">
                  <c:v>39.200000000000003</c:v>
                </c:pt>
                <c:pt idx="63">
                  <c:v>43.33</c:v>
                </c:pt>
                <c:pt idx="64">
                  <c:v>43.12</c:v>
                </c:pt>
                <c:pt idx="65">
                  <c:v>42.74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9957416"/>
        <c:axId val="709957808"/>
      </c:lineChart>
      <c:dateAx>
        <c:axId val="70995741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9957808"/>
        <c:crosses val="autoZero"/>
        <c:auto val="1"/>
        <c:lblOffset val="100"/>
        <c:baseTimeUnit val="days"/>
      </c:dateAx>
      <c:valAx>
        <c:axId val="709957808"/>
        <c:scaling>
          <c:orientation val="minMax"/>
          <c:min val="3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99574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42768</c:v>
                </c:pt>
                <c:pt idx="1">
                  <c:v>42767</c:v>
                </c:pt>
                <c:pt idx="2">
                  <c:v>42766</c:v>
                </c:pt>
                <c:pt idx="3">
                  <c:v>42765</c:v>
                </c:pt>
                <c:pt idx="4">
                  <c:v>42762</c:v>
                </c:pt>
                <c:pt idx="5">
                  <c:v>42761</c:v>
                </c:pt>
                <c:pt idx="6">
                  <c:v>42760</c:v>
                </c:pt>
                <c:pt idx="7">
                  <c:v>42759</c:v>
                </c:pt>
                <c:pt idx="8">
                  <c:v>42758</c:v>
                </c:pt>
                <c:pt idx="9">
                  <c:v>42755</c:v>
                </c:pt>
                <c:pt idx="10">
                  <c:v>42754</c:v>
                </c:pt>
                <c:pt idx="11">
                  <c:v>42753</c:v>
                </c:pt>
                <c:pt idx="12">
                  <c:v>42752</c:v>
                </c:pt>
                <c:pt idx="13">
                  <c:v>42748</c:v>
                </c:pt>
                <c:pt idx="14">
                  <c:v>42747</c:v>
                </c:pt>
                <c:pt idx="15">
                  <c:v>42746</c:v>
                </c:pt>
                <c:pt idx="16">
                  <c:v>42745</c:v>
                </c:pt>
                <c:pt idx="17">
                  <c:v>42744</c:v>
                </c:pt>
                <c:pt idx="18">
                  <c:v>42741</c:v>
                </c:pt>
                <c:pt idx="19">
                  <c:v>42740</c:v>
                </c:pt>
                <c:pt idx="20">
                  <c:v>42739</c:v>
                </c:pt>
                <c:pt idx="21">
                  <c:v>42738</c:v>
                </c:pt>
                <c:pt idx="22">
                  <c:v>42734</c:v>
                </c:pt>
                <c:pt idx="23">
                  <c:v>42733</c:v>
                </c:pt>
                <c:pt idx="24">
                  <c:v>42732</c:v>
                </c:pt>
                <c:pt idx="25">
                  <c:v>42731</c:v>
                </c:pt>
                <c:pt idx="26">
                  <c:v>42727</c:v>
                </c:pt>
                <c:pt idx="27">
                  <c:v>42726</c:v>
                </c:pt>
                <c:pt idx="28">
                  <c:v>42725</c:v>
                </c:pt>
                <c:pt idx="29">
                  <c:v>42724</c:v>
                </c:pt>
                <c:pt idx="30">
                  <c:v>42723</c:v>
                </c:pt>
                <c:pt idx="31">
                  <c:v>42720</c:v>
                </c:pt>
                <c:pt idx="32">
                  <c:v>42719</c:v>
                </c:pt>
                <c:pt idx="33">
                  <c:v>42718</c:v>
                </c:pt>
                <c:pt idx="34">
                  <c:v>42717</c:v>
                </c:pt>
                <c:pt idx="35">
                  <c:v>42716</c:v>
                </c:pt>
                <c:pt idx="36">
                  <c:v>42713</c:v>
                </c:pt>
                <c:pt idx="37">
                  <c:v>42712</c:v>
                </c:pt>
                <c:pt idx="38">
                  <c:v>42712</c:v>
                </c:pt>
                <c:pt idx="39">
                  <c:v>42711</c:v>
                </c:pt>
                <c:pt idx="40">
                  <c:v>42710</c:v>
                </c:pt>
                <c:pt idx="41">
                  <c:v>42709</c:v>
                </c:pt>
                <c:pt idx="42">
                  <c:v>42706</c:v>
                </c:pt>
                <c:pt idx="43">
                  <c:v>42705</c:v>
                </c:pt>
                <c:pt idx="44">
                  <c:v>42704</c:v>
                </c:pt>
                <c:pt idx="45">
                  <c:v>42703</c:v>
                </c:pt>
                <c:pt idx="46">
                  <c:v>42702</c:v>
                </c:pt>
                <c:pt idx="47">
                  <c:v>42699</c:v>
                </c:pt>
                <c:pt idx="48">
                  <c:v>42697</c:v>
                </c:pt>
                <c:pt idx="49">
                  <c:v>42696</c:v>
                </c:pt>
                <c:pt idx="50">
                  <c:v>42695</c:v>
                </c:pt>
                <c:pt idx="51">
                  <c:v>42692</c:v>
                </c:pt>
                <c:pt idx="52">
                  <c:v>42691</c:v>
                </c:pt>
                <c:pt idx="53">
                  <c:v>42690</c:v>
                </c:pt>
                <c:pt idx="54">
                  <c:v>42689</c:v>
                </c:pt>
                <c:pt idx="55">
                  <c:v>42688</c:v>
                </c:pt>
                <c:pt idx="56">
                  <c:v>42685</c:v>
                </c:pt>
                <c:pt idx="57">
                  <c:v>42684</c:v>
                </c:pt>
                <c:pt idx="58">
                  <c:v>42683</c:v>
                </c:pt>
                <c:pt idx="59">
                  <c:v>42682</c:v>
                </c:pt>
                <c:pt idx="60">
                  <c:v>42681</c:v>
                </c:pt>
                <c:pt idx="61">
                  <c:v>42678</c:v>
                </c:pt>
                <c:pt idx="62">
                  <c:v>42677</c:v>
                </c:pt>
                <c:pt idx="63">
                  <c:v>42676</c:v>
                </c:pt>
                <c:pt idx="64">
                  <c:v>42675</c:v>
                </c:pt>
                <c:pt idx="65">
                  <c:v>42674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110.61</c:v>
                </c:pt>
                <c:pt idx="1">
                  <c:v>111.3</c:v>
                </c:pt>
                <c:pt idx="2">
                  <c:v>110.65</c:v>
                </c:pt>
                <c:pt idx="3">
                  <c:v>110.94</c:v>
                </c:pt>
                <c:pt idx="4">
                  <c:v>109.3</c:v>
                </c:pt>
                <c:pt idx="5">
                  <c:v>108.06</c:v>
                </c:pt>
                <c:pt idx="6">
                  <c:v>108.04</c:v>
                </c:pt>
                <c:pt idx="7">
                  <c:v>107.9</c:v>
                </c:pt>
                <c:pt idx="8">
                  <c:v>107.12</c:v>
                </c:pt>
                <c:pt idx="9">
                  <c:v>107.66</c:v>
                </c:pt>
                <c:pt idx="10">
                  <c:v>107.28</c:v>
                </c:pt>
                <c:pt idx="11">
                  <c:v>108.16</c:v>
                </c:pt>
                <c:pt idx="12">
                  <c:v>107.97</c:v>
                </c:pt>
                <c:pt idx="13">
                  <c:v>108.06</c:v>
                </c:pt>
                <c:pt idx="14">
                  <c:v>107.53</c:v>
                </c:pt>
                <c:pt idx="15">
                  <c:v>109.44</c:v>
                </c:pt>
                <c:pt idx="16">
                  <c:v>108.38</c:v>
                </c:pt>
                <c:pt idx="17">
                  <c:v>108.36</c:v>
                </c:pt>
                <c:pt idx="18">
                  <c:v>108.98</c:v>
                </c:pt>
                <c:pt idx="19">
                  <c:v>107.38</c:v>
                </c:pt>
                <c:pt idx="20">
                  <c:v>107.44</c:v>
                </c:pt>
                <c:pt idx="21">
                  <c:v>106.08</c:v>
                </c:pt>
                <c:pt idx="22">
                  <c:v>104.22</c:v>
                </c:pt>
                <c:pt idx="23">
                  <c:v>104.56</c:v>
                </c:pt>
                <c:pt idx="24">
                  <c:v>104.3</c:v>
                </c:pt>
                <c:pt idx="25">
                  <c:v>105.17</c:v>
                </c:pt>
                <c:pt idx="26">
                  <c:v>105.15</c:v>
                </c:pt>
                <c:pt idx="27">
                  <c:v>105.42</c:v>
                </c:pt>
                <c:pt idx="28">
                  <c:v>105.56</c:v>
                </c:pt>
                <c:pt idx="29">
                  <c:v>105.46</c:v>
                </c:pt>
                <c:pt idx="30">
                  <c:v>105.3</c:v>
                </c:pt>
                <c:pt idx="31">
                  <c:v>103.91</c:v>
                </c:pt>
                <c:pt idx="32">
                  <c:v>104.39</c:v>
                </c:pt>
                <c:pt idx="33">
                  <c:v>104.05</c:v>
                </c:pt>
                <c:pt idx="34">
                  <c:v>103.85</c:v>
                </c:pt>
                <c:pt idx="35">
                  <c:v>104.06</c:v>
                </c:pt>
                <c:pt idx="36">
                  <c:v>104.86</c:v>
                </c:pt>
                <c:pt idx="37">
                  <c:v>103.38</c:v>
                </c:pt>
                <c:pt idx="39">
                  <c:v>101.99</c:v>
                </c:pt>
                <c:pt idx="40">
                  <c:v>100.66</c:v>
                </c:pt>
                <c:pt idx="41">
                  <c:v>99.96</c:v>
                </c:pt>
                <c:pt idx="42">
                  <c:v>98.5</c:v>
                </c:pt>
                <c:pt idx="43">
                  <c:v>98.94</c:v>
                </c:pt>
                <c:pt idx="44">
                  <c:v>99.12</c:v>
                </c:pt>
                <c:pt idx="45">
                  <c:v>99.67</c:v>
                </c:pt>
                <c:pt idx="46">
                  <c:v>98.97</c:v>
                </c:pt>
                <c:pt idx="47">
                  <c:v>98.82</c:v>
                </c:pt>
                <c:pt idx="48">
                  <c:v>98.26</c:v>
                </c:pt>
                <c:pt idx="49">
                  <c:v>97.71</c:v>
                </c:pt>
                <c:pt idx="50">
                  <c:v>97.63</c:v>
                </c:pt>
                <c:pt idx="51">
                  <c:v>98.24</c:v>
                </c:pt>
                <c:pt idx="52">
                  <c:v>99.37</c:v>
                </c:pt>
                <c:pt idx="53">
                  <c:v>99.12</c:v>
                </c:pt>
                <c:pt idx="54">
                  <c:v>97.7</c:v>
                </c:pt>
                <c:pt idx="55">
                  <c:v>97.92</c:v>
                </c:pt>
                <c:pt idx="56">
                  <c:v>97.68</c:v>
                </c:pt>
                <c:pt idx="57">
                  <c:v>94.96</c:v>
                </c:pt>
                <c:pt idx="58">
                  <c:v>94.64</c:v>
                </c:pt>
                <c:pt idx="59">
                  <c:v>94.38</c:v>
                </c:pt>
                <c:pt idx="60">
                  <c:v>94.43</c:v>
                </c:pt>
                <c:pt idx="61">
                  <c:v>92.45</c:v>
                </c:pt>
                <c:pt idx="62">
                  <c:v>93.37</c:v>
                </c:pt>
                <c:pt idx="63">
                  <c:v>91.91</c:v>
                </c:pt>
                <c:pt idx="64">
                  <c:v>92.39</c:v>
                </c:pt>
                <c:pt idx="65">
                  <c:v>92.69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9959768"/>
        <c:axId val="709624600"/>
      </c:lineChart>
      <c:dateAx>
        <c:axId val="70995976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9624600"/>
        <c:crosses val="autoZero"/>
        <c:auto val="1"/>
        <c:lblOffset val="100"/>
        <c:baseTimeUnit val="days"/>
      </c:dateAx>
      <c:valAx>
        <c:axId val="709624600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99597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FTR!$AA$1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FTR!$W$2:$W$68</c:f>
              <c:numCache>
                <c:formatCode>d\-mmm\-yy</c:formatCode>
                <c:ptCount val="67"/>
                <c:pt idx="0">
                  <c:v>42768</c:v>
                </c:pt>
                <c:pt idx="1">
                  <c:v>42767</c:v>
                </c:pt>
                <c:pt idx="2">
                  <c:v>42766</c:v>
                </c:pt>
                <c:pt idx="3">
                  <c:v>42765</c:v>
                </c:pt>
                <c:pt idx="4">
                  <c:v>42762</c:v>
                </c:pt>
                <c:pt idx="5">
                  <c:v>42761</c:v>
                </c:pt>
                <c:pt idx="6">
                  <c:v>42760</c:v>
                </c:pt>
                <c:pt idx="7">
                  <c:v>42759</c:v>
                </c:pt>
                <c:pt idx="8">
                  <c:v>42758</c:v>
                </c:pt>
                <c:pt idx="9">
                  <c:v>42755</c:v>
                </c:pt>
                <c:pt idx="10">
                  <c:v>42754</c:v>
                </c:pt>
                <c:pt idx="11">
                  <c:v>42753</c:v>
                </c:pt>
                <c:pt idx="12">
                  <c:v>42752</c:v>
                </c:pt>
                <c:pt idx="13">
                  <c:v>42748</c:v>
                </c:pt>
                <c:pt idx="14">
                  <c:v>42747</c:v>
                </c:pt>
                <c:pt idx="15">
                  <c:v>42746</c:v>
                </c:pt>
                <c:pt idx="16">
                  <c:v>42745</c:v>
                </c:pt>
                <c:pt idx="17">
                  <c:v>42744</c:v>
                </c:pt>
                <c:pt idx="18">
                  <c:v>42741</c:v>
                </c:pt>
                <c:pt idx="19">
                  <c:v>42740</c:v>
                </c:pt>
                <c:pt idx="20">
                  <c:v>42739</c:v>
                </c:pt>
                <c:pt idx="21">
                  <c:v>42738</c:v>
                </c:pt>
                <c:pt idx="22">
                  <c:v>42734</c:v>
                </c:pt>
                <c:pt idx="23">
                  <c:v>42733</c:v>
                </c:pt>
                <c:pt idx="24">
                  <c:v>42732</c:v>
                </c:pt>
                <c:pt idx="25">
                  <c:v>42731</c:v>
                </c:pt>
                <c:pt idx="26">
                  <c:v>42727</c:v>
                </c:pt>
                <c:pt idx="27">
                  <c:v>42726</c:v>
                </c:pt>
                <c:pt idx="28">
                  <c:v>42725</c:v>
                </c:pt>
                <c:pt idx="29">
                  <c:v>42724</c:v>
                </c:pt>
                <c:pt idx="30">
                  <c:v>42723</c:v>
                </c:pt>
                <c:pt idx="31">
                  <c:v>42720</c:v>
                </c:pt>
                <c:pt idx="32">
                  <c:v>42719</c:v>
                </c:pt>
                <c:pt idx="33">
                  <c:v>42718</c:v>
                </c:pt>
                <c:pt idx="34">
                  <c:v>42717</c:v>
                </c:pt>
                <c:pt idx="35">
                  <c:v>42717</c:v>
                </c:pt>
                <c:pt idx="36">
                  <c:v>42716</c:v>
                </c:pt>
                <c:pt idx="37">
                  <c:v>42713</c:v>
                </c:pt>
                <c:pt idx="38">
                  <c:v>42712</c:v>
                </c:pt>
                <c:pt idx="39">
                  <c:v>42711</c:v>
                </c:pt>
                <c:pt idx="40">
                  <c:v>42710</c:v>
                </c:pt>
                <c:pt idx="41">
                  <c:v>42709</c:v>
                </c:pt>
                <c:pt idx="42">
                  <c:v>42706</c:v>
                </c:pt>
                <c:pt idx="43">
                  <c:v>42705</c:v>
                </c:pt>
                <c:pt idx="44">
                  <c:v>42704</c:v>
                </c:pt>
                <c:pt idx="45">
                  <c:v>42703</c:v>
                </c:pt>
                <c:pt idx="46">
                  <c:v>42702</c:v>
                </c:pt>
                <c:pt idx="47">
                  <c:v>42699</c:v>
                </c:pt>
                <c:pt idx="48">
                  <c:v>42697</c:v>
                </c:pt>
                <c:pt idx="49">
                  <c:v>42696</c:v>
                </c:pt>
                <c:pt idx="50">
                  <c:v>42695</c:v>
                </c:pt>
                <c:pt idx="51">
                  <c:v>42692</c:v>
                </c:pt>
                <c:pt idx="52">
                  <c:v>42691</c:v>
                </c:pt>
                <c:pt idx="53">
                  <c:v>42690</c:v>
                </c:pt>
                <c:pt idx="54">
                  <c:v>42689</c:v>
                </c:pt>
                <c:pt idx="55">
                  <c:v>42688</c:v>
                </c:pt>
                <c:pt idx="56">
                  <c:v>42685</c:v>
                </c:pt>
                <c:pt idx="57">
                  <c:v>42684</c:v>
                </c:pt>
                <c:pt idx="58">
                  <c:v>42683</c:v>
                </c:pt>
                <c:pt idx="59">
                  <c:v>42682</c:v>
                </c:pt>
                <c:pt idx="60">
                  <c:v>42681</c:v>
                </c:pt>
                <c:pt idx="61">
                  <c:v>42678</c:v>
                </c:pt>
                <c:pt idx="62">
                  <c:v>42677</c:v>
                </c:pt>
                <c:pt idx="63">
                  <c:v>42676</c:v>
                </c:pt>
                <c:pt idx="64">
                  <c:v>42675</c:v>
                </c:pt>
                <c:pt idx="65">
                  <c:v>42674</c:v>
                </c:pt>
                <c:pt idx="66">
                  <c:v>42671</c:v>
                </c:pt>
              </c:numCache>
            </c:numRef>
          </c:cat>
          <c:val>
            <c:numRef>
              <c:f>FTR!$AA$2:$AA$68</c:f>
              <c:numCache>
                <c:formatCode>General</c:formatCode>
                <c:ptCount val="67"/>
                <c:pt idx="0">
                  <c:v>3.37</c:v>
                </c:pt>
                <c:pt idx="1">
                  <c:v>3.41</c:v>
                </c:pt>
                <c:pt idx="2">
                  <c:v>3.49</c:v>
                </c:pt>
                <c:pt idx="3">
                  <c:v>3.49</c:v>
                </c:pt>
                <c:pt idx="4">
                  <c:v>3.54</c:v>
                </c:pt>
                <c:pt idx="5">
                  <c:v>3.5</c:v>
                </c:pt>
                <c:pt idx="6">
                  <c:v>3.44</c:v>
                </c:pt>
                <c:pt idx="7">
                  <c:v>3.47</c:v>
                </c:pt>
                <c:pt idx="8">
                  <c:v>3.54</c:v>
                </c:pt>
                <c:pt idx="9">
                  <c:v>3.49</c:v>
                </c:pt>
                <c:pt idx="10">
                  <c:v>3.48</c:v>
                </c:pt>
                <c:pt idx="11">
                  <c:v>3.54</c:v>
                </c:pt>
                <c:pt idx="12">
                  <c:v>3.55</c:v>
                </c:pt>
                <c:pt idx="13">
                  <c:v>3.54</c:v>
                </c:pt>
                <c:pt idx="14">
                  <c:v>3.53</c:v>
                </c:pt>
                <c:pt idx="15">
                  <c:v>3.61</c:v>
                </c:pt>
                <c:pt idx="16">
                  <c:v>3.63</c:v>
                </c:pt>
                <c:pt idx="17">
                  <c:v>3.68</c:v>
                </c:pt>
                <c:pt idx="18">
                  <c:v>3.75</c:v>
                </c:pt>
                <c:pt idx="19">
                  <c:v>3.73</c:v>
                </c:pt>
                <c:pt idx="20">
                  <c:v>3.67</c:v>
                </c:pt>
                <c:pt idx="21">
                  <c:v>3.58</c:v>
                </c:pt>
                <c:pt idx="22">
                  <c:v>3.38</c:v>
                </c:pt>
                <c:pt idx="23">
                  <c:v>3.36</c:v>
                </c:pt>
                <c:pt idx="24">
                  <c:v>3.35</c:v>
                </c:pt>
                <c:pt idx="25">
                  <c:v>3.42</c:v>
                </c:pt>
                <c:pt idx="26">
                  <c:v>3.42</c:v>
                </c:pt>
                <c:pt idx="27">
                  <c:v>3.34</c:v>
                </c:pt>
                <c:pt idx="28">
                  <c:v>3.29</c:v>
                </c:pt>
                <c:pt idx="29">
                  <c:v>3.45</c:v>
                </c:pt>
                <c:pt idx="30">
                  <c:v>3.57</c:v>
                </c:pt>
                <c:pt idx="31">
                  <c:v>3.56</c:v>
                </c:pt>
                <c:pt idx="32">
                  <c:v>3.49</c:v>
                </c:pt>
                <c:pt idx="33">
                  <c:v>3.44</c:v>
                </c:pt>
                <c:pt idx="34">
                  <c:v>3.45</c:v>
                </c:pt>
                <c:pt idx="36">
                  <c:v>3.49</c:v>
                </c:pt>
                <c:pt idx="37">
                  <c:v>3.67</c:v>
                </c:pt>
                <c:pt idx="38">
                  <c:v>3.7</c:v>
                </c:pt>
                <c:pt idx="39">
                  <c:v>3.6</c:v>
                </c:pt>
                <c:pt idx="40">
                  <c:v>3.53</c:v>
                </c:pt>
                <c:pt idx="41">
                  <c:v>3.42</c:v>
                </c:pt>
                <c:pt idx="42">
                  <c:v>3.48</c:v>
                </c:pt>
                <c:pt idx="43">
                  <c:v>3.51</c:v>
                </c:pt>
                <c:pt idx="44">
                  <c:v>3.65</c:v>
                </c:pt>
                <c:pt idx="45">
                  <c:v>3.67</c:v>
                </c:pt>
                <c:pt idx="46">
                  <c:v>3.74</c:v>
                </c:pt>
                <c:pt idx="47">
                  <c:v>3.69</c:v>
                </c:pt>
                <c:pt idx="48">
                  <c:v>3.62</c:v>
                </c:pt>
                <c:pt idx="49">
                  <c:v>3.59</c:v>
                </c:pt>
                <c:pt idx="50">
                  <c:v>3.51</c:v>
                </c:pt>
                <c:pt idx="51">
                  <c:v>3.42</c:v>
                </c:pt>
                <c:pt idx="52">
                  <c:v>3.36</c:v>
                </c:pt>
                <c:pt idx="53">
                  <c:v>3.43</c:v>
                </c:pt>
                <c:pt idx="54">
                  <c:v>3.3</c:v>
                </c:pt>
                <c:pt idx="55">
                  <c:v>3.24</c:v>
                </c:pt>
                <c:pt idx="56">
                  <c:v>3.18</c:v>
                </c:pt>
                <c:pt idx="57">
                  <c:v>3.16</c:v>
                </c:pt>
                <c:pt idx="58">
                  <c:v>3.21</c:v>
                </c:pt>
                <c:pt idx="59">
                  <c:v>3.24</c:v>
                </c:pt>
                <c:pt idx="60">
                  <c:v>3.21</c:v>
                </c:pt>
                <c:pt idx="61">
                  <c:v>3.12</c:v>
                </c:pt>
                <c:pt idx="62">
                  <c:v>3.13</c:v>
                </c:pt>
                <c:pt idx="63">
                  <c:v>3.39</c:v>
                </c:pt>
                <c:pt idx="64">
                  <c:v>3.93</c:v>
                </c:pt>
                <c:pt idx="65">
                  <c:v>4.0199999999999996</c:v>
                </c:pt>
                <c:pt idx="66">
                  <c:v>4.03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9626560"/>
        <c:axId val="709626952"/>
      </c:lineChart>
      <c:dateAx>
        <c:axId val="70962656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9626952"/>
        <c:crosses val="autoZero"/>
        <c:auto val="1"/>
        <c:lblOffset val="100"/>
        <c:baseTimeUnit val="days"/>
      </c:dateAx>
      <c:valAx>
        <c:axId val="709626952"/>
        <c:scaling>
          <c:orientation val="minMax"/>
          <c:min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96265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GILD!$AA$1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GILD!$W$2:$W$69</c:f>
              <c:strCache>
                <c:ptCount val="68"/>
                <c:pt idx="0">
                  <c:v>2-Feb-17</c:v>
                </c:pt>
                <c:pt idx="1">
                  <c:v>1-Feb-17</c:v>
                </c:pt>
                <c:pt idx="2">
                  <c:v>31-Jan-17</c:v>
                </c:pt>
                <c:pt idx="3">
                  <c:v>30-Jan-17</c:v>
                </c:pt>
                <c:pt idx="4">
                  <c:v>27-Jan-17</c:v>
                </c:pt>
                <c:pt idx="5">
                  <c:v>26-Jan-17</c:v>
                </c:pt>
                <c:pt idx="6">
                  <c:v>25-Jan-17</c:v>
                </c:pt>
                <c:pt idx="7">
                  <c:v>24-Jan-17</c:v>
                </c:pt>
                <c:pt idx="8">
                  <c:v>23-Jan-17</c:v>
                </c:pt>
                <c:pt idx="9">
                  <c:v>20-Jan-17</c:v>
                </c:pt>
                <c:pt idx="10">
                  <c:v>19-Jan-17</c:v>
                </c:pt>
                <c:pt idx="11">
                  <c:v>18-Jan-17</c:v>
                </c:pt>
                <c:pt idx="12">
                  <c:v>17-Jan-17</c:v>
                </c:pt>
                <c:pt idx="13">
                  <c:v>13-Jan-17</c:v>
                </c:pt>
                <c:pt idx="14">
                  <c:v>12-Jan-17</c:v>
                </c:pt>
                <c:pt idx="15">
                  <c:v>11-Jan-17</c:v>
                </c:pt>
                <c:pt idx="16">
                  <c:v>10-Jan-17</c:v>
                </c:pt>
                <c:pt idx="17">
                  <c:v>9-Jan-17</c:v>
                </c:pt>
                <c:pt idx="18">
                  <c:v>6-Jan-17</c:v>
                </c:pt>
                <c:pt idx="19">
                  <c:v>5-Jan-17</c:v>
                </c:pt>
                <c:pt idx="20">
                  <c:v>4-Jan-17</c:v>
                </c:pt>
                <c:pt idx="21">
                  <c:v>3-Jan-17</c:v>
                </c:pt>
                <c:pt idx="22">
                  <c:v>30-Dec-16</c:v>
                </c:pt>
                <c:pt idx="23">
                  <c:v>29-Dec-16</c:v>
                </c:pt>
                <c:pt idx="24">
                  <c:v>28-Dec-16</c:v>
                </c:pt>
                <c:pt idx="25">
                  <c:v>27-Dec-16</c:v>
                </c:pt>
                <c:pt idx="26">
                  <c:v>23-Dec-16</c:v>
                </c:pt>
                <c:pt idx="27">
                  <c:v>22-Dec-16</c:v>
                </c:pt>
                <c:pt idx="28">
                  <c:v>21-Dec-16</c:v>
                </c:pt>
                <c:pt idx="29">
                  <c:v>20-Dec-16</c:v>
                </c:pt>
                <c:pt idx="30">
                  <c:v>19-Dec-16</c:v>
                </c:pt>
                <c:pt idx="31">
                  <c:v>16-Dec-16</c:v>
                </c:pt>
                <c:pt idx="32">
                  <c:v>15-Dec-16</c:v>
                </c:pt>
                <c:pt idx="33">
                  <c:v>14-Dec-16</c:v>
                </c:pt>
                <c:pt idx="34">
                  <c:v>13-Dec-16</c:v>
                </c:pt>
                <c:pt idx="35">
                  <c:v>13-Dec-16</c:v>
                </c:pt>
                <c:pt idx="36">
                  <c:v>12-Dec-16</c:v>
                </c:pt>
                <c:pt idx="37">
                  <c:v>9-Dec-16</c:v>
                </c:pt>
                <c:pt idx="38">
                  <c:v>8-Dec-16</c:v>
                </c:pt>
                <c:pt idx="39">
                  <c:v>7-Dec-16</c:v>
                </c:pt>
                <c:pt idx="40">
                  <c:v>6-Dec-16</c:v>
                </c:pt>
                <c:pt idx="41">
                  <c:v>5-Dec-16</c:v>
                </c:pt>
                <c:pt idx="42">
                  <c:v>2-Dec-16</c:v>
                </c:pt>
                <c:pt idx="43">
                  <c:v>1-Dec-16</c:v>
                </c:pt>
                <c:pt idx="44">
                  <c:v>30-Nov-16</c:v>
                </c:pt>
                <c:pt idx="45">
                  <c:v>29-Nov-16</c:v>
                </c:pt>
                <c:pt idx="46">
                  <c:v>28-Nov-16</c:v>
                </c:pt>
                <c:pt idx="47">
                  <c:v>25-Nov-16</c:v>
                </c:pt>
                <c:pt idx="48">
                  <c:v>23-Nov-16</c:v>
                </c:pt>
                <c:pt idx="49">
                  <c:v>22-Nov-16</c:v>
                </c:pt>
                <c:pt idx="50">
                  <c:v>21-Nov-16</c:v>
                </c:pt>
                <c:pt idx="51">
                  <c:v>18-Nov-16</c:v>
                </c:pt>
                <c:pt idx="52">
                  <c:v>17-Nov-16</c:v>
                </c:pt>
                <c:pt idx="53">
                  <c:v>16-Nov-16</c:v>
                </c:pt>
                <c:pt idx="54">
                  <c:v>15-Nov-16</c:v>
                </c:pt>
                <c:pt idx="55">
                  <c:v>14-Nov-16</c:v>
                </c:pt>
                <c:pt idx="56">
                  <c:v>11-Nov-16</c:v>
                </c:pt>
                <c:pt idx="57">
                  <c:v>10-Nov-16</c:v>
                </c:pt>
                <c:pt idx="58">
                  <c:v>9-Nov-16</c:v>
                </c:pt>
                <c:pt idx="59">
                  <c:v>8-Nov-16</c:v>
                </c:pt>
                <c:pt idx="60">
                  <c:v>7-Nov-16</c:v>
                </c:pt>
                <c:pt idx="61">
                  <c:v>4-Nov-16</c:v>
                </c:pt>
                <c:pt idx="62">
                  <c:v>3-Nov-16</c:v>
                </c:pt>
                <c:pt idx="63">
                  <c:v>2-Nov-16</c:v>
                </c:pt>
                <c:pt idx="64">
                  <c:v>1-Nov-16</c:v>
                </c:pt>
                <c:pt idx="65">
                  <c:v>31-Oct-16</c:v>
                </c:pt>
                <c:pt idx="66">
                  <c:v>28-Oct-16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GILD!$AA$2:$AA$69</c:f>
              <c:numCache>
                <c:formatCode>General</c:formatCode>
                <c:ptCount val="68"/>
                <c:pt idx="0">
                  <c:v>72.25</c:v>
                </c:pt>
                <c:pt idx="1">
                  <c:v>72.819999999999993</c:v>
                </c:pt>
                <c:pt idx="2">
                  <c:v>72.45</c:v>
                </c:pt>
                <c:pt idx="3">
                  <c:v>71.510000000000005</c:v>
                </c:pt>
                <c:pt idx="4">
                  <c:v>71.260000000000005</c:v>
                </c:pt>
                <c:pt idx="5">
                  <c:v>71.22</c:v>
                </c:pt>
                <c:pt idx="6">
                  <c:v>71.91</c:v>
                </c:pt>
                <c:pt idx="7">
                  <c:v>70.25</c:v>
                </c:pt>
                <c:pt idx="8">
                  <c:v>70.69</c:v>
                </c:pt>
                <c:pt idx="9">
                  <c:v>71.010000000000005</c:v>
                </c:pt>
                <c:pt idx="10">
                  <c:v>71.569999999999993</c:v>
                </c:pt>
                <c:pt idx="11">
                  <c:v>72.13</c:v>
                </c:pt>
                <c:pt idx="12">
                  <c:v>71.91</c:v>
                </c:pt>
                <c:pt idx="13">
                  <c:v>73.069999999999993</c:v>
                </c:pt>
                <c:pt idx="14">
                  <c:v>73.36</c:v>
                </c:pt>
                <c:pt idx="15">
                  <c:v>73.77</c:v>
                </c:pt>
                <c:pt idx="16">
                  <c:v>75.010000000000005</c:v>
                </c:pt>
                <c:pt idx="17">
                  <c:v>75.84</c:v>
                </c:pt>
                <c:pt idx="18">
                  <c:v>75.489999999999995</c:v>
                </c:pt>
                <c:pt idx="19">
                  <c:v>76.010000000000005</c:v>
                </c:pt>
                <c:pt idx="20">
                  <c:v>76.38</c:v>
                </c:pt>
                <c:pt idx="21">
                  <c:v>74.16</c:v>
                </c:pt>
                <c:pt idx="22">
                  <c:v>71.61</c:v>
                </c:pt>
                <c:pt idx="23">
                  <c:v>72.13</c:v>
                </c:pt>
                <c:pt idx="24">
                  <c:v>72.77</c:v>
                </c:pt>
                <c:pt idx="25">
                  <c:v>73.73</c:v>
                </c:pt>
                <c:pt idx="26">
                  <c:v>73.64</c:v>
                </c:pt>
                <c:pt idx="27">
                  <c:v>73.3</c:v>
                </c:pt>
                <c:pt idx="28">
                  <c:v>73.959999999999994</c:v>
                </c:pt>
                <c:pt idx="29">
                  <c:v>74.05</c:v>
                </c:pt>
                <c:pt idx="30">
                  <c:v>74.400000000000006</c:v>
                </c:pt>
                <c:pt idx="31">
                  <c:v>74.099999999999994</c:v>
                </c:pt>
                <c:pt idx="32">
                  <c:v>75.55</c:v>
                </c:pt>
                <c:pt idx="33">
                  <c:v>75.709999999999994</c:v>
                </c:pt>
                <c:pt idx="34">
                  <c:v>74.84</c:v>
                </c:pt>
                <c:pt idx="36">
                  <c:v>73.47</c:v>
                </c:pt>
                <c:pt idx="37">
                  <c:v>72.7</c:v>
                </c:pt>
                <c:pt idx="38">
                  <c:v>72.02</c:v>
                </c:pt>
                <c:pt idx="39">
                  <c:v>72.78</c:v>
                </c:pt>
                <c:pt idx="40">
                  <c:v>72.47</c:v>
                </c:pt>
                <c:pt idx="41">
                  <c:v>72.36</c:v>
                </c:pt>
                <c:pt idx="42">
                  <c:v>72.42</c:v>
                </c:pt>
                <c:pt idx="43">
                  <c:v>72.84</c:v>
                </c:pt>
                <c:pt idx="44">
                  <c:v>73.7</c:v>
                </c:pt>
                <c:pt idx="45">
                  <c:v>74.87</c:v>
                </c:pt>
                <c:pt idx="46">
                  <c:v>74.540000000000006</c:v>
                </c:pt>
                <c:pt idx="47">
                  <c:v>75.44</c:v>
                </c:pt>
                <c:pt idx="48">
                  <c:v>75.3</c:v>
                </c:pt>
                <c:pt idx="49">
                  <c:v>74.459999999999994</c:v>
                </c:pt>
                <c:pt idx="50">
                  <c:v>74.98</c:v>
                </c:pt>
                <c:pt idx="51">
                  <c:v>74.62</c:v>
                </c:pt>
                <c:pt idx="52">
                  <c:v>75.58</c:v>
                </c:pt>
                <c:pt idx="53">
                  <c:v>76</c:v>
                </c:pt>
                <c:pt idx="54">
                  <c:v>76.349999999999994</c:v>
                </c:pt>
                <c:pt idx="55">
                  <c:v>76.75</c:v>
                </c:pt>
                <c:pt idx="56">
                  <c:v>76.42</c:v>
                </c:pt>
                <c:pt idx="57">
                  <c:v>77.84</c:v>
                </c:pt>
                <c:pt idx="58">
                  <c:v>78.47</c:v>
                </c:pt>
                <c:pt idx="59">
                  <c:v>74.040000000000006</c:v>
                </c:pt>
                <c:pt idx="60">
                  <c:v>74</c:v>
                </c:pt>
                <c:pt idx="61">
                  <c:v>72.430000000000007</c:v>
                </c:pt>
                <c:pt idx="62">
                  <c:v>71.760000000000005</c:v>
                </c:pt>
                <c:pt idx="63">
                  <c:v>72.510000000000005</c:v>
                </c:pt>
                <c:pt idx="64">
                  <c:v>74.069999999999993</c:v>
                </c:pt>
                <c:pt idx="65">
                  <c:v>73.63</c:v>
                </c:pt>
                <c:pt idx="66">
                  <c:v>73.88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9628912"/>
        <c:axId val="709629304"/>
      </c:lineChart>
      <c:catAx>
        <c:axId val="70962891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9629304"/>
        <c:crosses val="autoZero"/>
        <c:auto val="1"/>
        <c:lblAlgn val="ctr"/>
        <c:lblOffset val="100"/>
        <c:noMultiLvlLbl val="0"/>
      </c:catAx>
      <c:valAx>
        <c:axId val="709629304"/>
        <c:scaling>
          <c:orientation val="minMax"/>
          <c:min val="7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96289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42768</c:v>
                </c:pt>
                <c:pt idx="1">
                  <c:v>42767</c:v>
                </c:pt>
                <c:pt idx="2">
                  <c:v>42766</c:v>
                </c:pt>
                <c:pt idx="3">
                  <c:v>42765</c:v>
                </c:pt>
                <c:pt idx="4">
                  <c:v>42762</c:v>
                </c:pt>
                <c:pt idx="5">
                  <c:v>42761</c:v>
                </c:pt>
                <c:pt idx="6">
                  <c:v>42760</c:v>
                </c:pt>
                <c:pt idx="7">
                  <c:v>42759</c:v>
                </c:pt>
                <c:pt idx="8">
                  <c:v>42758</c:v>
                </c:pt>
                <c:pt idx="9">
                  <c:v>42755</c:v>
                </c:pt>
                <c:pt idx="10">
                  <c:v>42754</c:v>
                </c:pt>
                <c:pt idx="11">
                  <c:v>42753</c:v>
                </c:pt>
                <c:pt idx="12">
                  <c:v>42752</c:v>
                </c:pt>
                <c:pt idx="13">
                  <c:v>42748</c:v>
                </c:pt>
                <c:pt idx="14">
                  <c:v>42747</c:v>
                </c:pt>
                <c:pt idx="15">
                  <c:v>42746</c:v>
                </c:pt>
                <c:pt idx="16">
                  <c:v>42745</c:v>
                </c:pt>
                <c:pt idx="17">
                  <c:v>42744</c:v>
                </c:pt>
                <c:pt idx="18">
                  <c:v>42741</c:v>
                </c:pt>
                <c:pt idx="19">
                  <c:v>42740</c:v>
                </c:pt>
                <c:pt idx="20">
                  <c:v>42739</c:v>
                </c:pt>
                <c:pt idx="21">
                  <c:v>42738</c:v>
                </c:pt>
                <c:pt idx="22">
                  <c:v>42734</c:v>
                </c:pt>
                <c:pt idx="23">
                  <c:v>42733</c:v>
                </c:pt>
                <c:pt idx="24">
                  <c:v>42732</c:v>
                </c:pt>
                <c:pt idx="25">
                  <c:v>42731</c:v>
                </c:pt>
                <c:pt idx="26">
                  <c:v>42727</c:v>
                </c:pt>
                <c:pt idx="27">
                  <c:v>42726</c:v>
                </c:pt>
                <c:pt idx="28">
                  <c:v>42725</c:v>
                </c:pt>
                <c:pt idx="29">
                  <c:v>42724</c:v>
                </c:pt>
                <c:pt idx="30">
                  <c:v>42723</c:v>
                </c:pt>
                <c:pt idx="31">
                  <c:v>42720</c:v>
                </c:pt>
                <c:pt idx="32">
                  <c:v>42719</c:v>
                </c:pt>
                <c:pt idx="33">
                  <c:v>42718</c:v>
                </c:pt>
                <c:pt idx="34">
                  <c:v>42717</c:v>
                </c:pt>
                <c:pt idx="35">
                  <c:v>42716</c:v>
                </c:pt>
                <c:pt idx="36">
                  <c:v>42713</c:v>
                </c:pt>
                <c:pt idx="37">
                  <c:v>42712</c:v>
                </c:pt>
                <c:pt idx="38">
                  <c:v>42711</c:v>
                </c:pt>
                <c:pt idx="39">
                  <c:v>42710</c:v>
                </c:pt>
                <c:pt idx="40">
                  <c:v>42709</c:v>
                </c:pt>
                <c:pt idx="41">
                  <c:v>42706</c:v>
                </c:pt>
                <c:pt idx="42">
                  <c:v>42705</c:v>
                </c:pt>
                <c:pt idx="43">
                  <c:v>42704</c:v>
                </c:pt>
                <c:pt idx="44">
                  <c:v>42703</c:v>
                </c:pt>
                <c:pt idx="45">
                  <c:v>42702</c:v>
                </c:pt>
                <c:pt idx="46">
                  <c:v>42699</c:v>
                </c:pt>
                <c:pt idx="47">
                  <c:v>42697</c:v>
                </c:pt>
                <c:pt idx="48">
                  <c:v>42696</c:v>
                </c:pt>
                <c:pt idx="49">
                  <c:v>42695</c:v>
                </c:pt>
                <c:pt idx="50">
                  <c:v>42692</c:v>
                </c:pt>
                <c:pt idx="51">
                  <c:v>42691</c:v>
                </c:pt>
                <c:pt idx="52">
                  <c:v>42690</c:v>
                </c:pt>
                <c:pt idx="53">
                  <c:v>42689</c:v>
                </c:pt>
                <c:pt idx="54">
                  <c:v>42688</c:v>
                </c:pt>
                <c:pt idx="55">
                  <c:v>42685</c:v>
                </c:pt>
                <c:pt idx="56">
                  <c:v>42684</c:v>
                </c:pt>
                <c:pt idx="57">
                  <c:v>42683</c:v>
                </c:pt>
                <c:pt idx="58">
                  <c:v>42683</c:v>
                </c:pt>
                <c:pt idx="59">
                  <c:v>42682</c:v>
                </c:pt>
                <c:pt idx="60">
                  <c:v>42681</c:v>
                </c:pt>
                <c:pt idx="61">
                  <c:v>42678</c:v>
                </c:pt>
                <c:pt idx="62">
                  <c:v>42677</c:v>
                </c:pt>
                <c:pt idx="63">
                  <c:v>42676</c:v>
                </c:pt>
                <c:pt idx="64">
                  <c:v>42675</c:v>
                </c:pt>
                <c:pt idx="65">
                  <c:v>42674</c:v>
                </c:pt>
                <c:pt idx="66">
                  <c:v>42671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69.510000000000005</c:v>
                </c:pt>
                <c:pt idx="1">
                  <c:v>69.64</c:v>
                </c:pt>
                <c:pt idx="2">
                  <c:v>70.03</c:v>
                </c:pt>
                <c:pt idx="3">
                  <c:v>70</c:v>
                </c:pt>
                <c:pt idx="4">
                  <c:v>70.23</c:v>
                </c:pt>
                <c:pt idx="5">
                  <c:v>69.44</c:v>
                </c:pt>
                <c:pt idx="6">
                  <c:v>69.39</c:v>
                </c:pt>
                <c:pt idx="7">
                  <c:v>65.8</c:v>
                </c:pt>
                <c:pt idx="8">
                  <c:v>67.599999999999994</c:v>
                </c:pt>
                <c:pt idx="9">
                  <c:v>67.459999999999994</c:v>
                </c:pt>
                <c:pt idx="10">
                  <c:v>68.44</c:v>
                </c:pt>
                <c:pt idx="11">
                  <c:v>67.92</c:v>
                </c:pt>
                <c:pt idx="12">
                  <c:v>69.58</c:v>
                </c:pt>
                <c:pt idx="13">
                  <c:v>68.72</c:v>
                </c:pt>
                <c:pt idx="14">
                  <c:v>69.66</c:v>
                </c:pt>
                <c:pt idx="15">
                  <c:v>69.16</c:v>
                </c:pt>
                <c:pt idx="16">
                  <c:v>68.17</c:v>
                </c:pt>
                <c:pt idx="17">
                  <c:v>69.19</c:v>
                </c:pt>
                <c:pt idx="18">
                  <c:v>69.2</c:v>
                </c:pt>
                <c:pt idx="19">
                  <c:v>70.19</c:v>
                </c:pt>
                <c:pt idx="20">
                  <c:v>69.47</c:v>
                </c:pt>
                <c:pt idx="21">
                  <c:v>69.05</c:v>
                </c:pt>
                <c:pt idx="22">
                  <c:v>69.23</c:v>
                </c:pt>
                <c:pt idx="23">
                  <c:v>69.180000000000007</c:v>
                </c:pt>
                <c:pt idx="24">
                  <c:v>70.25</c:v>
                </c:pt>
                <c:pt idx="25">
                  <c:v>70.39</c:v>
                </c:pt>
                <c:pt idx="26">
                  <c:v>70.16</c:v>
                </c:pt>
                <c:pt idx="27">
                  <c:v>70.08</c:v>
                </c:pt>
                <c:pt idx="28">
                  <c:v>70.459999999999994</c:v>
                </c:pt>
                <c:pt idx="29">
                  <c:v>70</c:v>
                </c:pt>
                <c:pt idx="30">
                  <c:v>69.47</c:v>
                </c:pt>
                <c:pt idx="31">
                  <c:v>70.14</c:v>
                </c:pt>
                <c:pt idx="32">
                  <c:v>69.22</c:v>
                </c:pt>
                <c:pt idx="33">
                  <c:v>70.64</c:v>
                </c:pt>
                <c:pt idx="34">
                  <c:v>70.290000000000006</c:v>
                </c:pt>
                <c:pt idx="35">
                  <c:v>70.069999999999993</c:v>
                </c:pt>
                <c:pt idx="36">
                  <c:v>70.84</c:v>
                </c:pt>
                <c:pt idx="37">
                  <c:v>71.099999999999994</c:v>
                </c:pt>
                <c:pt idx="38">
                  <c:v>69.84</c:v>
                </c:pt>
                <c:pt idx="39">
                  <c:v>68.97</c:v>
                </c:pt>
                <c:pt idx="40">
                  <c:v>68.94</c:v>
                </c:pt>
                <c:pt idx="41">
                  <c:v>68.39</c:v>
                </c:pt>
                <c:pt idx="42">
                  <c:v>67.73</c:v>
                </c:pt>
                <c:pt idx="43">
                  <c:v>67.38</c:v>
                </c:pt>
                <c:pt idx="44">
                  <c:v>67.290000000000006</c:v>
                </c:pt>
                <c:pt idx="45">
                  <c:v>67.98</c:v>
                </c:pt>
                <c:pt idx="46">
                  <c:v>67.959999999999994</c:v>
                </c:pt>
                <c:pt idx="47">
                  <c:v>67.81</c:v>
                </c:pt>
                <c:pt idx="48">
                  <c:v>67.7</c:v>
                </c:pt>
                <c:pt idx="49">
                  <c:v>67.27</c:v>
                </c:pt>
                <c:pt idx="50">
                  <c:v>67.36</c:v>
                </c:pt>
                <c:pt idx="51">
                  <c:v>67.930000000000007</c:v>
                </c:pt>
                <c:pt idx="52">
                  <c:v>67.95</c:v>
                </c:pt>
                <c:pt idx="53">
                  <c:v>65.150000000000006</c:v>
                </c:pt>
                <c:pt idx="54">
                  <c:v>63.51</c:v>
                </c:pt>
                <c:pt idx="55">
                  <c:v>63.26</c:v>
                </c:pt>
                <c:pt idx="56">
                  <c:v>62.85</c:v>
                </c:pt>
                <c:pt idx="58">
                  <c:v>60.05</c:v>
                </c:pt>
                <c:pt idx="59">
                  <c:v>60.45</c:v>
                </c:pt>
                <c:pt idx="60">
                  <c:v>59.11</c:v>
                </c:pt>
                <c:pt idx="61">
                  <c:v>57.31</c:v>
                </c:pt>
                <c:pt idx="62">
                  <c:v>57.45</c:v>
                </c:pt>
                <c:pt idx="63">
                  <c:v>57.67</c:v>
                </c:pt>
                <c:pt idx="64">
                  <c:v>58.98</c:v>
                </c:pt>
                <c:pt idx="65">
                  <c:v>58.54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9631264"/>
        <c:axId val="709631656"/>
      </c:lineChart>
      <c:dateAx>
        <c:axId val="7096312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9631656"/>
        <c:crosses val="autoZero"/>
        <c:auto val="1"/>
        <c:lblOffset val="100"/>
        <c:baseTimeUnit val="days"/>
      </c:dateAx>
      <c:valAx>
        <c:axId val="709631656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9631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GIS!$AB$1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GIS!$X$2:$X$68</c:f>
              <c:numCache>
                <c:formatCode>d\-mmm\-yy</c:formatCode>
                <c:ptCount val="67"/>
                <c:pt idx="0">
                  <c:v>42768</c:v>
                </c:pt>
                <c:pt idx="1">
                  <c:v>42767</c:v>
                </c:pt>
                <c:pt idx="2">
                  <c:v>42766</c:v>
                </c:pt>
                <c:pt idx="3">
                  <c:v>42765</c:v>
                </c:pt>
                <c:pt idx="4">
                  <c:v>42762</c:v>
                </c:pt>
                <c:pt idx="5">
                  <c:v>42761</c:v>
                </c:pt>
                <c:pt idx="6">
                  <c:v>42760</c:v>
                </c:pt>
                <c:pt idx="7">
                  <c:v>42759</c:v>
                </c:pt>
                <c:pt idx="8">
                  <c:v>42758</c:v>
                </c:pt>
                <c:pt idx="9">
                  <c:v>42755</c:v>
                </c:pt>
                <c:pt idx="10">
                  <c:v>42754</c:v>
                </c:pt>
                <c:pt idx="11">
                  <c:v>42753</c:v>
                </c:pt>
                <c:pt idx="12">
                  <c:v>42752</c:v>
                </c:pt>
                <c:pt idx="13">
                  <c:v>42748</c:v>
                </c:pt>
                <c:pt idx="14">
                  <c:v>42747</c:v>
                </c:pt>
                <c:pt idx="15">
                  <c:v>42746</c:v>
                </c:pt>
                <c:pt idx="16">
                  <c:v>42745</c:v>
                </c:pt>
                <c:pt idx="17">
                  <c:v>42744</c:v>
                </c:pt>
                <c:pt idx="18">
                  <c:v>42741</c:v>
                </c:pt>
                <c:pt idx="19">
                  <c:v>42741</c:v>
                </c:pt>
                <c:pt idx="20">
                  <c:v>42740</c:v>
                </c:pt>
                <c:pt idx="21">
                  <c:v>42739</c:v>
                </c:pt>
                <c:pt idx="22">
                  <c:v>42738</c:v>
                </c:pt>
                <c:pt idx="23">
                  <c:v>42734</c:v>
                </c:pt>
                <c:pt idx="24">
                  <c:v>42733</c:v>
                </c:pt>
                <c:pt idx="25">
                  <c:v>42732</c:v>
                </c:pt>
                <c:pt idx="26">
                  <c:v>42731</c:v>
                </c:pt>
                <c:pt idx="27">
                  <c:v>42727</c:v>
                </c:pt>
                <c:pt idx="28">
                  <c:v>42726</c:v>
                </c:pt>
                <c:pt idx="29">
                  <c:v>42725</c:v>
                </c:pt>
                <c:pt idx="30">
                  <c:v>42724</c:v>
                </c:pt>
                <c:pt idx="31">
                  <c:v>42723</c:v>
                </c:pt>
                <c:pt idx="32">
                  <c:v>42720</c:v>
                </c:pt>
                <c:pt idx="33">
                  <c:v>42719</c:v>
                </c:pt>
                <c:pt idx="34">
                  <c:v>42718</c:v>
                </c:pt>
                <c:pt idx="35">
                  <c:v>42717</c:v>
                </c:pt>
                <c:pt idx="36">
                  <c:v>42716</c:v>
                </c:pt>
                <c:pt idx="37">
                  <c:v>42713</c:v>
                </c:pt>
                <c:pt idx="38">
                  <c:v>42712</c:v>
                </c:pt>
                <c:pt idx="39">
                  <c:v>42711</c:v>
                </c:pt>
                <c:pt idx="40">
                  <c:v>42710</c:v>
                </c:pt>
                <c:pt idx="41">
                  <c:v>42709</c:v>
                </c:pt>
                <c:pt idx="42">
                  <c:v>42706</c:v>
                </c:pt>
                <c:pt idx="43">
                  <c:v>42705</c:v>
                </c:pt>
                <c:pt idx="44">
                  <c:v>42704</c:v>
                </c:pt>
                <c:pt idx="45">
                  <c:v>42703</c:v>
                </c:pt>
                <c:pt idx="46">
                  <c:v>42702</c:v>
                </c:pt>
                <c:pt idx="47">
                  <c:v>42699</c:v>
                </c:pt>
                <c:pt idx="48">
                  <c:v>42697</c:v>
                </c:pt>
                <c:pt idx="49">
                  <c:v>42696</c:v>
                </c:pt>
                <c:pt idx="50">
                  <c:v>42695</c:v>
                </c:pt>
                <c:pt idx="51">
                  <c:v>42692</c:v>
                </c:pt>
                <c:pt idx="52">
                  <c:v>42691</c:v>
                </c:pt>
                <c:pt idx="53">
                  <c:v>42690</c:v>
                </c:pt>
                <c:pt idx="54">
                  <c:v>42689</c:v>
                </c:pt>
                <c:pt idx="55">
                  <c:v>42688</c:v>
                </c:pt>
                <c:pt idx="56">
                  <c:v>42685</c:v>
                </c:pt>
                <c:pt idx="57">
                  <c:v>42684</c:v>
                </c:pt>
                <c:pt idx="58">
                  <c:v>42683</c:v>
                </c:pt>
                <c:pt idx="59">
                  <c:v>42682</c:v>
                </c:pt>
                <c:pt idx="60">
                  <c:v>42681</c:v>
                </c:pt>
                <c:pt idx="61">
                  <c:v>42678</c:v>
                </c:pt>
                <c:pt idx="62">
                  <c:v>42677</c:v>
                </c:pt>
                <c:pt idx="63">
                  <c:v>42676</c:v>
                </c:pt>
                <c:pt idx="64">
                  <c:v>42675</c:v>
                </c:pt>
                <c:pt idx="65">
                  <c:v>42674</c:v>
                </c:pt>
                <c:pt idx="66">
                  <c:v>42671</c:v>
                </c:pt>
              </c:numCache>
            </c:numRef>
          </c:cat>
          <c:val>
            <c:numRef>
              <c:f>GIS!$AB$2:$AB$68</c:f>
              <c:numCache>
                <c:formatCode>General</c:formatCode>
                <c:ptCount val="67"/>
                <c:pt idx="0">
                  <c:v>61.72</c:v>
                </c:pt>
                <c:pt idx="1">
                  <c:v>61.37</c:v>
                </c:pt>
                <c:pt idx="2">
                  <c:v>62.48</c:v>
                </c:pt>
                <c:pt idx="3">
                  <c:v>62.6</c:v>
                </c:pt>
                <c:pt idx="4">
                  <c:v>62.72</c:v>
                </c:pt>
                <c:pt idx="5">
                  <c:v>62.7</c:v>
                </c:pt>
                <c:pt idx="6">
                  <c:v>63.01</c:v>
                </c:pt>
                <c:pt idx="7">
                  <c:v>62.67</c:v>
                </c:pt>
                <c:pt idx="8">
                  <c:v>62.12</c:v>
                </c:pt>
                <c:pt idx="9">
                  <c:v>62.42</c:v>
                </c:pt>
                <c:pt idx="10">
                  <c:v>61.65</c:v>
                </c:pt>
                <c:pt idx="11">
                  <c:v>62.08</c:v>
                </c:pt>
                <c:pt idx="12">
                  <c:v>61.98</c:v>
                </c:pt>
                <c:pt idx="13">
                  <c:v>61.08</c:v>
                </c:pt>
                <c:pt idx="14">
                  <c:v>61.27</c:v>
                </c:pt>
                <c:pt idx="15">
                  <c:v>60.98</c:v>
                </c:pt>
                <c:pt idx="16">
                  <c:v>60.45</c:v>
                </c:pt>
                <c:pt idx="17">
                  <c:v>60.56</c:v>
                </c:pt>
                <c:pt idx="18">
                  <c:v>61.47</c:v>
                </c:pt>
                <c:pt idx="20">
                  <c:v>62.25</c:v>
                </c:pt>
                <c:pt idx="21">
                  <c:v>62.07</c:v>
                </c:pt>
                <c:pt idx="22">
                  <c:v>62.09</c:v>
                </c:pt>
                <c:pt idx="23">
                  <c:v>61.77</c:v>
                </c:pt>
                <c:pt idx="24">
                  <c:v>62.36</c:v>
                </c:pt>
                <c:pt idx="25">
                  <c:v>61.89</c:v>
                </c:pt>
                <c:pt idx="26">
                  <c:v>62.2</c:v>
                </c:pt>
                <c:pt idx="27">
                  <c:v>62.16</c:v>
                </c:pt>
                <c:pt idx="28">
                  <c:v>62.46</c:v>
                </c:pt>
                <c:pt idx="29">
                  <c:v>62.39</c:v>
                </c:pt>
                <c:pt idx="30">
                  <c:v>61.45</c:v>
                </c:pt>
                <c:pt idx="31">
                  <c:v>63.06</c:v>
                </c:pt>
                <c:pt idx="32">
                  <c:v>63.5</c:v>
                </c:pt>
                <c:pt idx="33">
                  <c:v>62.82</c:v>
                </c:pt>
                <c:pt idx="34">
                  <c:v>62.87</c:v>
                </c:pt>
                <c:pt idx="35">
                  <c:v>63.74</c:v>
                </c:pt>
                <c:pt idx="36">
                  <c:v>63.87</c:v>
                </c:pt>
                <c:pt idx="37">
                  <c:v>63.2</c:v>
                </c:pt>
                <c:pt idx="38">
                  <c:v>62.48</c:v>
                </c:pt>
                <c:pt idx="39">
                  <c:v>62.99</c:v>
                </c:pt>
                <c:pt idx="40">
                  <c:v>61.03</c:v>
                </c:pt>
                <c:pt idx="41">
                  <c:v>61.13</c:v>
                </c:pt>
                <c:pt idx="42">
                  <c:v>60.94</c:v>
                </c:pt>
                <c:pt idx="43">
                  <c:v>60.59</c:v>
                </c:pt>
                <c:pt idx="44">
                  <c:v>60.94</c:v>
                </c:pt>
                <c:pt idx="45">
                  <c:v>62.66</c:v>
                </c:pt>
                <c:pt idx="46">
                  <c:v>62.08</c:v>
                </c:pt>
                <c:pt idx="47">
                  <c:v>62.3</c:v>
                </c:pt>
                <c:pt idx="48">
                  <c:v>61.48</c:v>
                </c:pt>
                <c:pt idx="49">
                  <c:v>62.68</c:v>
                </c:pt>
                <c:pt idx="50">
                  <c:v>61.63</c:v>
                </c:pt>
                <c:pt idx="51">
                  <c:v>61.26</c:v>
                </c:pt>
                <c:pt idx="52">
                  <c:v>61.36</c:v>
                </c:pt>
                <c:pt idx="53">
                  <c:v>61.26</c:v>
                </c:pt>
                <c:pt idx="54">
                  <c:v>61.3</c:v>
                </c:pt>
                <c:pt idx="55">
                  <c:v>61.2</c:v>
                </c:pt>
                <c:pt idx="56">
                  <c:v>61.04</c:v>
                </c:pt>
                <c:pt idx="57">
                  <c:v>61.07</c:v>
                </c:pt>
                <c:pt idx="58">
                  <c:v>62.74</c:v>
                </c:pt>
                <c:pt idx="59">
                  <c:v>63.71</c:v>
                </c:pt>
                <c:pt idx="60">
                  <c:v>61.83</c:v>
                </c:pt>
                <c:pt idx="61">
                  <c:v>60.65</c:v>
                </c:pt>
                <c:pt idx="62">
                  <c:v>61.12</c:v>
                </c:pt>
                <c:pt idx="63">
                  <c:v>61.38</c:v>
                </c:pt>
                <c:pt idx="64">
                  <c:v>61.63</c:v>
                </c:pt>
                <c:pt idx="65">
                  <c:v>61.98</c:v>
                </c:pt>
                <c:pt idx="66">
                  <c:v>61.66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9633616"/>
        <c:axId val="709634008"/>
      </c:lineChart>
      <c:dateAx>
        <c:axId val="7096336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9634008"/>
        <c:crosses val="autoZero"/>
        <c:auto val="1"/>
        <c:lblOffset val="100"/>
        <c:baseTimeUnit val="days"/>
      </c:dateAx>
      <c:valAx>
        <c:axId val="709634008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96336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2-Feb-17</c:v>
                </c:pt>
                <c:pt idx="1">
                  <c:v>1-Feb-17</c:v>
                </c:pt>
                <c:pt idx="2">
                  <c:v>31-Jan-17</c:v>
                </c:pt>
                <c:pt idx="3">
                  <c:v>30-Jan-17</c:v>
                </c:pt>
                <c:pt idx="4">
                  <c:v>27-Jan-17</c:v>
                </c:pt>
                <c:pt idx="5">
                  <c:v>26-Jan-17</c:v>
                </c:pt>
                <c:pt idx="6">
                  <c:v>25-Jan-17</c:v>
                </c:pt>
                <c:pt idx="7">
                  <c:v>24-Jan-17</c:v>
                </c:pt>
                <c:pt idx="8">
                  <c:v>23-Jan-17</c:v>
                </c:pt>
                <c:pt idx="9">
                  <c:v>20-Jan-17</c:v>
                </c:pt>
                <c:pt idx="10">
                  <c:v>19-Jan-17</c:v>
                </c:pt>
                <c:pt idx="11">
                  <c:v>18-Jan-17</c:v>
                </c:pt>
                <c:pt idx="12">
                  <c:v>17-Jan-17</c:v>
                </c:pt>
                <c:pt idx="13">
                  <c:v>13-Jan-17</c:v>
                </c:pt>
                <c:pt idx="14">
                  <c:v>12-Jan-17</c:v>
                </c:pt>
                <c:pt idx="15">
                  <c:v>11-Jan-17</c:v>
                </c:pt>
                <c:pt idx="16">
                  <c:v>10-Jan-17</c:v>
                </c:pt>
                <c:pt idx="17">
                  <c:v>9-Jan-17</c:v>
                </c:pt>
                <c:pt idx="18">
                  <c:v>6-Jan-17</c:v>
                </c:pt>
                <c:pt idx="19">
                  <c:v>5-Jan-17</c:v>
                </c:pt>
                <c:pt idx="20">
                  <c:v>4-Jan-17</c:v>
                </c:pt>
                <c:pt idx="21">
                  <c:v>3-Jan-17</c:v>
                </c:pt>
                <c:pt idx="22">
                  <c:v>30-Dec-16</c:v>
                </c:pt>
                <c:pt idx="23">
                  <c:v>29-Dec-16</c:v>
                </c:pt>
                <c:pt idx="24">
                  <c:v>28-Dec-16</c:v>
                </c:pt>
                <c:pt idx="25">
                  <c:v>27-Dec-16</c:v>
                </c:pt>
                <c:pt idx="26">
                  <c:v>23-Dec-16</c:v>
                </c:pt>
                <c:pt idx="27">
                  <c:v>22-Dec-16</c:v>
                </c:pt>
                <c:pt idx="28">
                  <c:v>21-Dec-16</c:v>
                </c:pt>
                <c:pt idx="29">
                  <c:v>20-Dec-16</c:v>
                </c:pt>
                <c:pt idx="30">
                  <c:v>19-Dec-16</c:v>
                </c:pt>
                <c:pt idx="31">
                  <c:v>16-Dec-16</c:v>
                </c:pt>
                <c:pt idx="32">
                  <c:v>15-Dec-16</c:v>
                </c:pt>
                <c:pt idx="33">
                  <c:v>14-Dec-16</c:v>
                </c:pt>
                <c:pt idx="34">
                  <c:v>13-Dec-16</c:v>
                </c:pt>
                <c:pt idx="35">
                  <c:v>12-Dec-16</c:v>
                </c:pt>
                <c:pt idx="36">
                  <c:v>9-Dec-16</c:v>
                </c:pt>
                <c:pt idx="37">
                  <c:v>8-Dec-16</c:v>
                </c:pt>
                <c:pt idx="38">
                  <c:v>7-Dec-16</c:v>
                </c:pt>
                <c:pt idx="39">
                  <c:v>6-Dec-16</c:v>
                </c:pt>
                <c:pt idx="40">
                  <c:v>5-Dec-16</c:v>
                </c:pt>
                <c:pt idx="41">
                  <c:v>5-Dec-16</c:v>
                </c:pt>
                <c:pt idx="42">
                  <c:v>2-Dec-16</c:v>
                </c:pt>
                <c:pt idx="43">
                  <c:v>1-Dec-16</c:v>
                </c:pt>
                <c:pt idx="44">
                  <c:v>30-Nov-16</c:v>
                </c:pt>
                <c:pt idx="45">
                  <c:v>29-Nov-16</c:v>
                </c:pt>
                <c:pt idx="46">
                  <c:v>28-Nov-16</c:v>
                </c:pt>
                <c:pt idx="47">
                  <c:v>25-Nov-16</c:v>
                </c:pt>
                <c:pt idx="48">
                  <c:v>23-Nov-16</c:v>
                </c:pt>
                <c:pt idx="49">
                  <c:v>22-Nov-16</c:v>
                </c:pt>
                <c:pt idx="50">
                  <c:v>21-Nov-16</c:v>
                </c:pt>
                <c:pt idx="51">
                  <c:v>18-Nov-16</c:v>
                </c:pt>
                <c:pt idx="52">
                  <c:v>17-Nov-16</c:v>
                </c:pt>
                <c:pt idx="53">
                  <c:v>16-Nov-16</c:v>
                </c:pt>
                <c:pt idx="54">
                  <c:v>15-Nov-16</c:v>
                </c:pt>
                <c:pt idx="55">
                  <c:v>14-Nov-16</c:v>
                </c:pt>
                <c:pt idx="56">
                  <c:v>11-Nov-16</c:v>
                </c:pt>
                <c:pt idx="57">
                  <c:v>10-Nov-16</c:v>
                </c:pt>
                <c:pt idx="58">
                  <c:v>9-Nov-16</c:v>
                </c:pt>
                <c:pt idx="59">
                  <c:v>8-Nov-16</c:v>
                </c:pt>
                <c:pt idx="60">
                  <c:v>7-Nov-16</c:v>
                </c:pt>
                <c:pt idx="61">
                  <c:v>4-Nov-16</c:v>
                </c:pt>
                <c:pt idx="62">
                  <c:v>3-Nov-16</c:v>
                </c:pt>
                <c:pt idx="63">
                  <c:v>2-Nov-16</c:v>
                </c:pt>
                <c:pt idx="64">
                  <c:v>1-Nov-16</c:v>
                </c:pt>
                <c:pt idx="65">
                  <c:v>31-Oct-16</c:v>
                </c:pt>
                <c:pt idx="66">
                  <c:v>28-Oct-16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35.729999999999997</c:v>
                </c:pt>
                <c:pt idx="1">
                  <c:v>36.14</c:v>
                </c:pt>
                <c:pt idx="2">
                  <c:v>36.61</c:v>
                </c:pt>
                <c:pt idx="3">
                  <c:v>36.33</c:v>
                </c:pt>
                <c:pt idx="4">
                  <c:v>37.01</c:v>
                </c:pt>
                <c:pt idx="5">
                  <c:v>37.520000000000003</c:v>
                </c:pt>
                <c:pt idx="6">
                  <c:v>38.28</c:v>
                </c:pt>
                <c:pt idx="7">
                  <c:v>37</c:v>
                </c:pt>
                <c:pt idx="8">
                  <c:v>36.65</c:v>
                </c:pt>
                <c:pt idx="9">
                  <c:v>37.01</c:v>
                </c:pt>
                <c:pt idx="10">
                  <c:v>37.299999999999997</c:v>
                </c:pt>
                <c:pt idx="11">
                  <c:v>37.47</c:v>
                </c:pt>
                <c:pt idx="12">
                  <c:v>37.31</c:v>
                </c:pt>
                <c:pt idx="13">
                  <c:v>37.340000000000003</c:v>
                </c:pt>
                <c:pt idx="14">
                  <c:v>37.51</c:v>
                </c:pt>
                <c:pt idx="15">
                  <c:v>37.950000000000003</c:v>
                </c:pt>
                <c:pt idx="16">
                  <c:v>37.35</c:v>
                </c:pt>
                <c:pt idx="17">
                  <c:v>36.01</c:v>
                </c:pt>
                <c:pt idx="18">
                  <c:v>35.99</c:v>
                </c:pt>
                <c:pt idx="19">
                  <c:v>36.39</c:v>
                </c:pt>
                <c:pt idx="20">
                  <c:v>37.090000000000003</c:v>
                </c:pt>
                <c:pt idx="21">
                  <c:v>35.15</c:v>
                </c:pt>
                <c:pt idx="22">
                  <c:v>34.840000000000003</c:v>
                </c:pt>
                <c:pt idx="23">
                  <c:v>35.14</c:v>
                </c:pt>
                <c:pt idx="24">
                  <c:v>35.15</c:v>
                </c:pt>
                <c:pt idx="25">
                  <c:v>35.54</c:v>
                </c:pt>
                <c:pt idx="26">
                  <c:v>35.69</c:v>
                </c:pt>
                <c:pt idx="27">
                  <c:v>35.69</c:v>
                </c:pt>
                <c:pt idx="28">
                  <c:v>36.42</c:v>
                </c:pt>
                <c:pt idx="29">
                  <c:v>36.61</c:v>
                </c:pt>
                <c:pt idx="30">
                  <c:v>36.4</c:v>
                </c:pt>
                <c:pt idx="31">
                  <c:v>36.369999999999997</c:v>
                </c:pt>
                <c:pt idx="32">
                  <c:v>36.24</c:v>
                </c:pt>
                <c:pt idx="33">
                  <c:v>35.950000000000003</c:v>
                </c:pt>
                <c:pt idx="34">
                  <c:v>37.36</c:v>
                </c:pt>
                <c:pt idx="35">
                  <c:v>37.1</c:v>
                </c:pt>
                <c:pt idx="36">
                  <c:v>37.659999999999997</c:v>
                </c:pt>
                <c:pt idx="37">
                  <c:v>36.42</c:v>
                </c:pt>
                <c:pt idx="38">
                  <c:v>36.299999999999997</c:v>
                </c:pt>
                <c:pt idx="39">
                  <c:v>35.07</c:v>
                </c:pt>
                <c:pt idx="40">
                  <c:v>34.94</c:v>
                </c:pt>
                <c:pt idx="42">
                  <c:v>35.409999999999997</c:v>
                </c:pt>
                <c:pt idx="43">
                  <c:v>36.43</c:v>
                </c:pt>
                <c:pt idx="44">
                  <c:v>34.53</c:v>
                </c:pt>
                <c:pt idx="45">
                  <c:v>34.57</c:v>
                </c:pt>
                <c:pt idx="46">
                  <c:v>34.049999999999997</c:v>
                </c:pt>
                <c:pt idx="47">
                  <c:v>34.25</c:v>
                </c:pt>
                <c:pt idx="48">
                  <c:v>33.86</c:v>
                </c:pt>
                <c:pt idx="49">
                  <c:v>33.81</c:v>
                </c:pt>
                <c:pt idx="50">
                  <c:v>33.01</c:v>
                </c:pt>
                <c:pt idx="51">
                  <c:v>33</c:v>
                </c:pt>
                <c:pt idx="52">
                  <c:v>33.42</c:v>
                </c:pt>
                <c:pt idx="53">
                  <c:v>33.229999999999997</c:v>
                </c:pt>
                <c:pt idx="54">
                  <c:v>33.43</c:v>
                </c:pt>
                <c:pt idx="55">
                  <c:v>33.28</c:v>
                </c:pt>
                <c:pt idx="56">
                  <c:v>34.020000000000003</c:v>
                </c:pt>
                <c:pt idx="57">
                  <c:v>32.729999999999997</c:v>
                </c:pt>
                <c:pt idx="58">
                  <c:v>30.96</c:v>
                </c:pt>
                <c:pt idx="59">
                  <c:v>31.73</c:v>
                </c:pt>
                <c:pt idx="60">
                  <c:v>32.020000000000003</c:v>
                </c:pt>
                <c:pt idx="61">
                  <c:v>31.16</c:v>
                </c:pt>
                <c:pt idx="62">
                  <c:v>31.07</c:v>
                </c:pt>
                <c:pt idx="63">
                  <c:v>31.45</c:v>
                </c:pt>
                <c:pt idx="64">
                  <c:v>31.48</c:v>
                </c:pt>
                <c:pt idx="65">
                  <c:v>31.6</c:v>
                </c:pt>
                <c:pt idx="66">
                  <c:v>31.32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9635968"/>
        <c:axId val="709636360"/>
      </c:lineChart>
      <c:catAx>
        <c:axId val="70963596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9636360"/>
        <c:crosses val="autoZero"/>
        <c:auto val="1"/>
        <c:lblAlgn val="ctr"/>
        <c:lblOffset val="100"/>
        <c:noMultiLvlLbl val="0"/>
      </c:catAx>
      <c:valAx>
        <c:axId val="709636360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96359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TMO!$AA$1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TMO!$W$2:$W$69</c:f>
              <c:strCache>
                <c:ptCount val="68"/>
                <c:pt idx="0">
                  <c:v>2-Feb-17</c:v>
                </c:pt>
                <c:pt idx="1">
                  <c:v>1-Feb-17</c:v>
                </c:pt>
                <c:pt idx="2">
                  <c:v>31-Jan-17</c:v>
                </c:pt>
                <c:pt idx="3">
                  <c:v>30-Jan-17</c:v>
                </c:pt>
                <c:pt idx="4">
                  <c:v>27-Jan-17</c:v>
                </c:pt>
                <c:pt idx="5">
                  <c:v>26-Jan-17</c:v>
                </c:pt>
                <c:pt idx="6">
                  <c:v>25-Jan-17</c:v>
                </c:pt>
                <c:pt idx="7">
                  <c:v>24-Jan-17</c:v>
                </c:pt>
                <c:pt idx="8">
                  <c:v>23-Jan-17</c:v>
                </c:pt>
                <c:pt idx="9">
                  <c:v>20-Jan-17</c:v>
                </c:pt>
                <c:pt idx="10">
                  <c:v>19-Jan-17</c:v>
                </c:pt>
                <c:pt idx="11">
                  <c:v>18-Jan-17</c:v>
                </c:pt>
                <c:pt idx="12">
                  <c:v>17-Jan-17</c:v>
                </c:pt>
                <c:pt idx="13">
                  <c:v>13-Jan-17</c:v>
                </c:pt>
                <c:pt idx="14">
                  <c:v>12-Jan-17</c:v>
                </c:pt>
                <c:pt idx="15">
                  <c:v>11-Jan-17</c:v>
                </c:pt>
                <c:pt idx="16">
                  <c:v>10-Jan-17</c:v>
                </c:pt>
                <c:pt idx="17">
                  <c:v>9-Jan-17</c:v>
                </c:pt>
                <c:pt idx="18">
                  <c:v>6-Jan-17</c:v>
                </c:pt>
                <c:pt idx="19">
                  <c:v>5-Jan-17</c:v>
                </c:pt>
                <c:pt idx="20">
                  <c:v>4-Jan-17</c:v>
                </c:pt>
                <c:pt idx="21">
                  <c:v>3-Jan-17</c:v>
                </c:pt>
                <c:pt idx="22">
                  <c:v>30-Dec-16</c:v>
                </c:pt>
                <c:pt idx="23">
                  <c:v>29-Dec-16</c:v>
                </c:pt>
                <c:pt idx="24">
                  <c:v>28-Dec-16</c:v>
                </c:pt>
                <c:pt idx="25">
                  <c:v>27-Dec-16</c:v>
                </c:pt>
                <c:pt idx="26">
                  <c:v>23-Dec-16</c:v>
                </c:pt>
                <c:pt idx="27">
                  <c:v>22-Dec-16</c:v>
                </c:pt>
                <c:pt idx="28">
                  <c:v>21-Dec-16</c:v>
                </c:pt>
                <c:pt idx="29">
                  <c:v>20-Dec-16</c:v>
                </c:pt>
                <c:pt idx="30">
                  <c:v>19-Dec-16</c:v>
                </c:pt>
                <c:pt idx="31">
                  <c:v>16-Dec-16</c:v>
                </c:pt>
                <c:pt idx="32">
                  <c:v>15-Dec-16</c:v>
                </c:pt>
                <c:pt idx="33">
                  <c:v>14-Dec-16</c:v>
                </c:pt>
                <c:pt idx="34">
                  <c:v>13-Dec-16</c:v>
                </c:pt>
                <c:pt idx="35">
                  <c:v>13-Dec-16</c:v>
                </c:pt>
                <c:pt idx="36">
                  <c:v>12-Dec-16</c:v>
                </c:pt>
                <c:pt idx="37">
                  <c:v>9-Dec-16</c:v>
                </c:pt>
                <c:pt idx="38">
                  <c:v>8-Dec-16</c:v>
                </c:pt>
                <c:pt idx="39">
                  <c:v>7-Dec-16</c:v>
                </c:pt>
                <c:pt idx="40">
                  <c:v>6-Dec-16</c:v>
                </c:pt>
                <c:pt idx="41">
                  <c:v>5-Dec-16</c:v>
                </c:pt>
                <c:pt idx="42">
                  <c:v>2-Dec-16</c:v>
                </c:pt>
                <c:pt idx="43">
                  <c:v>1-Dec-16</c:v>
                </c:pt>
                <c:pt idx="44">
                  <c:v>30-Nov-16</c:v>
                </c:pt>
                <c:pt idx="45">
                  <c:v>29-Nov-16</c:v>
                </c:pt>
                <c:pt idx="46">
                  <c:v>28-Nov-16</c:v>
                </c:pt>
                <c:pt idx="47">
                  <c:v>25-Nov-16</c:v>
                </c:pt>
                <c:pt idx="48">
                  <c:v>23-Nov-16</c:v>
                </c:pt>
                <c:pt idx="49">
                  <c:v>22-Nov-16</c:v>
                </c:pt>
                <c:pt idx="50">
                  <c:v>21-Nov-16</c:v>
                </c:pt>
                <c:pt idx="51">
                  <c:v>18-Nov-16</c:v>
                </c:pt>
                <c:pt idx="52">
                  <c:v>17-Nov-16</c:v>
                </c:pt>
                <c:pt idx="53">
                  <c:v>16-Nov-16</c:v>
                </c:pt>
                <c:pt idx="54">
                  <c:v>15-Nov-16</c:v>
                </c:pt>
                <c:pt idx="55">
                  <c:v>14-Nov-16</c:v>
                </c:pt>
                <c:pt idx="56">
                  <c:v>11-Nov-16</c:v>
                </c:pt>
                <c:pt idx="57">
                  <c:v>10-Nov-16</c:v>
                </c:pt>
                <c:pt idx="58">
                  <c:v>9-Nov-16</c:v>
                </c:pt>
                <c:pt idx="59">
                  <c:v>8-Nov-16</c:v>
                </c:pt>
                <c:pt idx="60">
                  <c:v>7-Nov-16</c:v>
                </c:pt>
                <c:pt idx="61">
                  <c:v>4-Nov-16</c:v>
                </c:pt>
                <c:pt idx="62">
                  <c:v>3-Nov-16</c:v>
                </c:pt>
                <c:pt idx="63">
                  <c:v>2-Nov-16</c:v>
                </c:pt>
                <c:pt idx="64">
                  <c:v>1-Nov-16</c:v>
                </c:pt>
                <c:pt idx="65">
                  <c:v>31-Oct-16</c:v>
                </c:pt>
                <c:pt idx="66">
                  <c:v>28-Oct-16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TMO!$AA$2:$AA$69</c:f>
              <c:numCache>
                <c:formatCode>General</c:formatCode>
                <c:ptCount val="68"/>
                <c:pt idx="0">
                  <c:v>151.66999999999999</c:v>
                </c:pt>
                <c:pt idx="1">
                  <c:v>152.94</c:v>
                </c:pt>
                <c:pt idx="2">
                  <c:v>152.38999999999999</c:v>
                </c:pt>
                <c:pt idx="3">
                  <c:v>143.29</c:v>
                </c:pt>
                <c:pt idx="4">
                  <c:v>145.44999999999999</c:v>
                </c:pt>
                <c:pt idx="5">
                  <c:v>143.1</c:v>
                </c:pt>
                <c:pt idx="6">
                  <c:v>142.43</c:v>
                </c:pt>
                <c:pt idx="7">
                  <c:v>140.97999999999999</c:v>
                </c:pt>
                <c:pt idx="8">
                  <c:v>142.79</c:v>
                </c:pt>
                <c:pt idx="9">
                  <c:v>143.51</c:v>
                </c:pt>
                <c:pt idx="10">
                  <c:v>144.32</c:v>
                </c:pt>
                <c:pt idx="11">
                  <c:v>144.66</c:v>
                </c:pt>
                <c:pt idx="12">
                  <c:v>145.05000000000001</c:v>
                </c:pt>
                <c:pt idx="13">
                  <c:v>146.29</c:v>
                </c:pt>
                <c:pt idx="14">
                  <c:v>145.97</c:v>
                </c:pt>
                <c:pt idx="15">
                  <c:v>146.22</c:v>
                </c:pt>
                <c:pt idx="16">
                  <c:v>147.78</c:v>
                </c:pt>
                <c:pt idx="17">
                  <c:v>147.49</c:v>
                </c:pt>
                <c:pt idx="18">
                  <c:v>147.27000000000001</c:v>
                </c:pt>
                <c:pt idx="19">
                  <c:v>145.38</c:v>
                </c:pt>
                <c:pt idx="20">
                  <c:v>145.16</c:v>
                </c:pt>
                <c:pt idx="21">
                  <c:v>143.66999999999999</c:v>
                </c:pt>
                <c:pt idx="22">
                  <c:v>141.1</c:v>
                </c:pt>
                <c:pt idx="23">
                  <c:v>141.47999999999999</c:v>
                </c:pt>
                <c:pt idx="24">
                  <c:v>141.22</c:v>
                </c:pt>
                <c:pt idx="25">
                  <c:v>142.41</c:v>
                </c:pt>
                <c:pt idx="26">
                  <c:v>141.84</c:v>
                </c:pt>
                <c:pt idx="27">
                  <c:v>140.52000000000001</c:v>
                </c:pt>
                <c:pt idx="28">
                  <c:v>140.77000000000001</c:v>
                </c:pt>
                <c:pt idx="29">
                  <c:v>141.80000000000001</c:v>
                </c:pt>
                <c:pt idx="30">
                  <c:v>141.25</c:v>
                </c:pt>
                <c:pt idx="31">
                  <c:v>142.54</c:v>
                </c:pt>
                <c:pt idx="32">
                  <c:v>143.5</c:v>
                </c:pt>
                <c:pt idx="33">
                  <c:v>143.80000000000001</c:v>
                </c:pt>
                <c:pt idx="34">
                  <c:v>145.9</c:v>
                </c:pt>
                <c:pt idx="36">
                  <c:v>145.18</c:v>
                </c:pt>
                <c:pt idx="37">
                  <c:v>145.41</c:v>
                </c:pt>
                <c:pt idx="38">
                  <c:v>143.07</c:v>
                </c:pt>
                <c:pt idx="39">
                  <c:v>141.85</c:v>
                </c:pt>
                <c:pt idx="40">
                  <c:v>143.59</c:v>
                </c:pt>
                <c:pt idx="41">
                  <c:v>141.38</c:v>
                </c:pt>
                <c:pt idx="42">
                  <c:v>141.91</c:v>
                </c:pt>
                <c:pt idx="43">
                  <c:v>139.63</c:v>
                </c:pt>
                <c:pt idx="44">
                  <c:v>140.11000000000001</c:v>
                </c:pt>
                <c:pt idx="45">
                  <c:v>141.27000000000001</c:v>
                </c:pt>
                <c:pt idx="46">
                  <c:v>140.32</c:v>
                </c:pt>
                <c:pt idx="47">
                  <c:v>144.18</c:v>
                </c:pt>
                <c:pt idx="48">
                  <c:v>143.51</c:v>
                </c:pt>
                <c:pt idx="49">
                  <c:v>143</c:v>
                </c:pt>
                <c:pt idx="50">
                  <c:v>146.16999999999999</c:v>
                </c:pt>
                <c:pt idx="51">
                  <c:v>145.81</c:v>
                </c:pt>
                <c:pt idx="52">
                  <c:v>148.88</c:v>
                </c:pt>
                <c:pt idx="53">
                  <c:v>149.49</c:v>
                </c:pt>
                <c:pt idx="54">
                  <c:v>148.66</c:v>
                </c:pt>
                <c:pt idx="55">
                  <c:v>148.02000000000001</c:v>
                </c:pt>
                <c:pt idx="56">
                  <c:v>151.25</c:v>
                </c:pt>
                <c:pt idx="57">
                  <c:v>154.35</c:v>
                </c:pt>
                <c:pt idx="58">
                  <c:v>152.05000000000001</c:v>
                </c:pt>
                <c:pt idx="59">
                  <c:v>152.56</c:v>
                </c:pt>
                <c:pt idx="60">
                  <c:v>151.81</c:v>
                </c:pt>
                <c:pt idx="61">
                  <c:v>146.57</c:v>
                </c:pt>
                <c:pt idx="62">
                  <c:v>146.08000000000001</c:v>
                </c:pt>
                <c:pt idx="63">
                  <c:v>145.80000000000001</c:v>
                </c:pt>
                <c:pt idx="64">
                  <c:v>146.02000000000001</c:v>
                </c:pt>
                <c:pt idx="65">
                  <c:v>147.03</c:v>
                </c:pt>
                <c:pt idx="66">
                  <c:v>147.21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9638320"/>
        <c:axId val="709638712"/>
      </c:lineChart>
      <c:catAx>
        <c:axId val="70963832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9638712"/>
        <c:crosses val="autoZero"/>
        <c:auto val="1"/>
        <c:lblAlgn val="ctr"/>
        <c:lblOffset val="100"/>
        <c:noMultiLvlLbl val="0"/>
      </c:catAx>
      <c:valAx>
        <c:axId val="709638712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9638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TKR!$AA$1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TKR!$W$2:$W$69</c:f>
              <c:strCache>
                <c:ptCount val="68"/>
                <c:pt idx="0">
                  <c:v>2-Feb-17</c:v>
                </c:pt>
                <c:pt idx="1">
                  <c:v>1-Feb-17</c:v>
                </c:pt>
                <c:pt idx="2">
                  <c:v>31-Jan-17</c:v>
                </c:pt>
                <c:pt idx="3">
                  <c:v>30-Jan-17</c:v>
                </c:pt>
                <c:pt idx="4">
                  <c:v>27-Jan-17</c:v>
                </c:pt>
                <c:pt idx="5">
                  <c:v>26-Jan-17</c:v>
                </c:pt>
                <c:pt idx="6">
                  <c:v>25-Jan-17</c:v>
                </c:pt>
                <c:pt idx="7">
                  <c:v>24-Jan-17</c:v>
                </c:pt>
                <c:pt idx="8">
                  <c:v>23-Jan-17</c:v>
                </c:pt>
                <c:pt idx="9">
                  <c:v>20-Jan-17</c:v>
                </c:pt>
                <c:pt idx="10">
                  <c:v>19-Jan-17</c:v>
                </c:pt>
                <c:pt idx="11">
                  <c:v>18-Jan-17</c:v>
                </c:pt>
                <c:pt idx="12">
                  <c:v>17-Jan-17</c:v>
                </c:pt>
                <c:pt idx="13">
                  <c:v>13-Jan-17</c:v>
                </c:pt>
                <c:pt idx="14">
                  <c:v>12-Jan-17</c:v>
                </c:pt>
                <c:pt idx="15">
                  <c:v>11-Jan-17</c:v>
                </c:pt>
                <c:pt idx="16">
                  <c:v>10-Jan-17</c:v>
                </c:pt>
                <c:pt idx="17">
                  <c:v>9-Jan-17</c:v>
                </c:pt>
                <c:pt idx="18">
                  <c:v>6-Jan-17</c:v>
                </c:pt>
                <c:pt idx="19">
                  <c:v>5-Jan-17</c:v>
                </c:pt>
                <c:pt idx="20">
                  <c:v>4-Jan-17</c:v>
                </c:pt>
                <c:pt idx="21">
                  <c:v>3-Jan-17</c:v>
                </c:pt>
                <c:pt idx="22">
                  <c:v>30-Dec-16</c:v>
                </c:pt>
                <c:pt idx="23">
                  <c:v>29-Dec-16</c:v>
                </c:pt>
                <c:pt idx="24">
                  <c:v>28-Dec-16</c:v>
                </c:pt>
                <c:pt idx="25">
                  <c:v>27-Dec-16</c:v>
                </c:pt>
                <c:pt idx="26">
                  <c:v>23-Dec-16</c:v>
                </c:pt>
                <c:pt idx="27">
                  <c:v>22-Dec-16</c:v>
                </c:pt>
                <c:pt idx="28">
                  <c:v>21-Dec-16</c:v>
                </c:pt>
                <c:pt idx="29">
                  <c:v>20-Dec-16</c:v>
                </c:pt>
                <c:pt idx="30">
                  <c:v>19-Dec-16</c:v>
                </c:pt>
                <c:pt idx="31">
                  <c:v>16-Dec-16</c:v>
                </c:pt>
                <c:pt idx="32">
                  <c:v>15-Dec-16</c:v>
                </c:pt>
                <c:pt idx="33">
                  <c:v>14-Dec-16</c:v>
                </c:pt>
                <c:pt idx="34">
                  <c:v>13-Dec-16</c:v>
                </c:pt>
                <c:pt idx="35">
                  <c:v>12-Dec-16</c:v>
                </c:pt>
                <c:pt idx="36">
                  <c:v>9-Dec-16</c:v>
                </c:pt>
                <c:pt idx="37">
                  <c:v>8-Dec-16</c:v>
                </c:pt>
                <c:pt idx="38">
                  <c:v>7-Dec-16</c:v>
                </c:pt>
                <c:pt idx="39">
                  <c:v>6-Dec-16</c:v>
                </c:pt>
                <c:pt idx="40">
                  <c:v>5-Dec-16</c:v>
                </c:pt>
                <c:pt idx="41">
                  <c:v>2-Dec-16</c:v>
                </c:pt>
                <c:pt idx="42">
                  <c:v>1-Dec-16</c:v>
                </c:pt>
                <c:pt idx="43">
                  <c:v>30-Nov-16</c:v>
                </c:pt>
                <c:pt idx="44">
                  <c:v>29-Nov-16</c:v>
                </c:pt>
                <c:pt idx="45">
                  <c:v>28-Nov-16</c:v>
                </c:pt>
                <c:pt idx="46">
                  <c:v>25-Nov-16</c:v>
                </c:pt>
                <c:pt idx="47">
                  <c:v>23-Nov-16</c:v>
                </c:pt>
                <c:pt idx="48">
                  <c:v>22-Nov-16</c:v>
                </c:pt>
                <c:pt idx="49">
                  <c:v>21-Nov-16</c:v>
                </c:pt>
                <c:pt idx="50">
                  <c:v>18-Nov-16</c:v>
                </c:pt>
                <c:pt idx="51">
                  <c:v>18-Nov-16</c:v>
                </c:pt>
                <c:pt idx="52">
                  <c:v>17-Nov-16</c:v>
                </c:pt>
                <c:pt idx="53">
                  <c:v>16-Nov-16</c:v>
                </c:pt>
                <c:pt idx="54">
                  <c:v>15-Nov-16</c:v>
                </c:pt>
                <c:pt idx="55">
                  <c:v>14-Nov-16</c:v>
                </c:pt>
                <c:pt idx="56">
                  <c:v>11-Nov-16</c:v>
                </c:pt>
                <c:pt idx="57">
                  <c:v>10-Nov-16</c:v>
                </c:pt>
                <c:pt idx="58">
                  <c:v>9-Nov-16</c:v>
                </c:pt>
                <c:pt idx="59">
                  <c:v>8-Nov-16</c:v>
                </c:pt>
                <c:pt idx="60">
                  <c:v>7-Nov-16</c:v>
                </c:pt>
                <c:pt idx="61">
                  <c:v>4-Nov-16</c:v>
                </c:pt>
                <c:pt idx="62">
                  <c:v>3-Nov-16</c:v>
                </c:pt>
                <c:pt idx="63">
                  <c:v>2-Nov-16</c:v>
                </c:pt>
                <c:pt idx="64">
                  <c:v>1-Nov-16</c:v>
                </c:pt>
                <c:pt idx="65">
                  <c:v>31-Oct-16</c:v>
                </c:pt>
                <c:pt idx="66">
                  <c:v>28-Oct-16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TKR!$AA$2:$AA$69</c:f>
              <c:numCache>
                <c:formatCode>General</c:formatCode>
                <c:ptCount val="68"/>
                <c:pt idx="0">
                  <c:v>44.2</c:v>
                </c:pt>
                <c:pt idx="1">
                  <c:v>44.75</c:v>
                </c:pt>
                <c:pt idx="2">
                  <c:v>44.4</c:v>
                </c:pt>
                <c:pt idx="3">
                  <c:v>44.75</c:v>
                </c:pt>
                <c:pt idx="4">
                  <c:v>45.4</c:v>
                </c:pt>
                <c:pt idx="5">
                  <c:v>43.95</c:v>
                </c:pt>
                <c:pt idx="6">
                  <c:v>44.7</c:v>
                </c:pt>
                <c:pt idx="7">
                  <c:v>44.15</c:v>
                </c:pt>
                <c:pt idx="8">
                  <c:v>42.55</c:v>
                </c:pt>
                <c:pt idx="9">
                  <c:v>42.95</c:v>
                </c:pt>
                <c:pt idx="10">
                  <c:v>43.35</c:v>
                </c:pt>
                <c:pt idx="11">
                  <c:v>43.85</c:v>
                </c:pt>
                <c:pt idx="12">
                  <c:v>43.8</c:v>
                </c:pt>
                <c:pt idx="13">
                  <c:v>44.2</c:v>
                </c:pt>
                <c:pt idx="14">
                  <c:v>42.85</c:v>
                </c:pt>
                <c:pt idx="15">
                  <c:v>43.35</c:v>
                </c:pt>
                <c:pt idx="16">
                  <c:v>42.35</c:v>
                </c:pt>
                <c:pt idx="17">
                  <c:v>41.6</c:v>
                </c:pt>
                <c:pt idx="18">
                  <c:v>42.15</c:v>
                </c:pt>
                <c:pt idx="19">
                  <c:v>41.5</c:v>
                </c:pt>
                <c:pt idx="20">
                  <c:v>41.45</c:v>
                </c:pt>
                <c:pt idx="21">
                  <c:v>40.950000000000003</c:v>
                </c:pt>
                <c:pt idx="22">
                  <c:v>39.700000000000003</c:v>
                </c:pt>
                <c:pt idx="23">
                  <c:v>39.950000000000003</c:v>
                </c:pt>
                <c:pt idx="24">
                  <c:v>39.950000000000003</c:v>
                </c:pt>
                <c:pt idx="25">
                  <c:v>40.65</c:v>
                </c:pt>
                <c:pt idx="26">
                  <c:v>40.65</c:v>
                </c:pt>
                <c:pt idx="27">
                  <c:v>40.549999999999997</c:v>
                </c:pt>
                <c:pt idx="28">
                  <c:v>40.75</c:v>
                </c:pt>
                <c:pt idx="29">
                  <c:v>40.950000000000003</c:v>
                </c:pt>
                <c:pt idx="30">
                  <c:v>40.1</c:v>
                </c:pt>
                <c:pt idx="31">
                  <c:v>39.65</c:v>
                </c:pt>
                <c:pt idx="32">
                  <c:v>39.5</c:v>
                </c:pt>
                <c:pt idx="33">
                  <c:v>39.4</c:v>
                </c:pt>
                <c:pt idx="34">
                  <c:v>40.15</c:v>
                </c:pt>
                <c:pt idx="35">
                  <c:v>39.85</c:v>
                </c:pt>
                <c:pt idx="36">
                  <c:v>39.299999999999997</c:v>
                </c:pt>
                <c:pt idx="37">
                  <c:v>40.200000000000003</c:v>
                </c:pt>
                <c:pt idx="38">
                  <c:v>39.950000000000003</c:v>
                </c:pt>
                <c:pt idx="39">
                  <c:v>39.1</c:v>
                </c:pt>
                <c:pt idx="40">
                  <c:v>39.15</c:v>
                </c:pt>
                <c:pt idx="41">
                  <c:v>39.450000000000003</c:v>
                </c:pt>
                <c:pt idx="42">
                  <c:v>39.1</c:v>
                </c:pt>
                <c:pt idx="43">
                  <c:v>39.049999999999997</c:v>
                </c:pt>
                <c:pt idx="44">
                  <c:v>38.65</c:v>
                </c:pt>
                <c:pt idx="45">
                  <c:v>39.200000000000003</c:v>
                </c:pt>
                <c:pt idx="46">
                  <c:v>39.6</c:v>
                </c:pt>
                <c:pt idx="47">
                  <c:v>39.549999999999997</c:v>
                </c:pt>
                <c:pt idx="48">
                  <c:v>39.65</c:v>
                </c:pt>
                <c:pt idx="49">
                  <c:v>38.6</c:v>
                </c:pt>
                <c:pt idx="50">
                  <c:v>38.25</c:v>
                </c:pt>
                <c:pt idx="52">
                  <c:v>38.6</c:v>
                </c:pt>
                <c:pt idx="53">
                  <c:v>38.65</c:v>
                </c:pt>
                <c:pt idx="54">
                  <c:v>39.65</c:v>
                </c:pt>
                <c:pt idx="55">
                  <c:v>39.15</c:v>
                </c:pt>
                <c:pt idx="56">
                  <c:v>38.4</c:v>
                </c:pt>
                <c:pt idx="57">
                  <c:v>38.450000000000003</c:v>
                </c:pt>
                <c:pt idx="58">
                  <c:v>36.75</c:v>
                </c:pt>
                <c:pt idx="59">
                  <c:v>33.950000000000003</c:v>
                </c:pt>
                <c:pt idx="60">
                  <c:v>33.75</c:v>
                </c:pt>
                <c:pt idx="61">
                  <c:v>32.299999999999997</c:v>
                </c:pt>
                <c:pt idx="62">
                  <c:v>32</c:v>
                </c:pt>
                <c:pt idx="63">
                  <c:v>32.049999999999997</c:v>
                </c:pt>
                <c:pt idx="64">
                  <c:v>32.6</c:v>
                </c:pt>
                <c:pt idx="65">
                  <c:v>33.049999999999997</c:v>
                </c:pt>
                <c:pt idx="66">
                  <c:v>32.979999999999997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9640672"/>
        <c:axId val="709641064"/>
      </c:lineChart>
      <c:catAx>
        <c:axId val="70964067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9641064"/>
        <c:crosses val="autoZero"/>
        <c:auto val="1"/>
        <c:lblAlgn val="ctr"/>
        <c:lblOffset val="100"/>
        <c:noMultiLvlLbl val="0"/>
      </c:catAx>
      <c:valAx>
        <c:axId val="709641064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9640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UTX!$AA$1</c:f>
              <c:strCache>
                <c:ptCount val="1"/>
                <c:pt idx="0">
                  <c:v>Close</c:v>
                </c:pt>
              </c:strCache>
            </c:strRef>
          </c:tx>
          <c:spPr>
            <a:ln w="31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rgbClr val="FF0000">
                    <a:alpha val="97000"/>
                  </a:srgbClr>
                </a:solidFill>
              </a:ln>
              <a:effectLst/>
            </c:spPr>
          </c:marker>
          <c:cat>
            <c:numRef>
              <c:f>UTX!$W$2:$W$68</c:f>
              <c:numCache>
                <c:formatCode>d\-mmm\-yy</c:formatCode>
                <c:ptCount val="67"/>
                <c:pt idx="0">
                  <c:v>42768</c:v>
                </c:pt>
                <c:pt idx="1">
                  <c:v>42767</c:v>
                </c:pt>
                <c:pt idx="2">
                  <c:v>42766</c:v>
                </c:pt>
                <c:pt idx="3">
                  <c:v>42765</c:v>
                </c:pt>
                <c:pt idx="4">
                  <c:v>42762</c:v>
                </c:pt>
                <c:pt idx="5">
                  <c:v>42761</c:v>
                </c:pt>
                <c:pt idx="6">
                  <c:v>42760</c:v>
                </c:pt>
                <c:pt idx="7">
                  <c:v>42759</c:v>
                </c:pt>
                <c:pt idx="8">
                  <c:v>42758</c:v>
                </c:pt>
                <c:pt idx="9">
                  <c:v>42755</c:v>
                </c:pt>
                <c:pt idx="10">
                  <c:v>42754</c:v>
                </c:pt>
                <c:pt idx="11">
                  <c:v>42753</c:v>
                </c:pt>
                <c:pt idx="12">
                  <c:v>42752</c:v>
                </c:pt>
                <c:pt idx="13">
                  <c:v>42748</c:v>
                </c:pt>
                <c:pt idx="14">
                  <c:v>42747</c:v>
                </c:pt>
                <c:pt idx="15">
                  <c:v>42746</c:v>
                </c:pt>
                <c:pt idx="16">
                  <c:v>42745</c:v>
                </c:pt>
                <c:pt idx="17">
                  <c:v>42744</c:v>
                </c:pt>
                <c:pt idx="18">
                  <c:v>42741</c:v>
                </c:pt>
                <c:pt idx="19">
                  <c:v>42740</c:v>
                </c:pt>
                <c:pt idx="20">
                  <c:v>42739</c:v>
                </c:pt>
                <c:pt idx="21">
                  <c:v>42738</c:v>
                </c:pt>
                <c:pt idx="22">
                  <c:v>42734</c:v>
                </c:pt>
                <c:pt idx="23">
                  <c:v>42733</c:v>
                </c:pt>
                <c:pt idx="24">
                  <c:v>42732</c:v>
                </c:pt>
                <c:pt idx="25">
                  <c:v>42731</c:v>
                </c:pt>
                <c:pt idx="26">
                  <c:v>42727</c:v>
                </c:pt>
                <c:pt idx="27">
                  <c:v>42726</c:v>
                </c:pt>
                <c:pt idx="28">
                  <c:v>42725</c:v>
                </c:pt>
                <c:pt idx="29">
                  <c:v>42724</c:v>
                </c:pt>
                <c:pt idx="30">
                  <c:v>42723</c:v>
                </c:pt>
                <c:pt idx="31">
                  <c:v>42720</c:v>
                </c:pt>
                <c:pt idx="32">
                  <c:v>42719</c:v>
                </c:pt>
                <c:pt idx="33">
                  <c:v>42718</c:v>
                </c:pt>
                <c:pt idx="34">
                  <c:v>42717</c:v>
                </c:pt>
                <c:pt idx="35">
                  <c:v>42716</c:v>
                </c:pt>
                <c:pt idx="36">
                  <c:v>42713</c:v>
                </c:pt>
                <c:pt idx="37">
                  <c:v>42712</c:v>
                </c:pt>
                <c:pt idx="38">
                  <c:v>42711</c:v>
                </c:pt>
                <c:pt idx="39">
                  <c:v>42710</c:v>
                </c:pt>
                <c:pt idx="40">
                  <c:v>42709</c:v>
                </c:pt>
                <c:pt idx="41">
                  <c:v>42706</c:v>
                </c:pt>
                <c:pt idx="42">
                  <c:v>42705</c:v>
                </c:pt>
                <c:pt idx="43">
                  <c:v>42704</c:v>
                </c:pt>
                <c:pt idx="44">
                  <c:v>42703</c:v>
                </c:pt>
                <c:pt idx="45">
                  <c:v>42702</c:v>
                </c:pt>
                <c:pt idx="46">
                  <c:v>42699</c:v>
                </c:pt>
                <c:pt idx="47">
                  <c:v>42697</c:v>
                </c:pt>
                <c:pt idx="48">
                  <c:v>42696</c:v>
                </c:pt>
                <c:pt idx="49">
                  <c:v>42695</c:v>
                </c:pt>
                <c:pt idx="50">
                  <c:v>42692</c:v>
                </c:pt>
                <c:pt idx="51">
                  <c:v>42691</c:v>
                </c:pt>
                <c:pt idx="52">
                  <c:v>42690</c:v>
                </c:pt>
                <c:pt idx="53">
                  <c:v>42690</c:v>
                </c:pt>
                <c:pt idx="54">
                  <c:v>42689</c:v>
                </c:pt>
                <c:pt idx="55">
                  <c:v>42688</c:v>
                </c:pt>
                <c:pt idx="56">
                  <c:v>42685</c:v>
                </c:pt>
                <c:pt idx="57">
                  <c:v>42684</c:v>
                </c:pt>
                <c:pt idx="58">
                  <c:v>42683</c:v>
                </c:pt>
                <c:pt idx="59">
                  <c:v>42682</c:v>
                </c:pt>
                <c:pt idx="60">
                  <c:v>42681</c:v>
                </c:pt>
                <c:pt idx="61">
                  <c:v>42678</c:v>
                </c:pt>
                <c:pt idx="62">
                  <c:v>42677</c:v>
                </c:pt>
                <c:pt idx="63">
                  <c:v>42676</c:v>
                </c:pt>
                <c:pt idx="64">
                  <c:v>42675</c:v>
                </c:pt>
                <c:pt idx="65">
                  <c:v>42674</c:v>
                </c:pt>
                <c:pt idx="66">
                  <c:v>42671</c:v>
                </c:pt>
              </c:numCache>
            </c:numRef>
          </c:cat>
          <c:val>
            <c:numRef>
              <c:f>UTX!$AA$2:$AA$68</c:f>
              <c:numCache>
                <c:formatCode>General</c:formatCode>
                <c:ptCount val="67"/>
                <c:pt idx="0">
                  <c:v>108.36</c:v>
                </c:pt>
                <c:pt idx="1">
                  <c:v>108.18</c:v>
                </c:pt>
                <c:pt idx="2">
                  <c:v>109.67</c:v>
                </c:pt>
                <c:pt idx="3">
                  <c:v>109.17</c:v>
                </c:pt>
                <c:pt idx="4">
                  <c:v>109.7</c:v>
                </c:pt>
                <c:pt idx="5">
                  <c:v>110.36</c:v>
                </c:pt>
                <c:pt idx="6">
                  <c:v>110.96</c:v>
                </c:pt>
                <c:pt idx="7">
                  <c:v>111.61</c:v>
                </c:pt>
                <c:pt idx="8">
                  <c:v>110.34</c:v>
                </c:pt>
                <c:pt idx="9">
                  <c:v>110.79</c:v>
                </c:pt>
                <c:pt idx="10">
                  <c:v>110.73</c:v>
                </c:pt>
                <c:pt idx="11">
                  <c:v>110.42</c:v>
                </c:pt>
                <c:pt idx="12">
                  <c:v>109.97</c:v>
                </c:pt>
                <c:pt idx="13">
                  <c:v>110.22</c:v>
                </c:pt>
                <c:pt idx="14">
                  <c:v>110.82</c:v>
                </c:pt>
                <c:pt idx="15">
                  <c:v>111</c:v>
                </c:pt>
                <c:pt idx="16">
                  <c:v>111.26</c:v>
                </c:pt>
                <c:pt idx="17">
                  <c:v>111.5</c:v>
                </c:pt>
                <c:pt idx="18">
                  <c:v>112.55</c:v>
                </c:pt>
                <c:pt idx="19">
                  <c:v>111.35</c:v>
                </c:pt>
                <c:pt idx="20">
                  <c:v>110.9</c:v>
                </c:pt>
                <c:pt idx="21">
                  <c:v>110.83</c:v>
                </c:pt>
                <c:pt idx="22">
                  <c:v>109.62</c:v>
                </c:pt>
                <c:pt idx="23">
                  <c:v>110.55</c:v>
                </c:pt>
                <c:pt idx="24">
                  <c:v>110.19</c:v>
                </c:pt>
                <c:pt idx="25">
                  <c:v>110.98</c:v>
                </c:pt>
                <c:pt idx="26">
                  <c:v>110.65</c:v>
                </c:pt>
                <c:pt idx="27">
                  <c:v>110.46</c:v>
                </c:pt>
                <c:pt idx="28">
                  <c:v>110.49</c:v>
                </c:pt>
                <c:pt idx="29">
                  <c:v>110.65</c:v>
                </c:pt>
                <c:pt idx="30">
                  <c:v>110.82</c:v>
                </c:pt>
                <c:pt idx="31">
                  <c:v>108.52</c:v>
                </c:pt>
                <c:pt idx="32">
                  <c:v>108.13</c:v>
                </c:pt>
                <c:pt idx="33">
                  <c:v>109.27</c:v>
                </c:pt>
                <c:pt idx="34">
                  <c:v>110.31</c:v>
                </c:pt>
                <c:pt idx="35">
                  <c:v>110.39</c:v>
                </c:pt>
                <c:pt idx="36">
                  <c:v>109.79</c:v>
                </c:pt>
                <c:pt idx="37">
                  <c:v>108.43</c:v>
                </c:pt>
                <c:pt idx="38">
                  <c:v>109.68</c:v>
                </c:pt>
                <c:pt idx="39">
                  <c:v>107.43</c:v>
                </c:pt>
                <c:pt idx="40">
                  <c:v>107.42</c:v>
                </c:pt>
                <c:pt idx="41">
                  <c:v>108.22</c:v>
                </c:pt>
                <c:pt idx="42">
                  <c:v>107.48</c:v>
                </c:pt>
                <c:pt idx="43">
                  <c:v>107.72</c:v>
                </c:pt>
                <c:pt idx="44">
                  <c:v>108.84</c:v>
                </c:pt>
                <c:pt idx="45">
                  <c:v>108.45</c:v>
                </c:pt>
                <c:pt idx="46">
                  <c:v>108.78</c:v>
                </c:pt>
                <c:pt idx="47">
                  <c:v>108.11</c:v>
                </c:pt>
                <c:pt idx="48">
                  <c:v>106.94</c:v>
                </c:pt>
                <c:pt idx="49">
                  <c:v>106.85</c:v>
                </c:pt>
                <c:pt idx="50">
                  <c:v>106.5</c:v>
                </c:pt>
                <c:pt idx="51">
                  <c:v>106.7</c:v>
                </c:pt>
                <c:pt idx="52">
                  <c:v>106.96</c:v>
                </c:pt>
                <c:pt idx="54">
                  <c:v>107.68</c:v>
                </c:pt>
                <c:pt idx="55">
                  <c:v>107.86</c:v>
                </c:pt>
                <c:pt idx="56">
                  <c:v>108.86</c:v>
                </c:pt>
                <c:pt idx="57">
                  <c:v>108.41</c:v>
                </c:pt>
                <c:pt idx="58">
                  <c:v>104.81</c:v>
                </c:pt>
                <c:pt idx="59">
                  <c:v>103.37</c:v>
                </c:pt>
                <c:pt idx="60">
                  <c:v>103.05</c:v>
                </c:pt>
                <c:pt idx="61">
                  <c:v>101.33</c:v>
                </c:pt>
                <c:pt idx="62">
                  <c:v>101.05</c:v>
                </c:pt>
                <c:pt idx="63">
                  <c:v>101.54</c:v>
                </c:pt>
                <c:pt idx="64">
                  <c:v>102.01</c:v>
                </c:pt>
                <c:pt idx="65">
                  <c:v>102.2</c:v>
                </c:pt>
                <c:pt idx="66">
                  <c:v>101.84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9643024"/>
        <c:axId val="709643416"/>
      </c:lineChart>
      <c:dateAx>
        <c:axId val="70964302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9643416"/>
        <c:crosses val="autoZero"/>
        <c:auto val="1"/>
        <c:lblOffset val="100"/>
        <c:baseTimeUnit val="days"/>
      </c:dateAx>
      <c:valAx>
        <c:axId val="709643416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96430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42768</c:v>
                </c:pt>
                <c:pt idx="1">
                  <c:v>42767</c:v>
                </c:pt>
                <c:pt idx="2">
                  <c:v>42766</c:v>
                </c:pt>
                <c:pt idx="3">
                  <c:v>42765</c:v>
                </c:pt>
                <c:pt idx="4">
                  <c:v>42762</c:v>
                </c:pt>
                <c:pt idx="5">
                  <c:v>42761</c:v>
                </c:pt>
                <c:pt idx="6">
                  <c:v>42760</c:v>
                </c:pt>
                <c:pt idx="7">
                  <c:v>42759</c:v>
                </c:pt>
                <c:pt idx="8">
                  <c:v>42758</c:v>
                </c:pt>
                <c:pt idx="9">
                  <c:v>42755</c:v>
                </c:pt>
                <c:pt idx="10">
                  <c:v>42754</c:v>
                </c:pt>
                <c:pt idx="11">
                  <c:v>42753</c:v>
                </c:pt>
                <c:pt idx="12">
                  <c:v>42752</c:v>
                </c:pt>
                <c:pt idx="13">
                  <c:v>42748</c:v>
                </c:pt>
                <c:pt idx="14">
                  <c:v>42747</c:v>
                </c:pt>
                <c:pt idx="15">
                  <c:v>42746</c:v>
                </c:pt>
                <c:pt idx="16">
                  <c:v>42745</c:v>
                </c:pt>
                <c:pt idx="17">
                  <c:v>42744</c:v>
                </c:pt>
                <c:pt idx="18">
                  <c:v>42741</c:v>
                </c:pt>
                <c:pt idx="19">
                  <c:v>42740</c:v>
                </c:pt>
                <c:pt idx="20">
                  <c:v>42739</c:v>
                </c:pt>
                <c:pt idx="21">
                  <c:v>42738</c:v>
                </c:pt>
                <c:pt idx="22">
                  <c:v>42734</c:v>
                </c:pt>
                <c:pt idx="23">
                  <c:v>42733</c:v>
                </c:pt>
                <c:pt idx="24">
                  <c:v>42732</c:v>
                </c:pt>
                <c:pt idx="25">
                  <c:v>42731</c:v>
                </c:pt>
                <c:pt idx="26">
                  <c:v>42727</c:v>
                </c:pt>
                <c:pt idx="27">
                  <c:v>42726</c:v>
                </c:pt>
                <c:pt idx="28">
                  <c:v>42725</c:v>
                </c:pt>
                <c:pt idx="29">
                  <c:v>42724</c:v>
                </c:pt>
                <c:pt idx="30">
                  <c:v>42723</c:v>
                </c:pt>
                <c:pt idx="31">
                  <c:v>42720</c:v>
                </c:pt>
                <c:pt idx="32">
                  <c:v>42719</c:v>
                </c:pt>
                <c:pt idx="33">
                  <c:v>42718</c:v>
                </c:pt>
                <c:pt idx="34">
                  <c:v>42717</c:v>
                </c:pt>
                <c:pt idx="35">
                  <c:v>42716</c:v>
                </c:pt>
                <c:pt idx="36">
                  <c:v>42713</c:v>
                </c:pt>
                <c:pt idx="37">
                  <c:v>42712</c:v>
                </c:pt>
                <c:pt idx="38">
                  <c:v>42711</c:v>
                </c:pt>
                <c:pt idx="39">
                  <c:v>42710</c:v>
                </c:pt>
                <c:pt idx="40">
                  <c:v>42709</c:v>
                </c:pt>
                <c:pt idx="41">
                  <c:v>42706</c:v>
                </c:pt>
                <c:pt idx="42">
                  <c:v>42705</c:v>
                </c:pt>
                <c:pt idx="43">
                  <c:v>42704</c:v>
                </c:pt>
                <c:pt idx="44">
                  <c:v>42704</c:v>
                </c:pt>
                <c:pt idx="45">
                  <c:v>42703</c:v>
                </c:pt>
                <c:pt idx="46">
                  <c:v>42702</c:v>
                </c:pt>
                <c:pt idx="47">
                  <c:v>42699</c:v>
                </c:pt>
                <c:pt idx="48">
                  <c:v>42697</c:v>
                </c:pt>
                <c:pt idx="49">
                  <c:v>42696</c:v>
                </c:pt>
                <c:pt idx="50">
                  <c:v>42695</c:v>
                </c:pt>
                <c:pt idx="51">
                  <c:v>42692</c:v>
                </c:pt>
                <c:pt idx="52">
                  <c:v>42691</c:v>
                </c:pt>
                <c:pt idx="53">
                  <c:v>42690</c:v>
                </c:pt>
                <c:pt idx="54">
                  <c:v>42689</c:v>
                </c:pt>
                <c:pt idx="55">
                  <c:v>42688</c:v>
                </c:pt>
                <c:pt idx="56">
                  <c:v>42685</c:v>
                </c:pt>
                <c:pt idx="57">
                  <c:v>42684</c:v>
                </c:pt>
                <c:pt idx="58">
                  <c:v>42683</c:v>
                </c:pt>
                <c:pt idx="59">
                  <c:v>42682</c:v>
                </c:pt>
                <c:pt idx="60">
                  <c:v>42681</c:v>
                </c:pt>
                <c:pt idx="61">
                  <c:v>42678</c:v>
                </c:pt>
                <c:pt idx="62">
                  <c:v>42677</c:v>
                </c:pt>
                <c:pt idx="63">
                  <c:v>42676</c:v>
                </c:pt>
                <c:pt idx="64">
                  <c:v>42675</c:v>
                </c:pt>
                <c:pt idx="65">
                  <c:v>42674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160.76</c:v>
                </c:pt>
                <c:pt idx="1">
                  <c:v>162.71</c:v>
                </c:pt>
                <c:pt idx="2">
                  <c:v>162.1</c:v>
                </c:pt>
                <c:pt idx="3">
                  <c:v>162.09</c:v>
                </c:pt>
                <c:pt idx="4">
                  <c:v>162.99</c:v>
                </c:pt>
                <c:pt idx="5">
                  <c:v>162.75</c:v>
                </c:pt>
                <c:pt idx="6">
                  <c:v>161.24</c:v>
                </c:pt>
                <c:pt idx="7">
                  <c:v>160.43</c:v>
                </c:pt>
                <c:pt idx="8">
                  <c:v>159.07</c:v>
                </c:pt>
                <c:pt idx="9">
                  <c:v>158.66</c:v>
                </c:pt>
                <c:pt idx="10">
                  <c:v>158.69999999999999</c:v>
                </c:pt>
                <c:pt idx="11">
                  <c:v>157.74</c:v>
                </c:pt>
                <c:pt idx="12">
                  <c:v>160.66</c:v>
                </c:pt>
                <c:pt idx="13">
                  <c:v>161.80000000000001</c:v>
                </c:pt>
                <c:pt idx="14">
                  <c:v>162.36000000000001</c:v>
                </c:pt>
                <c:pt idx="15">
                  <c:v>161.88999999999999</c:v>
                </c:pt>
                <c:pt idx="16">
                  <c:v>161.58000000000001</c:v>
                </c:pt>
                <c:pt idx="17">
                  <c:v>161.94999999999999</c:v>
                </c:pt>
                <c:pt idx="18">
                  <c:v>162.41</c:v>
                </c:pt>
                <c:pt idx="19">
                  <c:v>162.18</c:v>
                </c:pt>
                <c:pt idx="20">
                  <c:v>161.91</c:v>
                </c:pt>
                <c:pt idx="21">
                  <c:v>161.44999999999999</c:v>
                </c:pt>
                <c:pt idx="22">
                  <c:v>160.04</c:v>
                </c:pt>
                <c:pt idx="23">
                  <c:v>161.04</c:v>
                </c:pt>
                <c:pt idx="24">
                  <c:v>161.44</c:v>
                </c:pt>
                <c:pt idx="25">
                  <c:v>162.63999999999999</c:v>
                </c:pt>
                <c:pt idx="26">
                  <c:v>163.03</c:v>
                </c:pt>
                <c:pt idx="27">
                  <c:v>161.58000000000001</c:v>
                </c:pt>
                <c:pt idx="28">
                  <c:v>161.33000000000001</c:v>
                </c:pt>
                <c:pt idx="29">
                  <c:v>161.59</c:v>
                </c:pt>
                <c:pt idx="30">
                  <c:v>161.54</c:v>
                </c:pt>
                <c:pt idx="31">
                  <c:v>163.94</c:v>
                </c:pt>
                <c:pt idx="32">
                  <c:v>160.62</c:v>
                </c:pt>
                <c:pt idx="33">
                  <c:v>159.86000000000001</c:v>
                </c:pt>
                <c:pt idx="34">
                  <c:v>160.54</c:v>
                </c:pt>
                <c:pt idx="35">
                  <c:v>159.49</c:v>
                </c:pt>
                <c:pt idx="36">
                  <c:v>160.12</c:v>
                </c:pt>
                <c:pt idx="37">
                  <c:v>159.32</c:v>
                </c:pt>
                <c:pt idx="38">
                  <c:v>159.4</c:v>
                </c:pt>
                <c:pt idx="39">
                  <c:v>157.32</c:v>
                </c:pt>
                <c:pt idx="40">
                  <c:v>157.63</c:v>
                </c:pt>
                <c:pt idx="41">
                  <c:v>160.72999999999999</c:v>
                </c:pt>
                <c:pt idx="42">
                  <c:v>160.94</c:v>
                </c:pt>
                <c:pt idx="43">
                  <c:v>158.32</c:v>
                </c:pt>
                <c:pt idx="45">
                  <c:v>157.59</c:v>
                </c:pt>
                <c:pt idx="46">
                  <c:v>152.11000000000001</c:v>
                </c:pt>
                <c:pt idx="47">
                  <c:v>152.81</c:v>
                </c:pt>
                <c:pt idx="48">
                  <c:v>153.54</c:v>
                </c:pt>
                <c:pt idx="49">
                  <c:v>152.26</c:v>
                </c:pt>
                <c:pt idx="50">
                  <c:v>150.41</c:v>
                </c:pt>
                <c:pt idx="51">
                  <c:v>149.44999999999999</c:v>
                </c:pt>
                <c:pt idx="52">
                  <c:v>150.77000000000001</c:v>
                </c:pt>
                <c:pt idx="53">
                  <c:v>151.5</c:v>
                </c:pt>
                <c:pt idx="54">
                  <c:v>152.22999999999999</c:v>
                </c:pt>
                <c:pt idx="55">
                  <c:v>152.28</c:v>
                </c:pt>
                <c:pt idx="56">
                  <c:v>146.41999999999999</c:v>
                </c:pt>
                <c:pt idx="57">
                  <c:v>146.13</c:v>
                </c:pt>
                <c:pt idx="58">
                  <c:v>141.9</c:v>
                </c:pt>
                <c:pt idx="59">
                  <c:v>142.9</c:v>
                </c:pt>
                <c:pt idx="60">
                  <c:v>141.93</c:v>
                </c:pt>
                <c:pt idx="61">
                  <c:v>137.71</c:v>
                </c:pt>
                <c:pt idx="62">
                  <c:v>137.83000000000001</c:v>
                </c:pt>
                <c:pt idx="63">
                  <c:v>138.97999999999999</c:v>
                </c:pt>
                <c:pt idx="64">
                  <c:v>139.43</c:v>
                </c:pt>
                <c:pt idx="65">
                  <c:v>141.33000000000001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9645376"/>
        <c:axId val="709645768"/>
      </c:lineChart>
      <c:dateAx>
        <c:axId val="70964537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9645768"/>
        <c:crosses val="autoZero"/>
        <c:auto val="1"/>
        <c:lblOffset val="100"/>
        <c:baseTimeUnit val="days"/>
      </c:dateAx>
      <c:valAx>
        <c:axId val="709645768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9645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gif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9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14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1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image" Target="../media/image4.gif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24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28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28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2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32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6.xml"/></Relationships>
</file>

<file path=xl/drawings/_rels/drawing33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7.xml"/></Relationships>
</file>

<file path=xl/drawings/_rels/drawing34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8.xml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_rels/drawing37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41.xml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2.xml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3.xml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4.xml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5.xml"/></Relationships>
</file>

<file path=xl/drawings/_rels/drawing42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46.xml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7.xml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8.xml"/></Relationships>
</file>

<file path=xl/drawings/_rels/drawing45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49.xml"/></Relationships>
</file>

<file path=xl/drawings/_rels/drawing4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0.xml"/></Relationships>
</file>

<file path=xl/drawings/_rels/drawing4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1.xml"/></Relationships>
</file>

<file path=xl/drawings/_rels/drawing4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2.xml"/></Relationships>
</file>

<file path=xl/drawings/_rels/drawing4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3.xml"/></Relationships>
</file>

<file path=xl/drawings/_rels/drawing50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54.xml"/></Relationships>
</file>

<file path=xl/drawings/_rels/drawing5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5.xml"/></Relationships>
</file>

<file path=xl/drawings/_rels/drawing5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6.xml"/></Relationships>
</file>

<file path=xl/drawings/_rels/drawing5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7.xml"/></Relationships>
</file>

<file path=xl/drawings/_rels/drawing54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58.xml"/></Relationships>
</file>

<file path=xl/drawings/_rels/drawing5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9.xml"/></Relationships>
</file>

<file path=xl/drawings/_rels/drawing5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0.xml"/></Relationships>
</file>

<file path=xl/drawings/_rels/drawing57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61.xml"/></Relationships>
</file>

<file path=xl/drawings/_rels/drawing58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62.xml"/></Relationships>
</file>

<file path=xl/drawings/_rels/drawing59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63.xml"/></Relationships>
</file>

<file path=xl/drawings/_rels/drawing60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6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18</xdr:row>
      <xdr:rowOff>200025</xdr:rowOff>
    </xdr:from>
    <xdr:to>
      <xdr:col>2</xdr:col>
      <xdr:colOff>504825</xdr:colOff>
      <xdr:row>22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5172075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133350</xdr:colOff>
      <xdr:row>2</xdr:row>
      <xdr:rowOff>266700</xdr:rowOff>
    </xdr:from>
    <xdr:to>
      <xdr:col>2</xdr:col>
      <xdr:colOff>495300</xdr:colOff>
      <xdr:row>8</xdr:row>
      <xdr:rowOff>85725</xdr:rowOff>
    </xdr:to>
    <xdr:pic macro="[0]!downloa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" y="8191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171450</xdr:colOff>
      <xdr:row>10</xdr:row>
      <xdr:rowOff>238126</xdr:rowOff>
    </xdr:from>
    <xdr:to>
      <xdr:col>2</xdr:col>
      <xdr:colOff>409574</xdr:colOff>
      <xdr:row>15</xdr:row>
      <xdr:rowOff>209550</xdr:rowOff>
    </xdr:to>
    <xdr:pic macro="[0]!ComputeTradabl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71450" y="3000376"/>
          <a:ext cx="1352549" cy="1352549"/>
        </a:xfrm>
        <a:prstGeom prst="rect">
          <a:avLst/>
        </a:prstGeom>
        <a:pattFill prst="pct75">
          <a:fgClr>
            <a:schemeClr val="accent1"/>
          </a:fgClr>
          <a:bgClr>
            <a:schemeClr val="accent1">
              <a:lumMod val="60000"/>
              <a:lumOff val="40000"/>
            </a:schemeClr>
          </a:bgClr>
        </a:pattFill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165</xdr:row>
      <xdr:rowOff>0</xdr:rowOff>
    </xdr:from>
    <xdr:to>
      <xdr:col>14</xdr:col>
      <xdr:colOff>9525</xdr:colOff>
      <xdr:row>165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300037</xdr:colOff>
      <xdr:row>30</xdr:row>
      <xdr:rowOff>9525</xdr:rowOff>
    </xdr:from>
    <xdr:to>
      <xdr:col>40</xdr:col>
      <xdr:colOff>561975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24</xdr:col>
      <xdr:colOff>266700</xdr:colOff>
      <xdr:row>15</xdr:row>
      <xdr:rowOff>47625</xdr:rowOff>
    </xdr:from>
    <xdr:to>
      <xdr:col>40</xdr:col>
      <xdr:colOff>542925</xdr:colOff>
      <xdr:row>30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24</xdr:col>
      <xdr:colOff>276225</xdr:colOff>
      <xdr:row>0</xdr:row>
      <xdr:rowOff>28575</xdr:rowOff>
    </xdr:from>
    <xdr:to>
      <xdr:col>40</xdr:col>
      <xdr:colOff>561975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24</xdr:col>
      <xdr:colOff>323850</xdr:colOff>
      <xdr:row>45</xdr:row>
      <xdr:rowOff>114300</xdr:rowOff>
    </xdr:from>
    <xdr:to>
      <xdr:col>41</xdr:col>
      <xdr:colOff>13607</xdr:colOff>
      <xdr:row>63</xdr:row>
      <xdr:rowOff>68036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24</xdr:col>
      <xdr:colOff>323850</xdr:colOff>
      <xdr:row>63</xdr:row>
      <xdr:rowOff>219075</xdr:rowOff>
    </xdr:from>
    <xdr:to>
      <xdr:col>41</xdr:col>
      <xdr:colOff>13607</xdr:colOff>
      <xdr:row>81</xdr:row>
      <xdr:rowOff>172811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24</xdr:col>
      <xdr:colOff>304800</xdr:colOff>
      <xdr:row>82</xdr:row>
      <xdr:rowOff>123825</xdr:rowOff>
    </xdr:from>
    <xdr:to>
      <xdr:col>40</xdr:col>
      <xdr:colOff>604157</xdr:colOff>
      <xdr:row>100</xdr:row>
      <xdr:rowOff>77561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24</xdr:col>
      <xdr:colOff>323850</xdr:colOff>
      <xdr:row>100</xdr:row>
      <xdr:rowOff>161925</xdr:rowOff>
    </xdr:from>
    <xdr:to>
      <xdr:col>41</xdr:col>
      <xdr:colOff>13607</xdr:colOff>
      <xdr:row>118</xdr:row>
      <xdr:rowOff>115661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266700</xdr:colOff>
      <xdr:row>13</xdr:row>
      <xdr:rowOff>142875</xdr:rowOff>
    </xdr:from>
    <xdr:to>
      <xdr:col>21</xdr:col>
      <xdr:colOff>1619250</xdr:colOff>
      <xdr:row>38</xdr:row>
      <xdr:rowOff>180974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514349</xdr:colOff>
      <xdr:row>12</xdr:row>
      <xdr:rowOff>104780</xdr:rowOff>
    </xdr:from>
    <xdr:to>
      <xdr:col>20</xdr:col>
      <xdr:colOff>2047874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390524</xdr:colOff>
      <xdr:row>11</xdr:row>
      <xdr:rowOff>171455</xdr:rowOff>
    </xdr:from>
    <xdr:to>
      <xdr:col>20</xdr:col>
      <xdr:colOff>1819274</xdr:colOff>
      <xdr:row>38</xdr:row>
      <xdr:rowOff>28574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219075</xdr:colOff>
      <xdr:row>11</xdr:row>
      <xdr:rowOff>142875</xdr:rowOff>
    </xdr:from>
    <xdr:to>
      <xdr:col>20</xdr:col>
      <xdr:colOff>1190625</xdr:colOff>
      <xdr:row>37</xdr:row>
      <xdr:rowOff>95249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571500</xdr:colOff>
      <xdr:row>15</xdr:row>
      <xdr:rowOff>47626</xdr:rowOff>
    </xdr:from>
    <xdr:to>
      <xdr:col>21</xdr:col>
      <xdr:colOff>133350</xdr:colOff>
      <xdr:row>39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219074</xdr:colOff>
      <xdr:row>12</xdr:row>
      <xdr:rowOff>57155</xdr:rowOff>
    </xdr:from>
    <xdr:to>
      <xdr:col>20</xdr:col>
      <xdr:colOff>666749</xdr:colOff>
      <xdr:row>38</xdr:row>
      <xdr:rowOff>104774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219074</xdr:colOff>
      <xdr:row>12</xdr:row>
      <xdr:rowOff>57155</xdr:rowOff>
    </xdr:from>
    <xdr:to>
      <xdr:col>20</xdr:col>
      <xdr:colOff>666749</xdr:colOff>
      <xdr:row>38</xdr:row>
      <xdr:rowOff>104774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504825</xdr:colOff>
      <xdr:row>16</xdr:row>
      <xdr:rowOff>28576</xdr:rowOff>
    </xdr:from>
    <xdr:to>
      <xdr:col>21</xdr:col>
      <xdr:colOff>66675</xdr:colOff>
      <xdr:row>39</xdr:row>
      <xdr:rowOff>171450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123823</xdr:rowOff>
    </xdr:from>
    <xdr:to>
      <xdr:col>20</xdr:col>
      <xdr:colOff>1885950</xdr:colOff>
      <xdr:row>38</xdr:row>
      <xdr:rowOff>123824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447675</xdr:colOff>
      <xdr:row>16</xdr:row>
      <xdr:rowOff>61912</xdr:rowOff>
    </xdr:from>
    <xdr:to>
      <xdr:col>21</xdr:col>
      <xdr:colOff>276225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5344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15</xdr:row>
      <xdr:rowOff>161926</xdr:rowOff>
    </xdr:from>
    <xdr:to>
      <xdr:col>21</xdr:col>
      <xdr:colOff>266700</xdr:colOff>
      <xdr:row>39</xdr:row>
      <xdr:rowOff>161926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152400</xdr:colOff>
      <xdr:row>13</xdr:row>
      <xdr:rowOff>38100</xdr:rowOff>
    </xdr:from>
    <xdr:to>
      <xdr:col>20</xdr:col>
      <xdr:colOff>1162050</xdr:colOff>
      <xdr:row>35</xdr:row>
      <xdr:rowOff>38100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542925</xdr:colOff>
      <xdr:row>13</xdr:row>
      <xdr:rowOff>4761</xdr:rowOff>
    </xdr:from>
    <xdr:to>
      <xdr:col>20</xdr:col>
      <xdr:colOff>2047875</xdr:colOff>
      <xdr:row>36</xdr:row>
      <xdr:rowOff>142874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52386</xdr:colOff>
      <xdr:row>13</xdr:row>
      <xdr:rowOff>38101</xdr:rowOff>
    </xdr:from>
    <xdr:to>
      <xdr:col>21</xdr:col>
      <xdr:colOff>952500</xdr:colOff>
      <xdr:row>37</xdr:row>
      <xdr:rowOff>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114299</xdr:colOff>
      <xdr:row>14</xdr:row>
      <xdr:rowOff>161925</xdr:rowOff>
    </xdr:from>
    <xdr:to>
      <xdr:col>20</xdr:col>
      <xdr:colOff>1171574</xdr:colOff>
      <xdr:row>36</xdr:row>
      <xdr:rowOff>19049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238124</xdr:colOff>
      <xdr:row>12</xdr:row>
      <xdr:rowOff>38105</xdr:rowOff>
    </xdr:from>
    <xdr:to>
      <xdr:col>21</xdr:col>
      <xdr:colOff>304800</xdr:colOff>
      <xdr:row>38</xdr:row>
      <xdr:rowOff>85724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47624</xdr:colOff>
      <xdr:row>12</xdr:row>
      <xdr:rowOff>133355</xdr:rowOff>
    </xdr:from>
    <xdr:to>
      <xdr:col>20</xdr:col>
      <xdr:colOff>1200149</xdr:colOff>
      <xdr:row>38</xdr:row>
      <xdr:rowOff>180974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52386</xdr:colOff>
      <xdr:row>13</xdr:row>
      <xdr:rowOff>38101</xdr:rowOff>
    </xdr:from>
    <xdr:to>
      <xdr:col>21</xdr:col>
      <xdr:colOff>952500</xdr:colOff>
      <xdr:row>37</xdr:row>
      <xdr:rowOff>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3335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905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48700" y="1905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438150</xdr:colOff>
      <xdr:row>13</xdr:row>
      <xdr:rowOff>157162</xdr:rowOff>
    </xdr:from>
    <xdr:to>
      <xdr:col>20</xdr:col>
      <xdr:colOff>1123950</xdr:colOff>
      <xdr:row>37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21</xdr:col>
      <xdr:colOff>2162175</xdr:colOff>
      <xdr:row>38</xdr:row>
      <xdr:rowOff>142875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9525</xdr:rowOff>
    </xdr:from>
    <xdr:to>
      <xdr:col>21</xdr:col>
      <xdr:colOff>19050</xdr:colOff>
      <xdr:row>38</xdr:row>
      <xdr:rowOff>76201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9524</xdr:rowOff>
    </xdr:from>
    <xdr:to>
      <xdr:col>21</xdr:col>
      <xdr:colOff>19050</xdr:colOff>
      <xdr:row>38</xdr:row>
      <xdr:rowOff>85725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19049</xdr:colOff>
      <xdr:row>14</xdr:row>
      <xdr:rowOff>138111</xdr:rowOff>
    </xdr:from>
    <xdr:to>
      <xdr:col>21</xdr:col>
      <xdr:colOff>114299</xdr:colOff>
      <xdr:row>37</xdr:row>
      <xdr:rowOff>9524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6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hp?s=BIIB" backgroundRefresh="0" adjustColumnWidth="0" connectionId="25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q?s=BIIB" backgroundRefresh="0" adjustColumnWidth="0" connectionId="24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hp?s=MYL" backgroundRefresh="0" adjustColumnWidth="0" connectionId="85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MYL" backgroundRefresh="0" connectionId="86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q?s=SIG" backgroundRefresh="0" connectionId="99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hp?s=SIG" backgroundRefresh="0" adjustColumnWidth="0" connectionId="16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q?s=AAPL" backgroundRefresh="0" connectionId="93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hp?s=AAPL" backgroundRefresh="0" adjustColumnWidth="0" connectionId="3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hp?s=AXP+Historical+Prices" backgroundRefresh="0" adjustColumnWidth="0" connectionId="48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AXP" backgroundRefresh="0" connectionId="81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q?s=dg" backgroundRefresh="0" connectionId="101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hp?s=dg" backgroundRefresh="0" adjustColumnWidth="0" connectionId="102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hp?s=pinc" backgroundRefresh="0" adjustColumnWidth="0" connectionId="106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q?s=pinc" backgroundRefresh="0" connectionId="107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hp?s=foxa" backgroundRefresh="0" adjustColumnWidth="0" connectionId="103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q?s=foxa" backgroundRefresh="0" connectionId="105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q?s=swhc" backgroundRefresh="0" connectionId="4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hp?s=swhc" backgroundRefresh="0" adjustColumnWidth="0" connectionId="114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q?s=luv&amp;ql=1" backgroundRefresh="0" connectionId="95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hp?s=LUV" backgroundRefresh="0" adjustColumnWidth="0" connectionId="94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hp?s=cce" backgroundRefresh="0" adjustColumnWidth="0" connectionId="9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q?s=cce" backgroundRefresh="0" adjustColumnWidth="0" connectionId="8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hp?s=AKAM+Historical+Prices" backgroundRefresh="0" adjustColumnWidth="0" connectionId="97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q?s=BMY_1" backgroundRefresh="0" connectionId="5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q?s=AKAM" backgroundRefresh="0" connectionId="98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hp?s=AKAM+Historical+Prices" backgroundRefresh="0" adjustColumnWidth="0" connectionId="96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q?s=cvs" backgroundRefresh="0" connectionId="113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hp?s=cvs" backgroundRefresh="0" adjustColumnWidth="0" connectionId="112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q?s=mro" backgroundRefresh="0" connectionId="100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hp?s=MRO" backgroundRefresh="0" adjustColumnWidth="0" connectionId="14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q?s=KR" backgroundRefresh="0" connectionId="28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hp?s=KR" backgroundRefresh="0" adjustColumnWidth="0" connectionId="29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hp?s=F" backgroundRefresh="0" adjustColumnWidth="0" connectionId="75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q?s=F" backgroundRefresh="0" adjustColumnWidth="0" connectionId="76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q?s=JNJ" backgroundRefresh="0" connectionId="111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hp?s=jnj" backgroundRefresh="0" adjustColumnWidth="0" connectionId="110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q?s=CPN" backgroundRefresh="0" connectionId="45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hp?s=CPN+Historical+Prices" backgroundRefresh="0" adjustColumnWidth="0" connectionId="57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ew" backgroundRefresh="0" adjustColumnWidth="0" connectionId="6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hp?s=ew+Historical+Prices" backgroundRefresh="0" adjustColumnWidth="0" connectionId="7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q?s=NKE" backgroundRefresh="0" connectionId="19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hp?s=nke" backgroundRefresh="0" adjustColumnWidth="0" connectionId="20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q?s=MOS" backgroundRefresh="0" connectionId="49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hp?s=MOS+Historical+Prices" backgroundRefresh="0" adjustColumnWidth="0" connectionId="80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hp?s=vgk" backgroundRefresh="0" connectionId="89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q?s=vgk" backgroundRefresh="0" connectionId="91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q?s=vgk" backgroundRefresh="0" connectionId="90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hp?s=vgk" backgroundRefresh="0" connectionId="88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hp?s=MU" backgroundRefresh="0" adjustColumnWidth="0" connectionId="15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q?s=MU" backgroundRefresh="0" connectionId="82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q?s=IP" backgroundRefresh="0" connectionId="60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hp?s=IP" backgroundRefresh="0" adjustColumnWidth="0" connectionId="66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hp?s=INTC+Historical+Prices" backgroundRefresh="0" adjustColumnWidth="0" connectionId="34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q?s=INTC" backgroundRefresh="0" connectionId="23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q?s=HES" backgroundRefresh="0" connectionId="92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hp?s=HES" backgroundRefresh="0" adjustColumnWidth="0" connectionId="104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q?s=NSC" backgroundRefresh="0" adjustColumnWidth="0" connectionId="17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hp?s=UNP" backgroundRefresh="0" adjustColumnWidth="0" connectionId="18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hp?s=nclh" backgroundRefresh="0" adjustColumnWidth="0" connectionId="108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q?s=nclh" backgroundRefresh="0" connectionId="109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q?s=SPY" backgroundRefresh="0" connectionId="84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hp?s=SPY+Historical+Prices" backgroundRefresh="0" adjustColumnWidth="0" connectionId="77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q?s=SWKS" backgroundRefresh="0" connectionId="71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hp?s=SWKS" backgroundRefresh="0" adjustColumnWidth="0" connectionId="70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q?s=CNI" backgroundRefresh="0" adjustColumnWidth="0" connectionId="62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hp?s=CNI" backgroundRefresh="0" adjustColumnWidth="0" connectionId="63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hp?s=WFC" backgroundRefresh="0" adjustColumnWidth="0" connectionId="72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q?s=WFC" backgroundRefresh="0" connectionId="73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q?s=KATE" backgroundRefresh="0" adjustColumnWidth="0" connectionId="41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hp?s=KATE" backgroundRefresh="0" adjustColumnWidth="0" connectionId="42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q?s=CF" backgroundRefresh="0" connectionId="50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hp?s=CF&amp;a=00&amp;b=1&amp;c=2016&amp;d=06&amp;e=1&amp;f=2016&amp;g=d" backgroundRefresh="0" adjustColumnWidth="0" connectionId="87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hp?s=tgt" backgroundRefresh="0" adjustColumnWidth="0" connectionId="13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q?s=tgt" backgroundRefresh="0" adjustColumnWidth="0" connectionId="12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hp?s=NWL" backgroundRefresh="0" adjustColumnWidth="0" connectionId="67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q?s=NWL" backgroundRefresh="0" connectionId="69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hp?s=KORS" backgroundRefresh="0" adjustColumnWidth="0" connectionId="44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q?s=KORS" backgroundRefresh="0" adjustColumnWidth="0" connectionId="43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hp?s=ALL+Historical+Prices" backgroundRefresh="0" adjustColumnWidth="0" connectionId="79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name="q?s=ALL" backgroundRefresh="0" connectionId="68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name="hp?s=NSC" backgroundRefresh="0" adjustColumnWidth="0" connectionId="22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name="q?s=nsc" backgroundRefresh="0" adjustColumnWidth="0" connectionId="21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name="hp?s=AVGO" backgroundRefresh="0" adjustColumnWidth="0" connectionId="33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name="q?s=AVGO" backgroundRefresh="0" adjustColumnWidth="0" connectionId="32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name="q?s=UAL" connectionId="31" autoFormatId="16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name="hp?s=ual" backgroundRefresh="0" adjustColumnWidth="0" connectionId="30" autoFormatId="16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name="q?s=CAH" backgroundRefresh="0" connectionId="47" autoFormatId="16" applyNumberFormats="0" applyBorderFormats="0" applyFontFormats="1" applyPatternFormats="1" applyAlignmentFormats="0" applyWidthHeightFormats="0"/>
</file>

<file path=xl/queryTables/queryTable90.xml><?xml version="1.0" encoding="utf-8"?>
<queryTable xmlns="http://schemas.openxmlformats.org/spreadsheetml/2006/main" name="hp?s=CAH" backgroundRefresh="0" adjustColumnWidth="0" connectionId="46" autoFormatId="16" applyNumberFormats="0" applyBorderFormats="0" applyFontFormats="1" applyPatternFormats="1" applyAlignmentFormats="0" applyWidthHeightFormats="0"/>
</file>

<file path=xl/queryTables/queryTable91.xml><?xml version="1.0" encoding="utf-8"?>
<queryTable xmlns="http://schemas.openxmlformats.org/spreadsheetml/2006/main" name="hp?s=DAL" backgroundRefresh="0" adjustColumnWidth="0" connectionId="65" autoFormatId="16" applyNumberFormats="0" applyBorderFormats="0" applyFontFormats="1" applyPatternFormats="1" applyAlignmentFormats="0" applyWidthHeightFormats="0"/>
</file>

<file path=xl/queryTables/queryTable92.xml><?xml version="1.0" encoding="utf-8"?>
<queryTable xmlns="http://schemas.openxmlformats.org/spreadsheetml/2006/main" name="q?s=DAL" backgroundRefresh="0" adjustColumnWidth="0" connectionId="74" autoFormatId="16" applyNumberFormats="0" applyBorderFormats="0" applyFontFormats="1" applyPatternFormats="1" applyAlignmentFormats="0" applyWidthHeightFormats="0"/>
</file>

<file path=xl/queryTables/queryTable93.xml><?xml version="1.0" encoding="utf-8"?>
<queryTable xmlns="http://schemas.openxmlformats.org/spreadsheetml/2006/main" name="q?s=teva" backgroundRefresh="0" adjustColumnWidth="0" connectionId="11" autoFormatId="16" applyNumberFormats="0" applyBorderFormats="0" applyFontFormats="1" applyPatternFormats="1" applyAlignmentFormats="0" applyWidthHeightFormats="0"/>
</file>

<file path=xl/queryTables/queryTable94.xml><?xml version="1.0" encoding="utf-8"?>
<queryTable xmlns="http://schemas.openxmlformats.org/spreadsheetml/2006/main" name="hp?s=teva" backgroundRefresh="0" adjustColumnWidth="0" connectionId="10" autoFormatId="16" applyNumberFormats="0" applyBorderFormats="0" applyFontFormats="1" applyPatternFormats="1" applyAlignmentFormats="0" applyWidthHeightFormats="0"/>
</file>

<file path=xl/queryTables/queryTable95.xml><?xml version="1.0" encoding="utf-8"?>
<queryTable xmlns="http://schemas.openxmlformats.org/spreadsheetml/2006/main" name="q?s=DIS" backgroundRefresh="0" adjustColumnWidth="0" connectionId="35" autoFormatId="16" applyNumberFormats="0" applyBorderFormats="0" applyFontFormats="1" applyPatternFormats="1" applyAlignmentFormats="0" applyWidthHeightFormats="0"/>
</file>

<file path=xl/queryTables/queryTable96.xml><?xml version="1.0" encoding="utf-8"?>
<queryTable xmlns="http://schemas.openxmlformats.org/spreadsheetml/2006/main" name="hp?s=DIS" backgroundRefresh="0" adjustColumnWidth="0" connectionId="36" autoFormatId="16" applyNumberFormats="0" applyBorderFormats="0" applyFontFormats="1" applyPatternFormats="1" applyAlignmentFormats="0" applyWidthHeightFormats="0"/>
</file>

<file path=xl/queryTables/queryTable97.xml><?xml version="1.0" encoding="utf-8"?>
<queryTable xmlns="http://schemas.openxmlformats.org/spreadsheetml/2006/main" name="hp?s=FTR" backgroundRefresh="0" adjustColumnWidth="0" connectionId="58" autoFormatId="16" applyNumberFormats="0" applyBorderFormats="0" applyFontFormats="1" applyPatternFormats="1" applyAlignmentFormats="0" applyWidthHeightFormats="0"/>
</file>

<file path=xl/queryTables/queryTable98.xml><?xml version="1.0" encoding="utf-8"?>
<queryTable xmlns="http://schemas.openxmlformats.org/spreadsheetml/2006/main" name="q?s=FTR" backgroundRefresh="0" adjustColumnWidth="0" connectionId="59" autoFormatId="16" applyNumberFormats="0" applyBorderFormats="0" applyFontFormats="1" applyPatternFormats="1" applyAlignmentFormats="0" applyWidthHeightFormats="0"/>
</file>

<file path=xl/queryTables/queryTable99.xml><?xml version="1.0" encoding="utf-8"?>
<queryTable xmlns="http://schemas.openxmlformats.org/spreadsheetml/2006/main" name="hp?s=GILD" backgroundRefresh="0" adjustColumnWidth="0" connectionId="38" autoFormatId="16" applyNumberFormats="0" applyBorderFormats="0" applyFontFormats="1" applyPatternFormats="1" applyAlignmentFormats="0" applyWidthHeightFormats="0"/>
</file>

<file path=xl/queryTables/queryTable100.xml><?xml version="1.0" encoding="utf-8"?>
<queryTable xmlns="http://schemas.openxmlformats.org/spreadsheetml/2006/main" name="q?s=GILD" backgroundRefresh="0" connectionId="37" autoFormatId="16" applyNumberFormats="0" applyBorderFormats="0" applyFontFormats="1" applyPatternFormats="1" applyAlignmentFormats="0" applyWidthHeightFormats="0"/>
</file>

<file path=xl/queryTables/queryTable101.xml><?xml version="1.0" encoding="utf-8"?>
<queryTable xmlns="http://schemas.openxmlformats.org/spreadsheetml/2006/main" name="hp?s=WWD" backgroundRefresh="0" adjustColumnWidth="0" connectionId="56" autoFormatId="16" applyNumberFormats="0" applyBorderFormats="0" applyFontFormats="1" applyPatternFormats="1" applyAlignmentFormats="0" applyWidthHeightFormats="0"/>
</file>

<file path=xl/queryTables/queryTable102.xml><?xml version="1.0" encoding="utf-8"?>
<queryTable xmlns="http://schemas.openxmlformats.org/spreadsheetml/2006/main" name="q?s=WWD" backgroundRefresh="0" adjustColumnWidth="0" connectionId="55" autoFormatId="16" applyNumberFormats="0" applyBorderFormats="0" applyFontFormats="1" applyPatternFormats="1" applyAlignmentFormats="0" applyWidthHeightFormats="0"/>
</file>

<file path=xl/queryTables/queryTable103.xml><?xml version="1.0" encoding="utf-8"?>
<queryTable xmlns="http://schemas.openxmlformats.org/spreadsheetml/2006/main" name="q?s=GIS_1" backgroundRefresh="0" adjustColumnWidth="0" connectionId="83" autoFormatId="16" applyNumberFormats="0" applyBorderFormats="0" applyFontFormats="1" applyPatternFormats="1" applyAlignmentFormats="0" applyWidthHeightFormats="0"/>
</file>

<file path=xl/queryTables/queryTable104.xml><?xml version="1.0" encoding="utf-8"?>
<queryTable xmlns="http://schemas.openxmlformats.org/spreadsheetml/2006/main" name="hp?s=GIS" adjustColumnWidth="0" connectionId="78" autoFormatId="16" applyNumberFormats="0" applyBorderFormats="0" applyFontFormats="1" applyPatternFormats="1" applyAlignmentFormats="0" applyWidthHeightFormats="0"/>
</file>

<file path=xl/queryTables/queryTable105.xml><?xml version="1.0" encoding="utf-8"?>
<queryTable xmlns="http://schemas.openxmlformats.org/spreadsheetml/2006/main" name="hp?s=GM" backgroundRefresh="0" adjustColumnWidth="0" connectionId="40" autoFormatId="16" applyNumberFormats="0" applyBorderFormats="0" applyFontFormats="1" applyPatternFormats="1" applyAlignmentFormats="0" applyWidthHeightFormats="0"/>
</file>

<file path=xl/queryTables/queryTable106.xml><?xml version="1.0" encoding="utf-8"?>
<queryTable xmlns="http://schemas.openxmlformats.org/spreadsheetml/2006/main" name="q?s=GM" backgroundRefresh="0" connectionId="39" autoFormatId="16" applyNumberFormats="0" applyBorderFormats="0" applyFontFormats="1" applyPatternFormats="1" applyAlignmentFormats="0" applyWidthHeightFormats="0"/>
</file>

<file path=xl/queryTables/queryTable107.xml><?xml version="1.0" encoding="utf-8"?>
<queryTable xmlns="http://schemas.openxmlformats.org/spreadsheetml/2006/main" name="hp?s=tmo" backgroundRefresh="0" adjustColumnWidth="0" connectionId="61" autoFormatId="16" applyNumberFormats="0" applyBorderFormats="0" applyFontFormats="1" applyPatternFormats="1" applyAlignmentFormats="0" applyWidthHeightFormats="0"/>
</file>

<file path=xl/queryTables/queryTable108.xml><?xml version="1.0" encoding="utf-8"?>
<queryTable xmlns="http://schemas.openxmlformats.org/spreadsheetml/2006/main" name="q?s=tmo" backgroundRefresh="0" adjustColumnWidth="0" connectionId="64" autoFormatId="16" applyNumberFormats="0" applyBorderFormats="0" applyFontFormats="1" applyPatternFormats="1" applyAlignmentFormats="0" applyWidthHeightFormats="0"/>
</file>

<file path=xl/queryTables/queryTable109.xml><?xml version="1.0" encoding="utf-8"?>
<queryTable xmlns="http://schemas.openxmlformats.org/spreadsheetml/2006/main" name="hp?s=TKR" backgroundRefresh="0" adjustColumnWidth="0" connectionId="27" autoFormatId="16" applyNumberFormats="0" applyBorderFormats="0" applyFontFormats="1" applyPatternFormats="1" applyAlignmentFormats="0" applyWidthHeightFormats="0"/>
</file>

<file path=xl/queryTables/queryTable110.xml><?xml version="1.0" encoding="utf-8"?>
<queryTable xmlns="http://schemas.openxmlformats.org/spreadsheetml/2006/main" name="q?s=TKR" backgroundRefresh="0" adjustColumnWidth="0" connectionId="26" autoFormatId="16" applyNumberFormats="0" applyBorderFormats="0" applyFontFormats="1" applyPatternFormats="1" applyAlignmentFormats="0" applyWidthHeightFormats="0"/>
</file>

<file path=xl/queryTables/queryTable111.xml><?xml version="1.0" encoding="utf-8"?>
<queryTable xmlns="http://schemas.openxmlformats.org/spreadsheetml/2006/main" name="q?s=UTX" backgroundRefresh="0" adjustColumnWidth="0" connectionId="53" autoFormatId="16" applyNumberFormats="0" applyBorderFormats="0" applyFontFormats="1" applyPatternFormats="1" applyAlignmentFormats="0" applyWidthHeightFormats="0"/>
</file>

<file path=xl/queryTables/queryTable112.xml><?xml version="1.0" encoding="utf-8"?>
<queryTable xmlns="http://schemas.openxmlformats.org/spreadsheetml/2006/main" name="hp?s=UTX" backgroundRefresh="0" adjustColumnWidth="0" connectionId="54" autoFormatId="16" applyNumberFormats="0" applyBorderFormats="0" applyFontFormats="1" applyPatternFormats="1" applyAlignmentFormats="0" applyWidthHeightFormats="0"/>
</file>

<file path=xl/queryTables/queryTable113.xml><?xml version="1.0" encoding="utf-8"?>
<queryTable xmlns="http://schemas.openxmlformats.org/spreadsheetml/2006/main" name="hp?s=UNH" backgroundRefresh="0" adjustColumnWidth="0" connectionId="52" autoFormatId="16" applyNumberFormats="0" applyBorderFormats="0" applyFontFormats="1" applyPatternFormats="1" applyAlignmentFormats="0" applyWidthHeightFormats="0"/>
</file>

<file path=xl/queryTables/queryTable114.xml><?xml version="1.0" encoding="utf-8"?>
<queryTable xmlns="http://schemas.openxmlformats.org/spreadsheetml/2006/main" name="q?s=UNH" backgroundRefresh="0" adjustColumnWidth="0" connectionId="51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queryTable" Target="../queryTables/query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queryTable" Target="../queryTables/queryTable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8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queryTable" Target="../queryTables/queryTable10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1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4" Type="http://schemas.openxmlformats.org/officeDocument/2006/relationships/queryTable" Target="../queryTables/queryTable1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3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14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https://en.wikipedia.org/wiki/21st_Century_Fox" TargetMode="External"/><Relationship Id="rId5" Type="http://schemas.openxmlformats.org/officeDocument/2006/relationships/queryTable" Target="../queryTables/queryTable16.xml"/><Relationship Id="rId4" Type="http://schemas.openxmlformats.org/officeDocument/2006/relationships/queryTable" Target="../queryTables/queryTable15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7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4" Type="http://schemas.openxmlformats.org/officeDocument/2006/relationships/queryTable" Target="../queryTables/queryTable18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9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20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1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22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3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Relationship Id="rId4" Type="http://schemas.openxmlformats.org/officeDocument/2006/relationships/queryTable" Target="../queryTables/queryTable24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5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Relationship Id="rId4" Type="http://schemas.openxmlformats.org/officeDocument/2006/relationships/queryTable" Target="../queryTables/queryTable26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7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Relationship Id="rId4" Type="http://schemas.openxmlformats.org/officeDocument/2006/relationships/queryTable" Target="../queryTables/queryTable28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9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Relationship Id="rId4" Type="http://schemas.openxmlformats.org/officeDocument/2006/relationships/queryTable" Target="../queryTables/queryTable30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19.bin"/><Relationship Id="rId1" Type="http://schemas.openxmlformats.org/officeDocument/2006/relationships/hyperlink" Target="https://fred.stlouisfed.org/series/CPIFABSL" TargetMode="External"/><Relationship Id="rId5" Type="http://schemas.openxmlformats.org/officeDocument/2006/relationships/queryTable" Target="../queryTables/queryTable32.xml"/><Relationship Id="rId4" Type="http://schemas.openxmlformats.org/officeDocument/2006/relationships/queryTable" Target="../queryTables/queryTable31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3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Relationship Id="rId4" Type="http://schemas.openxmlformats.org/officeDocument/2006/relationships/queryTable" Target="../queryTables/queryTable34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5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Relationship Id="rId4" Type="http://schemas.openxmlformats.org/officeDocument/2006/relationships/queryTable" Target="../queryTables/queryTable36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Relationship Id="rId4" Type="http://schemas.openxmlformats.org/officeDocument/2006/relationships/queryTable" Target="../queryTables/queryTable38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9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Relationship Id="rId4" Type="http://schemas.openxmlformats.org/officeDocument/2006/relationships/queryTable" Target="../queryTables/queryTable40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1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Relationship Id="rId4" Type="http://schemas.openxmlformats.org/officeDocument/2006/relationships/queryTable" Target="../queryTables/queryTable42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3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Relationship Id="rId4" Type="http://schemas.openxmlformats.org/officeDocument/2006/relationships/queryTable" Target="../queryTables/queryTable44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5.x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Relationship Id="rId4" Type="http://schemas.openxmlformats.org/officeDocument/2006/relationships/queryTable" Target="../queryTables/queryTable46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7.x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Relationship Id="rId4" Type="http://schemas.openxmlformats.org/officeDocument/2006/relationships/queryTable" Target="../queryTables/queryTable48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9.x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8.bin"/><Relationship Id="rId4" Type="http://schemas.openxmlformats.org/officeDocument/2006/relationships/queryTable" Target="../queryTables/queryTable50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1.x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9.bin"/><Relationship Id="rId4" Type="http://schemas.openxmlformats.org/officeDocument/2006/relationships/queryTable" Target="../queryTables/queryTable52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3.x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0.bin"/><Relationship Id="rId4" Type="http://schemas.openxmlformats.org/officeDocument/2006/relationships/queryTable" Target="../queryTables/queryTable54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1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56.xml"/><Relationship Id="rId4" Type="http://schemas.openxmlformats.org/officeDocument/2006/relationships/queryTable" Target="../queryTables/queryTable55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7.x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2.bin"/><Relationship Id="rId4" Type="http://schemas.openxmlformats.org/officeDocument/2006/relationships/queryTable" Target="../queryTables/queryTable58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9.x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3.bin"/><Relationship Id="rId4" Type="http://schemas.openxmlformats.org/officeDocument/2006/relationships/queryTable" Target="../queryTables/queryTable60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1.xml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4.bin"/><Relationship Id="rId4" Type="http://schemas.openxmlformats.org/officeDocument/2006/relationships/queryTable" Target="../queryTables/queryTable62.x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3.x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5.bin"/><Relationship Id="rId4" Type="http://schemas.openxmlformats.org/officeDocument/2006/relationships/queryTable" Target="../queryTables/queryTable64.xml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5.xml"/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6.bin"/><Relationship Id="rId4" Type="http://schemas.openxmlformats.org/officeDocument/2006/relationships/queryTable" Target="../queryTables/queryTable66.xml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7.xml"/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7.bin"/><Relationship Id="rId4" Type="http://schemas.openxmlformats.org/officeDocument/2006/relationships/queryTable" Target="../queryTables/queryTable68.xml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38.bin"/><Relationship Id="rId6" Type="http://schemas.openxmlformats.org/officeDocument/2006/relationships/comments" Target="../comments3.xml"/><Relationship Id="rId5" Type="http://schemas.openxmlformats.org/officeDocument/2006/relationships/queryTable" Target="../queryTables/queryTable70.xml"/><Relationship Id="rId4" Type="http://schemas.openxmlformats.org/officeDocument/2006/relationships/queryTable" Target="../queryTables/queryTable69.xml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1.xml"/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39.bin"/><Relationship Id="rId4" Type="http://schemas.openxmlformats.org/officeDocument/2006/relationships/queryTable" Target="../queryTables/queryTable72.xml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3.xml"/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0.bin"/><Relationship Id="rId4" Type="http://schemas.openxmlformats.org/officeDocument/2006/relationships/queryTable" Target="../queryTables/queryTable74.xml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5.xml"/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1.bin"/><Relationship Id="rId4" Type="http://schemas.openxmlformats.org/officeDocument/2006/relationships/queryTable" Target="../queryTables/queryTable76.xml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7.xml"/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2.bin"/><Relationship Id="rId4" Type="http://schemas.openxmlformats.org/officeDocument/2006/relationships/queryTable" Target="../queryTables/queryTable78.xml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9.xml"/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3.bin"/><Relationship Id="rId4" Type="http://schemas.openxmlformats.org/officeDocument/2006/relationships/queryTable" Target="../queryTables/queryTable80.xml"/></Relationships>
</file>

<file path=xl/worksheets/_rels/sheet4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1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4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82.xml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3.xml"/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44.bin"/><Relationship Id="rId4" Type="http://schemas.openxmlformats.org/officeDocument/2006/relationships/queryTable" Target="../queryTables/queryTable84.xml"/></Relationships>
</file>

<file path=xl/worksheets/_rels/sheet4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5.xml"/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45.bin"/><Relationship Id="rId4" Type="http://schemas.openxmlformats.org/officeDocument/2006/relationships/queryTable" Target="../queryTables/queryTable86.xml"/></Relationships>
</file>

<file path=xl/worksheets/_rels/sheet4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7.xml"/><Relationship Id="rId2" Type="http://schemas.openxmlformats.org/officeDocument/2006/relationships/drawing" Target="../drawings/drawing47.xml"/><Relationship Id="rId1" Type="http://schemas.openxmlformats.org/officeDocument/2006/relationships/printerSettings" Target="../printerSettings/printerSettings46.bin"/><Relationship Id="rId4" Type="http://schemas.openxmlformats.org/officeDocument/2006/relationships/queryTable" Target="../queryTables/queryTable88.xml"/></Relationships>
</file>

<file path=xl/worksheets/_rels/sheet4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9.xml"/><Relationship Id="rId2" Type="http://schemas.openxmlformats.org/officeDocument/2006/relationships/drawing" Target="../drawings/drawing48.xml"/><Relationship Id="rId1" Type="http://schemas.openxmlformats.org/officeDocument/2006/relationships/printerSettings" Target="../printerSettings/printerSettings47.bin"/><Relationship Id="rId4" Type="http://schemas.openxmlformats.org/officeDocument/2006/relationships/queryTable" Target="../queryTables/queryTable90.xml"/></Relationships>
</file>

<file path=xl/worksheets/_rels/sheet4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1.xml"/><Relationship Id="rId2" Type="http://schemas.openxmlformats.org/officeDocument/2006/relationships/drawing" Target="../drawings/drawing49.xml"/><Relationship Id="rId1" Type="http://schemas.openxmlformats.org/officeDocument/2006/relationships/printerSettings" Target="../printerSettings/printerSettings48.bin"/><Relationship Id="rId4" Type="http://schemas.openxmlformats.org/officeDocument/2006/relationships/queryTable" Target="../queryTables/queryTable92.xml"/></Relationships>
</file>

<file path=xl/worksheets/_rels/sheet5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3.xml"/><Relationship Id="rId2" Type="http://schemas.openxmlformats.org/officeDocument/2006/relationships/drawing" Target="../drawings/drawing50.xml"/><Relationship Id="rId1" Type="http://schemas.openxmlformats.org/officeDocument/2006/relationships/printerSettings" Target="../printerSettings/printerSettings49.bin"/><Relationship Id="rId4" Type="http://schemas.openxmlformats.org/officeDocument/2006/relationships/queryTable" Target="../queryTables/queryTable94.xml"/></Relationships>
</file>

<file path=xl/worksheets/_rels/sheet5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6.xml"/><Relationship Id="rId2" Type="http://schemas.openxmlformats.org/officeDocument/2006/relationships/queryTable" Target="../queryTables/queryTable95.xml"/><Relationship Id="rId1" Type="http://schemas.openxmlformats.org/officeDocument/2006/relationships/drawing" Target="../drawings/drawing51.xml"/></Relationships>
</file>

<file path=xl/worksheets/_rels/sheet5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7.xml"/><Relationship Id="rId2" Type="http://schemas.openxmlformats.org/officeDocument/2006/relationships/drawing" Target="../drawings/drawing52.xml"/><Relationship Id="rId1" Type="http://schemas.openxmlformats.org/officeDocument/2006/relationships/printerSettings" Target="../printerSettings/printerSettings50.bin"/><Relationship Id="rId4" Type="http://schemas.openxmlformats.org/officeDocument/2006/relationships/queryTable" Target="../queryTables/queryTable98.xml"/></Relationships>
</file>

<file path=xl/worksheets/_rels/sheet5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9.xml"/><Relationship Id="rId2" Type="http://schemas.openxmlformats.org/officeDocument/2006/relationships/drawing" Target="../drawings/drawing53.xml"/><Relationship Id="rId1" Type="http://schemas.openxmlformats.org/officeDocument/2006/relationships/printerSettings" Target="../printerSettings/printerSettings51.bin"/><Relationship Id="rId4" Type="http://schemas.openxmlformats.org/officeDocument/2006/relationships/queryTable" Target="../queryTables/queryTable100.xml"/></Relationships>
</file>

<file path=xl/worksheets/_rels/sheet5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2.xml"/><Relationship Id="rId2" Type="http://schemas.openxmlformats.org/officeDocument/2006/relationships/queryTable" Target="../queryTables/queryTable101.xml"/><Relationship Id="rId1" Type="http://schemas.openxmlformats.org/officeDocument/2006/relationships/drawing" Target="../drawings/drawing54.xml"/></Relationships>
</file>

<file path=xl/worksheets/_rels/sheet5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4.xml"/><Relationship Id="rId2" Type="http://schemas.openxmlformats.org/officeDocument/2006/relationships/queryTable" Target="../queryTables/queryTable103.xml"/><Relationship Id="rId1" Type="http://schemas.openxmlformats.org/officeDocument/2006/relationships/drawing" Target="../drawings/drawing55.xml"/></Relationships>
</file>

<file path=xl/worksheets/_rels/sheet5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6.xml"/><Relationship Id="rId2" Type="http://schemas.openxmlformats.org/officeDocument/2006/relationships/queryTable" Target="../queryTables/queryTable105.xml"/><Relationship Id="rId1" Type="http://schemas.openxmlformats.org/officeDocument/2006/relationships/drawing" Target="../drawings/drawing56.xml"/></Relationships>
</file>

<file path=xl/worksheets/_rels/sheet5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7.xml"/><Relationship Id="rId2" Type="http://schemas.openxmlformats.org/officeDocument/2006/relationships/drawing" Target="../drawings/drawing57.xml"/><Relationship Id="rId1" Type="http://schemas.openxmlformats.org/officeDocument/2006/relationships/printerSettings" Target="../printerSettings/printerSettings52.bin"/><Relationship Id="rId4" Type="http://schemas.openxmlformats.org/officeDocument/2006/relationships/queryTable" Target="../queryTables/queryTable108.xml"/></Relationships>
</file>

<file path=xl/worksheets/_rels/sheet5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9.xml"/><Relationship Id="rId2" Type="http://schemas.openxmlformats.org/officeDocument/2006/relationships/drawing" Target="../drawings/drawing58.xml"/><Relationship Id="rId1" Type="http://schemas.openxmlformats.org/officeDocument/2006/relationships/printerSettings" Target="../printerSettings/printerSettings53.bin"/><Relationship Id="rId4" Type="http://schemas.openxmlformats.org/officeDocument/2006/relationships/queryTable" Target="../queryTables/queryTable110.xml"/></Relationships>
</file>

<file path=xl/worksheets/_rels/sheet5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11.xml"/><Relationship Id="rId2" Type="http://schemas.openxmlformats.org/officeDocument/2006/relationships/drawing" Target="../drawings/drawing59.xml"/><Relationship Id="rId1" Type="http://schemas.openxmlformats.org/officeDocument/2006/relationships/printerSettings" Target="../printerSettings/printerSettings54.bin"/><Relationship Id="rId4" Type="http://schemas.openxmlformats.org/officeDocument/2006/relationships/queryTable" Target="../queryTables/queryTable112.xml"/></Relationships>
</file>

<file path=xl/worksheets/_rels/sheet6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14.xml"/><Relationship Id="rId2" Type="http://schemas.openxmlformats.org/officeDocument/2006/relationships/queryTable" Target="../queryTables/queryTable113.xml"/><Relationship Id="rId1" Type="http://schemas.openxmlformats.org/officeDocument/2006/relationships/drawing" Target="../drawings/drawing6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V60"/>
  <sheetViews>
    <sheetView tabSelected="1" zoomScaleNormal="100" workbookViewId="0">
      <pane ySplit="1" topLeftCell="A2" activePane="bottomLeft" state="frozen"/>
      <selection pane="bottomLeft" activeCell="T12" sqref="T12"/>
    </sheetView>
  </sheetViews>
  <sheetFormatPr defaultColWidth="9.140625" defaultRowHeight="21.95" customHeight="1" x14ac:dyDescent="0.25"/>
  <cols>
    <col min="1" max="1" width="8.42578125" style="53" bestFit="1" customWidth="1"/>
    <col min="2" max="2" width="8.28515625" style="53" bestFit="1" customWidth="1"/>
    <col min="3" max="3" width="9.140625" style="53"/>
    <col min="4" max="4" width="9.140625" style="50"/>
    <col min="5" max="5" width="6.85546875" style="54" bestFit="1" customWidth="1"/>
    <col min="6" max="6" width="10.85546875" style="248" bestFit="1" customWidth="1"/>
    <col min="7" max="7" width="10.7109375" style="248" bestFit="1" customWidth="1"/>
    <col min="8" max="8" width="12.140625" style="50" customWidth="1"/>
    <col min="9" max="9" width="10.7109375" style="49" bestFit="1" customWidth="1"/>
    <col min="10" max="10" width="14.140625" style="377" bestFit="1" customWidth="1"/>
    <col min="11" max="11" width="14.140625" style="138" bestFit="1" customWidth="1"/>
    <col min="12" max="12" width="14.42578125" style="49" bestFit="1" customWidth="1"/>
    <col min="13" max="13" width="12.7109375" bestFit="1" customWidth="1"/>
    <col min="14" max="14" width="7.140625" style="49" bestFit="1" customWidth="1"/>
    <col min="15" max="15" width="19.140625" style="362" customWidth="1"/>
    <col min="16" max="16" width="12.85546875" style="362" customWidth="1"/>
    <col min="17" max="17" width="10.28515625" style="50" bestFit="1" customWidth="1"/>
    <col min="18" max="18" width="10.7109375" style="50" bestFit="1" customWidth="1"/>
    <col min="19" max="20" width="10.28515625" style="50" bestFit="1" customWidth="1"/>
    <col min="21" max="21" width="9.140625" style="50"/>
    <col min="22" max="22" width="10.28515625" style="50" bestFit="1" customWidth="1"/>
    <col min="23" max="16384" width="9.140625" style="50"/>
  </cols>
  <sheetData>
    <row r="1" spans="1:22" s="59" customFormat="1" ht="21.95" customHeight="1" x14ac:dyDescent="0.25">
      <c r="A1" s="60"/>
      <c r="B1" s="60" t="s">
        <v>91</v>
      </c>
      <c r="C1" s="60"/>
      <c r="D1" s="57"/>
      <c r="E1" s="57" t="s">
        <v>72</v>
      </c>
      <c r="F1" s="247" t="s">
        <v>143</v>
      </c>
      <c r="G1" s="247" t="s">
        <v>73</v>
      </c>
      <c r="H1" s="57" t="s">
        <v>57</v>
      </c>
      <c r="I1" s="58" t="s">
        <v>74</v>
      </c>
      <c r="J1" s="375" t="s">
        <v>184</v>
      </c>
      <c r="K1" s="361" t="s">
        <v>212</v>
      </c>
      <c r="L1" s="58" t="s">
        <v>181</v>
      </c>
      <c r="M1" s="58" t="s">
        <v>239</v>
      </c>
      <c r="N1" s="58" t="s">
        <v>92</v>
      </c>
      <c r="O1" s="361" t="s">
        <v>211</v>
      </c>
      <c r="P1" s="361" t="s">
        <v>298</v>
      </c>
    </row>
    <row r="2" spans="1:22" ht="21.95" customHeight="1" x14ac:dyDescent="0.25">
      <c r="A2" s="61"/>
      <c r="B2" s="62"/>
      <c r="C2" s="61"/>
      <c r="E2" s="23" t="s">
        <v>50</v>
      </c>
      <c r="F2" s="248">
        <v>17.23</v>
      </c>
      <c r="G2" s="248">
        <v>14.006677169810954</v>
      </c>
      <c r="H2" s="336">
        <v>5300</v>
      </c>
      <c r="I2" s="49">
        <v>74235.38899999806</v>
      </c>
      <c r="J2" s="376">
        <v>17083.611000001896</v>
      </c>
      <c r="K2" s="362">
        <v>0.23012758780050832</v>
      </c>
      <c r="L2" s="376">
        <v>17083.611000001896</v>
      </c>
      <c r="M2">
        <v>200</v>
      </c>
      <c r="N2" s="373" t="str">
        <f>HYPERLINK("http://finance.yahoo.com/q?s=" &amp; E2, "Link")</f>
        <v>Link</v>
      </c>
      <c r="O2" s="372">
        <v>1.1900000000000001E-2</v>
      </c>
      <c r="P2" s="372">
        <v>3.3000000000000002E-2</v>
      </c>
      <c r="Q2" s="152"/>
      <c r="R2" s="49"/>
      <c r="S2" s="49"/>
      <c r="T2" s="49"/>
    </row>
    <row r="3" spans="1:22" ht="21.95" customHeight="1" x14ac:dyDescent="0.25">
      <c r="A3" s="51"/>
      <c r="B3" s="51"/>
      <c r="C3" s="52"/>
      <c r="E3" s="23" t="s">
        <v>17</v>
      </c>
      <c r="F3" s="248">
        <v>11.65</v>
      </c>
      <c r="G3" s="248">
        <v>24.734090000000084</v>
      </c>
      <c r="H3" s="336">
        <v>2000</v>
      </c>
      <c r="I3" s="49">
        <v>49468.180000000168</v>
      </c>
      <c r="J3" s="376">
        <v>-26168.180000000168</v>
      </c>
      <c r="K3" s="362">
        <v>-0.52899015084040035</v>
      </c>
      <c r="L3" s="376">
        <v>-26168.180000000168</v>
      </c>
      <c r="M3">
        <v>1500</v>
      </c>
      <c r="N3" s="373" t="str">
        <f>HYPERLINK("http://finance.yahoo.com/q?s=" &amp; E3, "Link")</f>
        <v>Link</v>
      </c>
      <c r="O3" s="372">
        <v>0</v>
      </c>
      <c r="P3" s="372">
        <v>1.2200000000000001E-2</v>
      </c>
      <c r="S3" s="49"/>
    </row>
    <row r="4" spans="1:22" ht="21.95" customHeight="1" x14ac:dyDescent="0.25">
      <c r="A4" s="51"/>
      <c r="B4" s="52"/>
      <c r="C4" s="52"/>
      <c r="E4" s="23" t="s">
        <v>34</v>
      </c>
      <c r="F4" s="248">
        <v>24.6</v>
      </c>
      <c r="G4" s="248">
        <v>23.059799999999999</v>
      </c>
      <c r="H4" s="336">
        <v>1350</v>
      </c>
      <c r="I4" s="49">
        <v>31130.73</v>
      </c>
      <c r="J4" s="376">
        <v>2079.2700000000004</v>
      </c>
      <c r="K4" s="362">
        <v>6.679155933702817E-2</v>
      </c>
      <c r="L4" s="376">
        <v>14254.767000000091</v>
      </c>
      <c r="M4">
        <v>250</v>
      </c>
      <c r="N4" s="373" t="str">
        <f>HYPERLINK("http://finance.yahoo.com/q?s=" &amp; E4, "Link")</f>
        <v>Link</v>
      </c>
      <c r="O4" s="372">
        <v>0</v>
      </c>
      <c r="P4" s="372">
        <v>-7.7000000000000002E-3</v>
      </c>
      <c r="Q4" s="152"/>
    </row>
    <row r="5" spans="1:22" ht="21.95" customHeight="1" x14ac:dyDescent="0.25">
      <c r="A5" s="51"/>
      <c r="B5" s="51"/>
      <c r="C5" s="52"/>
      <c r="E5" s="23" t="s">
        <v>55</v>
      </c>
      <c r="F5" s="248">
        <v>72.34</v>
      </c>
      <c r="G5" s="248">
        <v>78.997320000000016</v>
      </c>
      <c r="H5" s="50">
        <v>250</v>
      </c>
      <c r="I5" s="49">
        <v>19749.330000000005</v>
      </c>
      <c r="J5" s="376">
        <v>-1664.3300000000017</v>
      </c>
      <c r="K5" s="362">
        <v>-8.4272732290158844E-2</v>
      </c>
      <c r="L5" s="49">
        <v>-1664.3300000000017</v>
      </c>
      <c r="M5">
        <v>150</v>
      </c>
      <c r="N5" s="373" t="str">
        <f>HYPERLINK("http://finance.yahoo.com/q?s=" &amp; E5, "Link")</f>
        <v>Link</v>
      </c>
      <c r="O5" s="362">
        <v>2.5899999999999999E-2</v>
      </c>
      <c r="P5" s="362">
        <v>1.1999999999999999E-3</v>
      </c>
    </row>
    <row r="6" spans="1:22" ht="21.95" customHeight="1" x14ac:dyDescent="0.25">
      <c r="A6" s="52"/>
      <c r="B6" s="159"/>
      <c r="C6" s="337"/>
      <c r="E6" s="23" t="s">
        <v>200</v>
      </c>
      <c r="F6" s="248">
        <v>34.020000000000003</v>
      </c>
      <c r="G6" s="248">
        <v>34.142000000000003</v>
      </c>
      <c r="H6" s="336">
        <v>500</v>
      </c>
      <c r="I6" s="49">
        <v>17071</v>
      </c>
      <c r="J6" s="376">
        <v>-61</v>
      </c>
      <c r="K6" s="362">
        <v>-3.5733114638861192E-3</v>
      </c>
      <c r="L6" s="376">
        <v>1686.9699999999939</v>
      </c>
      <c r="M6">
        <v>300</v>
      </c>
      <c r="N6" s="373" t="str">
        <f>HYPERLINK("http://finance.yahoo.com/q?s=" &amp; E6, "Link")</f>
        <v>Link</v>
      </c>
      <c r="O6" s="372">
        <v>1.43E-2</v>
      </c>
      <c r="P6" s="372">
        <v>-2.3E-3</v>
      </c>
      <c r="R6" s="49"/>
    </row>
    <row r="7" spans="1:22" ht="21.95" customHeight="1" x14ac:dyDescent="0.25">
      <c r="A7" s="159"/>
      <c r="B7" s="51"/>
      <c r="C7" s="52"/>
      <c r="E7" s="23" t="s">
        <v>294</v>
      </c>
      <c r="F7" s="248">
        <v>75.459999999999994</v>
      </c>
      <c r="G7" s="248">
        <v>80.347055555555571</v>
      </c>
      <c r="H7" s="336">
        <v>180</v>
      </c>
      <c r="I7" s="49">
        <v>14462.470000000003</v>
      </c>
      <c r="J7" s="376">
        <v>-879.67000000000371</v>
      </c>
      <c r="K7" s="362">
        <v>-6.0824326688318359E-2</v>
      </c>
      <c r="L7" s="376">
        <v>-879.67000000000371</v>
      </c>
      <c r="M7">
        <v>40</v>
      </c>
      <c r="N7" s="373" t="str">
        <f>HYPERLINK("http://finance.yahoo.com/q?s=" &amp; E7, "Link")</f>
        <v>Link</v>
      </c>
      <c r="O7" s="372">
        <v>2.5399999999999999E-2</v>
      </c>
      <c r="P7" s="372">
        <v>8.8000000000000005E-3</v>
      </c>
      <c r="Q7" s="49"/>
      <c r="R7" s="49"/>
      <c r="S7" s="49"/>
      <c r="T7" s="49"/>
    </row>
    <row r="8" spans="1:22" ht="21.95" customHeight="1" x14ac:dyDescent="0.25">
      <c r="A8" s="51"/>
      <c r="B8" s="51"/>
      <c r="C8" s="52"/>
      <c r="E8" s="23" t="s">
        <v>383</v>
      </c>
      <c r="F8" s="248">
        <v>20.12</v>
      </c>
      <c r="G8" s="248">
        <v>20.491300000000003</v>
      </c>
      <c r="H8" s="336">
        <v>500</v>
      </c>
      <c r="I8" s="49">
        <v>10245.650000000001</v>
      </c>
      <c r="J8" s="376">
        <v>-185.65000000000146</v>
      </c>
      <c r="K8" s="362">
        <v>-1.8119885024376271E-2</v>
      </c>
      <c r="L8" s="376">
        <v>159.32999999999902</v>
      </c>
      <c r="M8">
        <v>100</v>
      </c>
      <c r="N8" s="373" t="str">
        <f>HYPERLINK("http://finance.yahoo.com/q?s=" &amp; E8, "Link")</f>
        <v>Link</v>
      </c>
      <c r="O8" s="372">
        <v>0</v>
      </c>
      <c r="P8" s="372">
        <v>-1.95E-2</v>
      </c>
      <c r="Q8" s="152"/>
    </row>
    <row r="9" spans="1:22" ht="21.95" customHeight="1" x14ac:dyDescent="0.25">
      <c r="A9" s="51"/>
      <c r="B9" s="51"/>
      <c r="C9" s="52"/>
      <c r="E9" s="23" t="s">
        <v>337</v>
      </c>
      <c r="F9" s="248">
        <v>90.47</v>
      </c>
      <c r="G9" s="248">
        <v>90.16</v>
      </c>
      <c r="H9" s="336">
        <v>80</v>
      </c>
      <c r="I9" s="49">
        <v>7212.7999999999993</v>
      </c>
      <c r="J9" s="376">
        <v>24.800000000001091</v>
      </c>
      <c r="K9" s="362">
        <v>3.438331854480948E-3</v>
      </c>
      <c r="L9" s="376">
        <v>562.72000000000116</v>
      </c>
      <c r="M9" s="30">
        <v>42800</v>
      </c>
      <c r="N9" s="373" t="str">
        <f>HYPERLINK("http://finance.yahoo.com/q?s=" &amp; E9, "Link")</f>
        <v>Link</v>
      </c>
      <c r="O9" s="372">
        <v>0</v>
      </c>
      <c r="P9" s="372">
        <v>8.2000000000000007E-3</v>
      </c>
      <c r="S9" s="49"/>
      <c r="T9" s="49"/>
    </row>
    <row r="10" spans="1:22" ht="21.95" customHeight="1" x14ac:dyDescent="0.25">
      <c r="A10" s="51"/>
      <c r="B10" s="51"/>
      <c r="C10" s="52"/>
      <c r="E10" s="23" t="s">
        <v>321</v>
      </c>
      <c r="F10" s="248">
        <v>50.78</v>
      </c>
      <c r="G10" s="248">
        <v>50.65</v>
      </c>
      <c r="H10" s="336">
        <v>120</v>
      </c>
      <c r="I10" s="49">
        <v>6078</v>
      </c>
      <c r="J10" s="376">
        <v>15.600000000000364</v>
      </c>
      <c r="K10" s="362">
        <v>2.5666337611056776E-3</v>
      </c>
      <c r="L10" s="376">
        <v>362.54000000000087</v>
      </c>
      <c r="M10">
        <v>20</v>
      </c>
      <c r="N10" s="373" t="str">
        <f>HYPERLINK("http://finance.yahoo.com/q?s=" &amp; E10, "Link")</f>
        <v>Link</v>
      </c>
      <c r="O10" s="372">
        <v>3.1699999999999999E-2</v>
      </c>
      <c r="P10" s="372">
        <v>5.4999999999999997E-3</v>
      </c>
      <c r="Q10" s="49"/>
      <c r="R10" s="49"/>
      <c r="S10" s="49"/>
      <c r="T10" s="49"/>
    </row>
    <row r="11" spans="1:22" ht="21.95" customHeight="1" x14ac:dyDescent="0.25">
      <c r="A11" s="51"/>
      <c r="B11" s="51"/>
      <c r="C11" s="52"/>
      <c r="E11" s="23" t="s">
        <v>219</v>
      </c>
      <c r="F11" s="248">
        <v>76.3</v>
      </c>
      <c r="G11" s="248">
        <v>79.439333333333337</v>
      </c>
      <c r="H11" s="336">
        <v>75</v>
      </c>
      <c r="I11" s="49">
        <v>5957.9500000000007</v>
      </c>
      <c r="J11" s="376">
        <v>-235.44999999999982</v>
      </c>
      <c r="K11" s="362">
        <v>-3.9518626373165354E-2</v>
      </c>
      <c r="L11" s="376">
        <v>440.50000000000091</v>
      </c>
      <c r="M11" s="30">
        <v>42779</v>
      </c>
      <c r="N11" s="373" t="str">
        <f>HYPERLINK("http://finance.yahoo.com/q?s=" &amp; E11, "Link")</f>
        <v>Link</v>
      </c>
      <c r="O11" s="372">
        <v>1.3100000000000001E-2</v>
      </c>
      <c r="P11" s="372">
        <v>2.3999999999999998E-3</v>
      </c>
    </row>
    <row r="12" spans="1:22" ht="21.95" customHeight="1" x14ac:dyDescent="0.25">
      <c r="A12" s="52"/>
      <c r="B12" s="52"/>
      <c r="C12" s="52"/>
      <c r="E12" s="23" t="s">
        <v>9</v>
      </c>
      <c r="F12" s="248">
        <v>3.42</v>
      </c>
      <c r="G12" s="248">
        <v>3.3880214285714283</v>
      </c>
      <c r="H12" s="336">
        <v>1400</v>
      </c>
      <c r="I12" s="49">
        <v>4743.2299999999996</v>
      </c>
      <c r="J12" s="376">
        <v>44.770000000000437</v>
      </c>
      <c r="K12" s="362">
        <v>9.4387158117991941E-3</v>
      </c>
      <c r="L12" s="376">
        <v>479.70000000000073</v>
      </c>
      <c r="M12">
        <v>700</v>
      </c>
      <c r="N12" s="373" t="str">
        <f>HYPERLINK("http://finance.yahoo.com/q?s=" &amp; E12, "Link")</f>
        <v>Link</v>
      </c>
      <c r="O12" s="372">
        <v>0.1203</v>
      </c>
      <c r="P12" s="372">
        <v>1.4800000000000001E-2</v>
      </c>
      <c r="T12" s="49"/>
    </row>
    <row r="13" spans="1:22" ht="21.95" customHeight="1" x14ac:dyDescent="0.25">
      <c r="A13" s="51"/>
      <c r="B13" s="51"/>
      <c r="C13" s="52"/>
      <c r="E13" s="23" t="s">
        <v>175</v>
      </c>
      <c r="F13" s="248">
        <v>57.27</v>
      </c>
      <c r="G13" s="248">
        <v>54.236249999999984</v>
      </c>
      <c r="H13" s="336">
        <v>80</v>
      </c>
      <c r="I13" s="49">
        <v>4338.8999999999987</v>
      </c>
      <c r="J13" s="376">
        <v>242.70000000000164</v>
      </c>
      <c r="K13" s="362">
        <v>5.5935836271866511E-2</v>
      </c>
      <c r="L13" s="376">
        <v>1070.9800000000077</v>
      </c>
      <c r="M13" s="30">
        <v>42772</v>
      </c>
      <c r="N13" s="373" t="str">
        <f>HYPERLINK("http://finance.yahoo.com/q?s=" &amp; E13, "Link")</f>
        <v>Link</v>
      </c>
      <c r="O13" s="372">
        <v>2.7E-2</v>
      </c>
      <c r="P13" s="372">
        <v>2.7300000000000001E-2</v>
      </c>
      <c r="Q13" s="450"/>
      <c r="R13" s="49"/>
      <c r="S13" s="49"/>
    </row>
    <row r="14" spans="1:22" ht="21.95" customHeight="1" x14ac:dyDescent="0.25">
      <c r="A14" s="51"/>
      <c r="B14" s="52"/>
      <c r="C14" s="52"/>
      <c r="E14" s="23" t="s">
        <v>52</v>
      </c>
      <c r="F14" s="248">
        <v>74.87</v>
      </c>
      <c r="G14" s="248">
        <v>72.155000000000001</v>
      </c>
      <c r="H14" s="50">
        <v>50</v>
      </c>
      <c r="I14" s="49">
        <v>3607.75</v>
      </c>
      <c r="J14" s="376">
        <v>135.75</v>
      </c>
      <c r="K14" s="362">
        <v>3.7627330053357402E-2</v>
      </c>
      <c r="L14" s="49">
        <v>796.31999999999971</v>
      </c>
      <c r="M14">
        <v>25</v>
      </c>
      <c r="N14" s="373" t="str">
        <f>HYPERLINK("http://finance.yahoo.com/q?s=" &amp; E14, "Link")</f>
        <v>Link</v>
      </c>
      <c r="O14" s="362">
        <v>2.4E-2</v>
      </c>
      <c r="P14" s="362">
        <v>5.7999999999999996E-3</v>
      </c>
      <c r="S14" s="49"/>
    </row>
    <row r="15" spans="1:22" ht="21.95" customHeight="1" x14ac:dyDescent="0.25">
      <c r="A15" s="51"/>
      <c r="B15" s="51"/>
      <c r="C15" s="52"/>
      <c r="E15" s="23" t="s">
        <v>288</v>
      </c>
      <c r="F15" s="248">
        <v>113.64</v>
      </c>
      <c r="G15" s="248">
        <v>114.86799999999999</v>
      </c>
      <c r="H15" s="336">
        <v>30</v>
      </c>
      <c r="I15" s="49">
        <v>3446.04</v>
      </c>
      <c r="J15" s="376">
        <v>-36.840000000000146</v>
      </c>
      <c r="K15" s="362">
        <v>-1.0690531740780674E-2</v>
      </c>
      <c r="L15" s="376">
        <v>-36.840000000000146</v>
      </c>
      <c r="M15">
        <v>15</v>
      </c>
      <c r="N15" s="373" t="str">
        <f>HYPERLINK("http://finance.yahoo.com/q?s=" &amp; E15, "Link")</f>
        <v>Link</v>
      </c>
      <c r="O15" s="372">
        <v>2.8299999999999999E-2</v>
      </c>
      <c r="P15" s="372">
        <v>5.9999999999999995E-4</v>
      </c>
      <c r="Q15" s="450"/>
      <c r="R15" s="49"/>
      <c r="S15" s="49"/>
      <c r="V15" s="49"/>
    </row>
    <row r="16" spans="1:22" ht="21.95" customHeight="1" x14ac:dyDescent="0.25">
      <c r="A16" s="51"/>
      <c r="B16" s="51"/>
      <c r="C16" s="52"/>
      <c r="E16" s="23" t="s">
        <v>230</v>
      </c>
      <c r="F16" s="248">
        <v>35.68</v>
      </c>
      <c r="G16" s="50">
        <v>33.58</v>
      </c>
      <c r="H16" s="336">
        <v>100</v>
      </c>
      <c r="I16" s="49">
        <v>3358</v>
      </c>
      <c r="J16" s="376">
        <v>210</v>
      </c>
      <c r="K16" s="362">
        <v>6.2537224538415773E-2</v>
      </c>
      <c r="L16" s="376">
        <v>3520.4699999999957</v>
      </c>
      <c r="M16" s="30">
        <v>42786</v>
      </c>
      <c r="N16" s="373" t="str">
        <f>HYPERLINK("http://finance.yahoo.com/q?s=" &amp; E16, "Link")</f>
        <v>Link</v>
      </c>
      <c r="O16" s="372">
        <v>3.4000000000000002E-2</v>
      </c>
      <c r="P16" s="372">
        <v>1.4E-3</v>
      </c>
    </row>
    <row r="17" spans="1:20" ht="21.95" customHeight="1" x14ac:dyDescent="0.25">
      <c r="A17" s="51"/>
      <c r="B17" s="51"/>
      <c r="C17" s="52"/>
      <c r="E17" s="23" t="s">
        <v>173</v>
      </c>
      <c r="F17" s="248">
        <v>62.73</v>
      </c>
      <c r="G17" s="248">
        <v>63.25</v>
      </c>
      <c r="H17" s="336">
        <v>50</v>
      </c>
      <c r="I17" s="49">
        <v>3162.5</v>
      </c>
      <c r="J17" s="376">
        <v>-26</v>
      </c>
      <c r="K17" s="362">
        <v>-8.2213438735178352E-3</v>
      </c>
      <c r="L17" s="376">
        <v>23.949999999999818</v>
      </c>
      <c r="M17">
        <v>50</v>
      </c>
      <c r="N17" s="373" t="str">
        <f>HYPERLINK("http://finance.yahoo.com/q?s=" &amp; E17, "Link")</f>
        <v>Link</v>
      </c>
      <c r="O17" s="372">
        <v>3.0700000000000002E-2</v>
      </c>
      <c r="P17" s="372">
        <v>1.6400000000000001E-2</v>
      </c>
      <c r="Q17" s="450"/>
      <c r="S17" s="49"/>
      <c r="T17" s="49"/>
    </row>
    <row r="18" spans="1:20" ht="21.95" customHeight="1" x14ac:dyDescent="0.25">
      <c r="A18" s="51"/>
      <c r="B18" s="51"/>
      <c r="C18" s="52"/>
      <c r="E18" s="23" t="s">
        <v>233</v>
      </c>
      <c r="F18" s="248">
        <v>31.85</v>
      </c>
      <c r="G18" s="248">
        <v>31.18</v>
      </c>
      <c r="H18" s="336">
        <v>100</v>
      </c>
      <c r="I18" s="49">
        <v>3118</v>
      </c>
      <c r="J18" s="376">
        <v>67</v>
      </c>
      <c r="K18" s="362">
        <v>2.1488133418858298E-2</v>
      </c>
      <c r="L18" s="376">
        <v>1519.2599999999984</v>
      </c>
      <c r="M18" s="30">
        <v>42789</v>
      </c>
      <c r="N18" s="373" t="str">
        <f>HYPERLINK("http://finance.yahoo.com/q?s=" &amp; E18, "Link")</f>
        <v>Link</v>
      </c>
      <c r="O18" s="372">
        <v>3.5099999999999999E-2</v>
      </c>
      <c r="P18" s="372">
        <v>1.2699999999999999E-2</v>
      </c>
      <c r="Q18" s="450"/>
      <c r="R18" s="49"/>
      <c r="T18" s="49"/>
    </row>
    <row r="19" spans="1:20" ht="21.95" customHeight="1" x14ac:dyDescent="0.25">
      <c r="A19" s="51"/>
      <c r="B19" s="51"/>
      <c r="C19" s="52"/>
      <c r="E19" s="23" t="s">
        <v>499</v>
      </c>
      <c r="F19" s="248">
        <v>84.08</v>
      </c>
      <c r="G19" s="248">
        <v>69.58</v>
      </c>
      <c r="H19" s="50">
        <v>35</v>
      </c>
      <c r="I19" s="49">
        <v>2435.2999999999997</v>
      </c>
      <c r="J19" s="376">
        <v>507.5</v>
      </c>
      <c r="K19" s="362">
        <v>0.20839321644150618</v>
      </c>
      <c r="L19" s="49">
        <v>507.5</v>
      </c>
      <c r="M19" s="30">
        <v>42800</v>
      </c>
      <c r="N19" s="373" t="str">
        <f>HYPERLINK("http://finance.yahoo.com/q?s=" &amp; E19, "Link")</f>
        <v>Link</v>
      </c>
      <c r="O19" s="362">
        <v>0</v>
      </c>
      <c r="P19" s="362">
        <v>-3.5999999999999999E-3</v>
      </c>
      <c r="Q19" s="152"/>
      <c r="S19" s="49"/>
      <c r="T19" s="49"/>
    </row>
    <row r="20" spans="1:20" ht="21.95" customHeight="1" x14ac:dyDescent="0.25">
      <c r="A20" s="51"/>
      <c r="B20" s="51"/>
      <c r="C20" s="52"/>
      <c r="E20" s="23" t="s">
        <v>199</v>
      </c>
      <c r="F20" s="248">
        <v>52.36</v>
      </c>
      <c r="G20" s="248">
        <v>52.2</v>
      </c>
      <c r="H20" s="50">
        <v>40</v>
      </c>
      <c r="I20" s="49">
        <v>2088</v>
      </c>
      <c r="J20" s="376">
        <v>6.4000000000000909</v>
      </c>
      <c r="K20" s="362">
        <v>3.0651340996167929E-3</v>
      </c>
      <c r="L20" s="49">
        <v>360.62000000000126</v>
      </c>
      <c r="M20">
        <v>20</v>
      </c>
      <c r="N20" s="373" t="str">
        <f>HYPERLINK("http://finance.yahoo.com/q?s=" &amp; E20, "Link")</f>
        <v>Link</v>
      </c>
      <c r="O20" s="362">
        <v>1.3599999999999999E-2</v>
      </c>
      <c r="P20" s="362">
        <v>-8.3000000000000001E-3</v>
      </c>
      <c r="R20" s="49"/>
    </row>
    <row r="21" spans="1:20" ht="21.95" customHeight="1" x14ac:dyDescent="0.25">
      <c r="A21" s="52"/>
      <c r="B21" s="52"/>
      <c r="C21" s="52"/>
      <c r="E21" s="23" t="s">
        <v>424</v>
      </c>
      <c r="F21" s="248">
        <v>63.75</v>
      </c>
      <c r="G21" s="248">
        <v>64.680000000000007</v>
      </c>
      <c r="H21" s="50">
        <v>30</v>
      </c>
      <c r="I21" s="49">
        <v>1940.4</v>
      </c>
      <c r="J21" s="376">
        <v>-27.900000000000091</v>
      </c>
      <c r="K21" s="362">
        <v>-1.4378478664193053E-2</v>
      </c>
      <c r="L21" s="49">
        <v>-27.900000000000091</v>
      </c>
      <c r="M21" s="30">
        <v>42786</v>
      </c>
      <c r="N21" s="373" t="str">
        <f>HYPERLINK("http://finance.yahoo.com/q?s=" &amp; E21, "Link")</f>
        <v>Link</v>
      </c>
      <c r="O21" s="362">
        <v>3.7400000000000003E-2</v>
      </c>
      <c r="P21" s="362">
        <v>1.1000000000000001E-3</v>
      </c>
      <c r="Q21" s="49"/>
      <c r="T21" s="49"/>
    </row>
    <row r="22" spans="1:20" ht="21.95" customHeight="1" x14ac:dyDescent="0.25">
      <c r="A22" s="52"/>
      <c r="B22" s="52"/>
      <c r="C22" s="52"/>
      <c r="E22" s="23" t="s">
        <v>0</v>
      </c>
      <c r="F22" s="248">
        <v>151.43</v>
      </c>
      <c r="G22" s="248">
        <v>128.48600000000002</v>
      </c>
      <c r="H22" s="336">
        <v>10</v>
      </c>
      <c r="I22" s="49">
        <v>1284.8600000000001</v>
      </c>
      <c r="J22" s="376">
        <v>229.44000000000005</v>
      </c>
      <c r="K22" s="362">
        <v>0.17857198449636524</v>
      </c>
      <c r="L22" s="376">
        <v>400.91000000000008</v>
      </c>
      <c r="M22" s="30">
        <v>42800</v>
      </c>
      <c r="N22" s="373" t="str">
        <f>HYPERLINK("http://finance.yahoo.com/q?s=" &amp; E22, "Link")</f>
        <v>Link</v>
      </c>
      <c r="O22" s="372">
        <v>3.8999999999999998E-3</v>
      </c>
      <c r="P22" s="372">
        <v>-1.6000000000000001E-3</v>
      </c>
      <c r="R22" s="49"/>
      <c r="T22" s="49"/>
    </row>
    <row r="23" spans="1:20" ht="21.95" customHeight="1" x14ac:dyDescent="0.25">
      <c r="A23" s="51"/>
      <c r="B23" s="51"/>
      <c r="C23" s="52"/>
      <c r="E23" s="23" t="s">
        <v>10</v>
      </c>
      <c r="F23" s="248">
        <v>36.86</v>
      </c>
      <c r="G23" s="248">
        <v>36.86</v>
      </c>
      <c r="H23" s="50">
        <v>0</v>
      </c>
      <c r="I23" s="49">
        <v>0</v>
      </c>
      <c r="J23" s="376">
        <v>0</v>
      </c>
      <c r="K23" s="362">
        <v>0</v>
      </c>
      <c r="L23" s="49">
        <v>1128.3800000000047</v>
      </c>
      <c r="M23">
        <v>0</v>
      </c>
      <c r="N23" s="373" t="str">
        <f>HYPERLINK("http://finance.yahoo.com/q?s=" &amp; E23, "Link")</f>
        <v>Link</v>
      </c>
      <c r="O23" s="362">
        <v>1.2500000000000001E-2</v>
      </c>
      <c r="P23" s="362">
        <v>-2.18E-2</v>
      </c>
      <c r="Q23" s="152"/>
      <c r="R23" s="49"/>
      <c r="S23" s="49"/>
    </row>
    <row r="24" spans="1:20" ht="21.95" customHeight="1" x14ac:dyDescent="0.25">
      <c r="A24" s="52"/>
      <c r="B24" s="52"/>
      <c r="C24" s="52"/>
      <c r="E24" s="23" t="s">
        <v>207</v>
      </c>
      <c r="F24" s="248">
        <v>129.08000000000001</v>
      </c>
      <c r="G24" s="248">
        <v>129.08000000000001</v>
      </c>
      <c r="H24" s="336">
        <v>0</v>
      </c>
      <c r="I24" s="49">
        <v>0</v>
      </c>
      <c r="J24" s="376">
        <v>0</v>
      </c>
      <c r="K24" s="362">
        <v>0</v>
      </c>
      <c r="L24" s="376">
        <v>363.09999999999945</v>
      </c>
      <c r="M24">
        <v>0</v>
      </c>
      <c r="N24" s="373" t="str">
        <f>HYPERLINK("http://finance.yahoo.com/q?s=" &amp; E24, "Link")</f>
        <v>Link</v>
      </c>
      <c r="O24" s="372">
        <v>1.77E-2</v>
      </c>
      <c r="P24" s="372">
        <v>4.3E-3</v>
      </c>
      <c r="Q24" s="152"/>
      <c r="R24" s="49"/>
      <c r="S24" s="49"/>
    </row>
    <row r="25" spans="1:20" ht="21.95" customHeight="1" x14ac:dyDescent="0.25">
      <c r="A25" s="51"/>
      <c r="B25" s="51"/>
      <c r="C25" s="51"/>
      <c r="E25" s="23" t="s">
        <v>262</v>
      </c>
      <c r="F25" s="248">
        <v>69.55</v>
      </c>
      <c r="G25" s="248">
        <v>69.55</v>
      </c>
      <c r="H25" s="336">
        <v>0</v>
      </c>
      <c r="I25" s="49">
        <v>0</v>
      </c>
      <c r="J25" s="376">
        <v>0</v>
      </c>
      <c r="K25" s="362">
        <v>0</v>
      </c>
      <c r="L25" s="376">
        <v>92.650000000000091</v>
      </c>
      <c r="M25">
        <v>0</v>
      </c>
      <c r="N25" s="373" t="str">
        <f>HYPERLINK("http://finance.yahoo.com/q?s=" &amp; E25, "Link")</f>
        <v>Link</v>
      </c>
      <c r="O25" s="372">
        <v>0</v>
      </c>
      <c r="P25" s="372">
        <v>2.2000000000000001E-3</v>
      </c>
    </row>
    <row r="26" spans="1:20" ht="21.95" customHeight="1" x14ac:dyDescent="0.25">
      <c r="A26" s="51"/>
      <c r="B26" s="51"/>
      <c r="C26" s="52"/>
      <c r="E26" s="23" t="s">
        <v>45</v>
      </c>
      <c r="F26" s="248">
        <v>77.48</v>
      </c>
      <c r="G26" s="248">
        <v>77.48</v>
      </c>
      <c r="H26" s="50">
        <v>0</v>
      </c>
      <c r="I26" s="49">
        <v>0</v>
      </c>
      <c r="J26" s="376">
        <v>0</v>
      </c>
      <c r="K26" s="362">
        <v>0</v>
      </c>
      <c r="L26" s="49">
        <v>523.61999999999898</v>
      </c>
      <c r="M26">
        <v>0</v>
      </c>
      <c r="N26" s="373" t="str">
        <f>HYPERLINK("http://finance.yahoo.com/q?s=" &amp; E26, "Link")</f>
        <v>Link</v>
      </c>
      <c r="O26" s="362">
        <v>1.7600000000000001E-2</v>
      </c>
      <c r="P26" s="362">
        <v>1E-3</v>
      </c>
      <c r="R26" s="49"/>
      <c r="S26" s="49"/>
      <c r="T26" s="49"/>
    </row>
    <row r="27" spans="1:20" ht="21.95" customHeight="1" x14ac:dyDescent="0.25">
      <c r="A27" s="52"/>
      <c r="B27" s="51"/>
      <c r="C27" s="52"/>
      <c r="E27" s="23" t="s">
        <v>33</v>
      </c>
      <c r="F27" s="248">
        <v>206.16</v>
      </c>
      <c r="G27" s="248">
        <v>206.16</v>
      </c>
      <c r="H27" s="336">
        <v>0</v>
      </c>
      <c r="I27" s="49">
        <v>0</v>
      </c>
      <c r="J27" s="376">
        <v>0</v>
      </c>
      <c r="K27" s="362">
        <v>0</v>
      </c>
      <c r="L27" s="376">
        <v>780.73999999999796</v>
      </c>
      <c r="M27">
        <v>0</v>
      </c>
      <c r="N27" s="373" t="str">
        <f>HYPERLINK("http://finance.yahoo.com/q?s=" &amp; E27, "Link")</f>
        <v>Link</v>
      </c>
      <c r="O27" s="372">
        <v>2.0500000000000001E-2</v>
      </c>
      <c r="P27" s="372">
        <v>1.03E-2</v>
      </c>
      <c r="Q27" s="450"/>
      <c r="R27" s="49"/>
      <c r="S27" s="49"/>
    </row>
    <row r="28" spans="1:20" ht="21.95" customHeight="1" x14ac:dyDescent="0.25">
      <c r="A28" s="51"/>
      <c r="B28" s="51"/>
      <c r="C28" s="52"/>
      <c r="E28" s="23" t="s">
        <v>232</v>
      </c>
      <c r="F28" s="248">
        <v>78.040000000000006</v>
      </c>
      <c r="G28" s="248">
        <v>78.040000000000006</v>
      </c>
      <c r="H28" s="336">
        <v>0</v>
      </c>
      <c r="I28" s="49">
        <v>0</v>
      </c>
      <c r="J28" s="376">
        <v>0</v>
      </c>
      <c r="K28" s="362">
        <v>0</v>
      </c>
      <c r="L28" s="376">
        <v>231.53999999999996</v>
      </c>
      <c r="M28">
        <v>0</v>
      </c>
      <c r="N28" s="373" t="str">
        <f>HYPERLINK("http://finance.yahoo.com/q?s=" &amp; E28, "Link")</f>
        <v>Link</v>
      </c>
      <c r="O28" s="372">
        <v>1.6799999999999999E-2</v>
      </c>
      <c r="P28" s="372">
        <v>0.02</v>
      </c>
      <c r="R28" s="49"/>
      <c r="S28" s="49"/>
    </row>
    <row r="29" spans="1:20" ht="21.95" customHeight="1" x14ac:dyDescent="0.25">
      <c r="A29" s="51"/>
      <c r="B29" s="51"/>
      <c r="C29" s="52"/>
      <c r="E29" s="23" t="s">
        <v>62</v>
      </c>
      <c r="F29" s="248">
        <v>264.67</v>
      </c>
      <c r="G29" s="248">
        <v>264.67</v>
      </c>
      <c r="H29" s="336">
        <v>0</v>
      </c>
      <c r="I29" s="49">
        <v>0</v>
      </c>
      <c r="J29" s="376">
        <v>0</v>
      </c>
      <c r="K29" s="362">
        <v>0</v>
      </c>
      <c r="L29" s="376">
        <v>1659.3600000000079</v>
      </c>
      <c r="M29">
        <v>0</v>
      </c>
      <c r="N29" s="373" t="str">
        <f>HYPERLINK("http://finance.yahoo.com/q?s=" &amp; E29, "Link")</f>
        <v>Link</v>
      </c>
      <c r="O29" s="372">
        <v>0</v>
      </c>
      <c r="P29" s="372">
        <v>1.6999999999999999E-3</v>
      </c>
      <c r="R29" s="49"/>
      <c r="S29" s="49"/>
    </row>
    <row r="30" spans="1:20" ht="21.95" customHeight="1" x14ac:dyDescent="0.25">
      <c r="A30" s="51"/>
      <c r="B30" s="51"/>
      <c r="C30" s="52"/>
      <c r="E30" s="23" t="s">
        <v>354</v>
      </c>
      <c r="F30" s="248">
        <v>34.83</v>
      </c>
      <c r="G30" s="248">
        <v>34.83</v>
      </c>
      <c r="H30" s="50">
        <v>0</v>
      </c>
      <c r="I30" s="49">
        <v>0</v>
      </c>
      <c r="J30" s="376">
        <v>0</v>
      </c>
      <c r="K30" s="362">
        <v>0</v>
      </c>
      <c r="L30" s="49">
        <v>264.92000000000007</v>
      </c>
      <c r="M30">
        <v>0</v>
      </c>
      <c r="N30" s="373" t="str">
        <f>HYPERLINK("http://finance.yahoo.com/q?s=" &amp; E30, "Link")</f>
        <v>Link</v>
      </c>
      <c r="O30" s="362">
        <v>3.4200000000000001E-2</v>
      </c>
      <c r="P30" s="362">
        <v>-3.3999999999999998E-3</v>
      </c>
      <c r="Q30" s="152"/>
    </row>
    <row r="31" spans="1:20" ht="21.95" customHeight="1" x14ac:dyDescent="0.25">
      <c r="A31" s="52"/>
      <c r="B31" s="52"/>
      <c r="C31" s="52"/>
      <c r="E31" s="23" t="s">
        <v>8</v>
      </c>
      <c r="F31" s="248">
        <v>69.319999999999993</v>
      </c>
      <c r="G31" s="248">
        <v>69.319999999999993</v>
      </c>
      <c r="H31" s="336">
        <v>0</v>
      </c>
      <c r="I31" s="49">
        <v>0</v>
      </c>
      <c r="J31" s="376">
        <v>0</v>
      </c>
      <c r="K31" s="362">
        <v>0</v>
      </c>
      <c r="L31" s="376">
        <v>121.94999999999982</v>
      </c>
      <c r="M31">
        <v>0</v>
      </c>
      <c r="N31" s="373" t="str">
        <f>HYPERLINK("http://finance.yahoo.com/q?s=" &amp; E31, "Link")</f>
        <v>Link</v>
      </c>
      <c r="O31" s="372">
        <v>1.67E-2</v>
      </c>
      <c r="P31" s="372">
        <v>5.7999999999999996E-3</v>
      </c>
      <c r="Q31" s="49"/>
      <c r="S31" s="49"/>
    </row>
    <row r="32" spans="1:20" ht="21.95" customHeight="1" x14ac:dyDescent="0.25">
      <c r="A32" s="51"/>
      <c r="B32" s="51"/>
      <c r="C32" s="52"/>
      <c r="E32" s="23" t="s">
        <v>32</v>
      </c>
      <c r="F32" s="248">
        <v>47.81</v>
      </c>
      <c r="G32" s="248">
        <v>47.81</v>
      </c>
      <c r="H32" s="50">
        <v>0</v>
      </c>
      <c r="I32" s="49">
        <v>0</v>
      </c>
      <c r="J32" s="376">
        <v>0</v>
      </c>
      <c r="K32" s="362">
        <v>0</v>
      </c>
      <c r="L32" s="49">
        <v>1198.4699999999971</v>
      </c>
      <c r="M32">
        <v>0</v>
      </c>
      <c r="N32" s="373" t="str">
        <f>HYPERLINK("http://finance.yahoo.com/q?s=" &amp; E32, "Link")</f>
        <v>Link</v>
      </c>
      <c r="O32" s="362">
        <v>1.7100000000000001E-2</v>
      </c>
      <c r="P32" s="362">
        <v>9.1000000000000004E-3</v>
      </c>
      <c r="Q32" s="152"/>
      <c r="S32" s="49"/>
    </row>
    <row r="33" spans="1:20" ht="21.95" customHeight="1" x14ac:dyDescent="0.25">
      <c r="A33" s="51"/>
      <c r="B33" s="52"/>
      <c r="C33" s="52"/>
      <c r="E33" s="23" t="s">
        <v>284</v>
      </c>
      <c r="F33" s="248">
        <v>73.14</v>
      </c>
      <c r="G33" s="248">
        <v>73.14</v>
      </c>
      <c r="H33" s="336">
        <v>0</v>
      </c>
      <c r="I33" s="49">
        <v>0</v>
      </c>
      <c r="J33" s="376">
        <v>0</v>
      </c>
      <c r="K33" s="362">
        <v>0</v>
      </c>
      <c r="L33" s="376">
        <v>158.29999999999927</v>
      </c>
      <c r="M33">
        <v>0</v>
      </c>
      <c r="N33" s="373" t="str">
        <f>HYPERLINK("http://finance.yahoo.com/q?s=" &amp; E33, "Link")</f>
        <v>Link</v>
      </c>
      <c r="O33" s="372">
        <v>1.35E-2</v>
      </c>
      <c r="P33" s="372">
        <v>-4.8999999999999998E-3</v>
      </c>
      <c r="Q33" s="152"/>
      <c r="R33" s="49"/>
    </row>
    <row r="34" spans="1:20" ht="21.95" customHeight="1" x14ac:dyDescent="0.25">
      <c r="A34" s="51"/>
      <c r="B34" s="51"/>
      <c r="C34" s="52"/>
      <c r="E34" s="23" t="s">
        <v>63</v>
      </c>
      <c r="F34" s="248">
        <v>110.3</v>
      </c>
      <c r="G34" s="248">
        <v>110.3</v>
      </c>
      <c r="H34" s="336">
        <v>0</v>
      </c>
      <c r="I34" s="49">
        <v>0</v>
      </c>
      <c r="J34" s="376">
        <v>0</v>
      </c>
      <c r="K34" s="362">
        <v>0</v>
      </c>
      <c r="L34" s="376">
        <v>257.30999999999949</v>
      </c>
      <c r="M34">
        <v>0</v>
      </c>
      <c r="N34" s="373" t="str">
        <f>HYPERLINK("http://finance.yahoo.com/q?s=" &amp; E34, "Link")</f>
        <v>Link</v>
      </c>
      <c r="O34" s="372">
        <v>1.41E-2</v>
      </c>
      <c r="P34" s="372">
        <v>-2.8E-3</v>
      </c>
      <c r="Q34" s="450"/>
      <c r="R34" s="49"/>
      <c r="S34" s="49"/>
    </row>
    <row r="35" spans="1:20" ht="21.95" customHeight="1" x14ac:dyDescent="0.25">
      <c r="A35" s="51"/>
      <c r="B35" s="51"/>
      <c r="C35" s="52"/>
      <c r="E35" s="23" t="s">
        <v>201</v>
      </c>
      <c r="F35" s="248">
        <v>12.56</v>
      </c>
      <c r="G35" s="248">
        <v>12.56</v>
      </c>
      <c r="H35" s="336">
        <v>0</v>
      </c>
      <c r="I35" s="49">
        <v>0</v>
      </c>
      <c r="J35" s="376">
        <v>0</v>
      </c>
      <c r="K35" s="362">
        <v>0</v>
      </c>
      <c r="L35" s="376">
        <v>251.26000000000022</v>
      </c>
      <c r="M35">
        <v>0</v>
      </c>
      <c r="N35" s="373" t="str">
        <f>HYPERLINK("http://finance.yahoo.com/q?s=" &amp; E35, "Link")</f>
        <v>Link</v>
      </c>
      <c r="O35" s="372">
        <v>4.8500000000000001E-2</v>
      </c>
      <c r="P35" s="372">
        <v>2.2800000000000001E-2</v>
      </c>
      <c r="Q35" s="49"/>
      <c r="R35" s="49"/>
      <c r="S35" s="49"/>
      <c r="T35" s="49"/>
    </row>
    <row r="36" spans="1:20" ht="21.95" customHeight="1" x14ac:dyDescent="0.25">
      <c r="A36" s="51"/>
      <c r="B36" s="51"/>
      <c r="C36" s="52"/>
      <c r="E36" s="23" t="s">
        <v>285</v>
      </c>
      <c r="F36" s="248">
        <v>31.4</v>
      </c>
      <c r="G36" s="248">
        <v>31.4</v>
      </c>
      <c r="H36" s="336">
        <v>0</v>
      </c>
      <c r="I36" s="49">
        <v>0</v>
      </c>
      <c r="J36" s="376">
        <v>0</v>
      </c>
      <c r="K36" s="362">
        <v>0</v>
      </c>
      <c r="L36" s="376">
        <v>98.449999999999818</v>
      </c>
      <c r="M36">
        <v>0</v>
      </c>
      <c r="N36" s="373" t="str">
        <f>HYPERLINK("http://finance.yahoo.com/q?s=" &amp; E36, "Link")</f>
        <v>Link</v>
      </c>
      <c r="O36" s="372">
        <v>1.15E-2</v>
      </c>
      <c r="P36" s="372">
        <v>-1.9E-3</v>
      </c>
      <c r="Q36" s="152"/>
      <c r="R36" s="49"/>
      <c r="S36" s="49"/>
    </row>
    <row r="37" spans="1:20" ht="21.95" customHeight="1" x14ac:dyDescent="0.25">
      <c r="A37" s="51"/>
      <c r="B37" s="51"/>
      <c r="C37" s="52"/>
      <c r="E37" s="23" t="s">
        <v>56</v>
      </c>
      <c r="F37" s="248">
        <v>36.33</v>
      </c>
      <c r="G37" s="248">
        <v>36.33</v>
      </c>
      <c r="H37" s="336">
        <v>0</v>
      </c>
      <c r="I37" s="49">
        <v>0</v>
      </c>
      <c r="J37" s="376">
        <v>0</v>
      </c>
      <c r="K37" s="362">
        <v>0</v>
      </c>
      <c r="L37" s="376">
        <v>36.819999999999709</v>
      </c>
      <c r="M37">
        <v>0</v>
      </c>
      <c r="N37" s="373" t="str">
        <f>HYPERLINK("http://finance.yahoo.com/q?s=" &amp; E37, "Link")</f>
        <v>Link</v>
      </c>
      <c r="O37" s="372">
        <v>4.1500000000000002E-2</v>
      </c>
      <c r="P37" s="372">
        <v>1.6799999999999999E-2</v>
      </c>
      <c r="Q37" s="152"/>
      <c r="S37" s="49"/>
      <c r="T37" s="49"/>
    </row>
    <row r="38" spans="1:20" ht="21.95" customHeight="1" x14ac:dyDescent="0.25">
      <c r="A38" s="51"/>
      <c r="B38" s="51"/>
      <c r="C38" s="52"/>
      <c r="E38" s="23" t="s">
        <v>22</v>
      </c>
      <c r="F38" s="248">
        <v>54.31</v>
      </c>
      <c r="G38" s="248">
        <v>54.31</v>
      </c>
      <c r="H38" s="336">
        <v>0</v>
      </c>
      <c r="I38" s="49">
        <v>0</v>
      </c>
      <c r="J38" s="376">
        <v>0</v>
      </c>
      <c r="K38" s="362">
        <v>0</v>
      </c>
      <c r="L38" s="376">
        <v>3178.8000000000466</v>
      </c>
      <c r="M38">
        <v>0</v>
      </c>
      <c r="N38" s="373" t="str">
        <f>HYPERLINK("http://finance.yahoo.com/q?s=" &amp; E38, "Link")</f>
        <v>Link</v>
      </c>
      <c r="O38" s="372">
        <v>1.8499999999999999E-2</v>
      </c>
      <c r="P38" s="372">
        <v>6.4999999999999997E-3</v>
      </c>
    </row>
    <row r="39" spans="1:20" ht="21.95" customHeight="1" x14ac:dyDescent="0.25">
      <c r="A39" s="52"/>
      <c r="B39" s="52"/>
      <c r="C39" s="52"/>
      <c r="E39" s="23" t="s">
        <v>27</v>
      </c>
      <c r="F39" s="248">
        <v>36.520000000000003</v>
      </c>
      <c r="G39" s="248">
        <v>36.520000000000003</v>
      </c>
      <c r="H39" s="336">
        <v>0</v>
      </c>
      <c r="I39" s="49">
        <v>0</v>
      </c>
      <c r="J39" s="376">
        <v>0</v>
      </c>
      <c r="K39" s="362">
        <v>0</v>
      </c>
      <c r="L39" s="376">
        <v>1407.5400000000009</v>
      </c>
      <c r="M39">
        <v>0</v>
      </c>
      <c r="N39" s="373" t="str">
        <f>HYPERLINK("http://finance.yahoo.com/q?s=" &amp; E39, "Link")</f>
        <v>Link</v>
      </c>
      <c r="O39" s="372">
        <v>2.8199999999999999E-2</v>
      </c>
      <c r="P39" s="372">
        <v>2.7000000000000001E-3</v>
      </c>
      <c r="S39" s="49"/>
    </row>
    <row r="40" spans="1:20" ht="21.95" customHeight="1" x14ac:dyDescent="0.25">
      <c r="A40" s="51"/>
      <c r="B40" s="51"/>
      <c r="C40" s="52"/>
      <c r="E40" s="23" t="s">
        <v>174</v>
      </c>
      <c r="F40" s="248">
        <v>53.01</v>
      </c>
      <c r="G40" s="248">
        <v>53.01</v>
      </c>
      <c r="H40" s="336">
        <v>0</v>
      </c>
      <c r="I40" s="49">
        <v>0</v>
      </c>
      <c r="J40" s="376">
        <v>0</v>
      </c>
      <c r="K40" s="362">
        <v>0</v>
      </c>
      <c r="L40" s="376">
        <v>119.92000000000053</v>
      </c>
      <c r="M40">
        <v>0</v>
      </c>
      <c r="N40" s="373" t="str">
        <f>HYPERLINK("http://finance.yahoo.com/q?s=" &amp; E40, "Link")</f>
        <v>Link</v>
      </c>
      <c r="O40" s="372">
        <v>3.2500000000000001E-2</v>
      </c>
      <c r="P40" s="372">
        <v>-6.4000000000000003E-3</v>
      </c>
      <c r="Q40" s="49"/>
    </row>
    <row r="41" spans="1:20" ht="21.95" customHeight="1" x14ac:dyDescent="0.25">
      <c r="A41" s="51"/>
      <c r="B41" s="51"/>
      <c r="C41" s="52"/>
      <c r="E41" s="23" t="s">
        <v>15</v>
      </c>
      <c r="F41" s="248">
        <v>18.36</v>
      </c>
      <c r="G41" s="248">
        <v>18.36</v>
      </c>
      <c r="H41" s="50">
        <v>0</v>
      </c>
      <c r="I41" s="49">
        <v>0</v>
      </c>
      <c r="J41" s="376">
        <v>0</v>
      </c>
      <c r="K41" s="362">
        <v>0</v>
      </c>
      <c r="L41" s="49">
        <v>155.90000000000146</v>
      </c>
      <c r="M41">
        <v>0</v>
      </c>
      <c r="N41" s="373" t="str">
        <f>HYPERLINK("http://finance.yahoo.com/q?s=" &amp; E41, "Link")</f>
        <v>Link</v>
      </c>
      <c r="O41" s="362">
        <v>0</v>
      </c>
      <c r="P41" s="362">
        <v>9.9000000000000008E-3</v>
      </c>
      <c r="S41" s="49"/>
    </row>
    <row r="42" spans="1:20" ht="21.95" customHeight="1" x14ac:dyDescent="0.25">
      <c r="A42" s="159"/>
      <c r="B42" s="51"/>
      <c r="C42" s="52"/>
      <c r="E42" s="23" t="s">
        <v>24</v>
      </c>
      <c r="F42" s="248">
        <v>41.02</v>
      </c>
      <c r="G42" s="248">
        <v>41.02</v>
      </c>
      <c r="H42" s="50">
        <v>0</v>
      </c>
      <c r="I42" s="49">
        <v>0</v>
      </c>
      <c r="J42" s="376">
        <v>0</v>
      </c>
      <c r="K42" s="362">
        <v>0</v>
      </c>
      <c r="L42" s="49">
        <v>745.43999999999505</v>
      </c>
      <c r="M42">
        <v>0</v>
      </c>
      <c r="N42" s="373" t="str">
        <f>HYPERLINK("http://finance.yahoo.com/q?s=" &amp; E42, "Link")</f>
        <v>Link</v>
      </c>
      <c r="O42" s="362">
        <v>0</v>
      </c>
      <c r="P42" s="362">
        <v>3.2000000000000002E-3</v>
      </c>
      <c r="R42" s="49"/>
      <c r="S42" s="49"/>
    </row>
    <row r="43" spans="1:20" ht="21.95" customHeight="1" x14ac:dyDescent="0.25">
      <c r="A43" s="51"/>
      <c r="B43" s="51"/>
      <c r="C43" s="52"/>
      <c r="E43" s="23" t="s">
        <v>36</v>
      </c>
      <c r="F43" s="248">
        <v>52.88</v>
      </c>
      <c r="G43" s="248">
        <v>52.88</v>
      </c>
      <c r="H43" s="336">
        <v>0</v>
      </c>
      <c r="I43" s="49">
        <v>0</v>
      </c>
      <c r="J43" s="376">
        <v>0</v>
      </c>
      <c r="K43" s="362">
        <v>0</v>
      </c>
      <c r="L43" s="376">
        <v>117.73999999999978</v>
      </c>
      <c r="M43">
        <v>0</v>
      </c>
      <c r="N43" s="373" t="str">
        <f>HYPERLINK("http://finance.yahoo.com/q?s=" &amp; E43, "Link")</f>
        <v>Link</v>
      </c>
      <c r="O43" s="372">
        <v>7.6E-3</v>
      </c>
      <c r="P43" s="372">
        <v>4.0000000000000002E-4</v>
      </c>
    </row>
    <row r="44" spans="1:20" ht="21.95" customHeight="1" x14ac:dyDescent="0.25">
      <c r="A44" s="52"/>
      <c r="B44" s="52"/>
      <c r="C44" s="52"/>
      <c r="E44" s="23" t="s">
        <v>208</v>
      </c>
      <c r="F44" s="248">
        <v>39.21</v>
      </c>
      <c r="G44" s="248">
        <v>39.21</v>
      </c>
      <c r="H44" s="336">
        <v>0</v>
      </c>
      <c r="I44" s="49">
        <v>0</v>
      </c>
      <c r="J44" s="376">
        <v>0</v>
      </c>
      <c r="K44" s="362">
        <v>0</v>
      </c>
      <c r="L44" s="376">
        <v>439.77999999999975</v>
      </c>
      <c r="M44">
        <v>0</v>
      </c>
      <c r="N44" s="373" t="str">
        <f>HYPERLINK("http://finance.yahoo.com/q?s=" &amp; E44, "Link")</f>
        <v>Link</v>
      </c>
      <c r="O44" s="372">
        <v>0</v>
      </c>
      <c r="P44" s="372">
        <v>5.4000000000000003E-3</v>
      </c>
      <c r="T44" s="49"/>
    </row>
    <row r="45" spans="1:20" ht="21.95" customHeight="1" x14ac:dyDescent="0.25">
      <c r="A45" s="52"/>
      <c r="B45" s="159"/>
      <c r="C45" s="337"/>
      <c r="E45" s="23" t="s">
        <v>286</v>
      </c>
      <c r="F45" s="248">
        <v>47.74</v>
      </c>
      <c r="G45" s="248">
        <v>47.74</v>
      </c>
      <c r="H45" s="50">
        <v>0</v>
      </c>
      <c r="I45" s="49">
        <v>0</v>
      </c>
      <c r="J45" s="376">
        <v>0</v>
      </c>
      <c r="K45" s="362">
        <v>0</v>
      </c>
      <c r="L45" s="49">
        <v>427.92000000000007</v>
      </c>
      <c r="M45">
        <v>0</v>
      </c>
      <c r="N45" s="373" t="str">
        <f>HYPERLINK("http://finance.yahoo.com/q?s=" &amp; E45, "Link")</f>
        <v>Link</v>
      </c>
      <c r="O45" s="362">
        <v>0</v>
      </c>
      <c r="P45" s="362">
        <v>1.6999999999999999E-3</v>
      </c>
      <c r="Q45" s="152"/>
      <c r="R45" s="49"/>
      <c r="S45" s="49"/>
    </row>
    <row r="46" spans="1:20" ht="21.95" customHeight="1" x14ac:dyDescent="0.25">
      <c r="A46" s="51"/>
      <c r="B46" s="51"/>
      <c r="C46" s="52"/>
      <c r="E46" s="23" t="s">
        <v>47</v>
      </c>
      <c r="F46" s="248">
        <v>120.46</v>
      </c>
      <c r="G46" s="248">
        <v>120.46</v>
      </c>
      <c r="H46" s="336">
        <v>0</v>
      </c>
      <c r="I46" s="49">
        <v>0</v>
      </c>
      <c r="J46" s="376">
        <v>0</v>
      </c>
      <c r="K46" s="362">
        <v>0</v>
      </c>
      <c r="L46" s="376">
        <v>-168.6200000000008</v>
      </c>
      <c r="M46">
        <v>0</v>
      </c>
      <c r="N46" s="373" t="str">
        <f>HYPERLINK("http://finance.yahoo.com/q?s=" &amp; E46, "Link")</f>
        <v>Link</v>
      </c>
      <c r="O46" s="372">
        <v>2.0799999999999999E-2</v>
      </c>
      <c r="P46" s="372">
        <v>8.3000000000000001E-3</v>
      </c>
      <c r="Q46" s="152"/>
      <c r="T46" s="49"/>
    </row>
    <row r="47" spans="1:20" ht="21.95" customHeight="1" x14ac:dyDescent="0.25">
      <c r="A47" s="51"/>
      <c r="B47" s="51"/>
      <c r="C47" s="52"/>
      <c r="E47" s="23" t="s">
        <v>176</v>
      </c>
      <c r="F47" s="248">
        <v>46.89</v>
      </c>
      <c r="G47" s="248">
        <v>46.89</v>
      </c>
      <c r="H47" s="336">
        <v>0</v>
      </c>
      <c r="I47" s="49">
        <v>0</v>
      </c>
      <c r="J47" s="376">
        <v>0</v>
      </c>
      <c r="K47" s="362">
        <v>0</v>
      </c>
      <c r="L47" s="376">
        <v>75.019999999999982</v>
      </c>
      <c r="M47">
        <v>0</v>
      </c>
      <c r="N47" s="373" t="str">
        <f>HYPERLINK("http://finance.yahoo.com/q?s=" &amp; E47, "Link")</f>
        <v>Link</v>
      </c>
      <c r="O47" s="372">
        <v>1.61E-2</v>
      </c>
      <c r="P47" s="372">
        <v>-1.9199999999999998E-2</v>
      </c>
    </row>
    <row r="48" spans="1:20" ht="21.95" customHeight="1" x14ac:dyDescent="0.25">
      <c r="A48" s="51"/>
      <c r="B48" s="51"/>
      <c r="C48" s="52"/>
      <c r="E48" s="23" t="s">
        <v>23</v>
      </c>
      <c r="F48" s="248">
        <v>31.84</v>
      </c>
      <c r="G48" s="248">
        <v>31.84</v>
      </c>
      <c r="H48" s="50">
        <v>0</v>
      </c>
      <c r="I48" s="49">
        <v>0</v>
      </c>
      <c r="J48" s="376">
        <v>0</v>
      </c>
      <c r="K48" s="362">
        <v>0</v>
      </c>
      <c r="L48" s="49">
        <v>21.970000000000027</v>
      </c>
      <c r="M48">
        <v>0</v>
      </c>
      <c r="N48" s="373" t="str">
        <f>HYPERLINK("http://finance.yahoo.com/q?s=" &amp; E48, "Link")</f>
        <v>Link</v>
      </c>
      <c r="O48" s="362">
        <v>0</v>
      </c>
      <c r="P48" s="362">
        <v>1.14E-2</v>
      </c>
    </row>
    <row r="49" spans="1:22" ht="21.95" customHeight="1" x14ac:dyDescent="0.25">
      <c r="A49" s="51"/>
      <c r="B49" s="51"/>
      <c r="C49" s="52"/>
      <c r="E49" s="23" t="s">
        <v>177</v>
      </c>
      <c r="F49" s="248">
        <v>229.34</v>
      </c>
      <c r="G49" s="248">
        <v>229.34</v>
      </c>
      <c r="H49" s="336">
        <v>0</v>
      </c>
      <c r="I49" s="49">
        <v>0</v>
      </c>
      <c r="J49" s="376">
        <v>0</v>
      </c>
      <c r="K49" s="362">
        <v>0</v>
      </c>
      <c r="L49" s="376">
        <v>160.82999999999993</v>
      </c>
      <c r="M49">
        <v>0</v>
      </c>
      <c r="N49" s="373" t="str">
        <f>HYPERLINK("http://finance.yahoo.com/q?s=" &amp; E49, "Link")</f>
        <v>Link</v>
      </c>
      <c r="O49" s="372">
        <v>0</v>
      </c>
      <c r="P49" s="372">
        <v>6.8999999999999999E-3</v>
      </c>
      <c r="Q49" s="152"/>
      <c r="S49" s="49"/>
    </row>
    <row r="50" spans="1:22" ht="21.95" customHeight="1" x14ac:dyDescent="0.25">
      <c r="A50" s="51"/>
      <c r="B50" s="52"/>
      <c r="C50" s="52"/>
      <c r="E50" s="23" t="s">
        <v>172</v>
      </c>
      <c r="F50" s="248">
        <v>91.56</v>
      </c>
      <c r="G50" s="248">
        <v>91.56</v>
      </c>
      <c r="H50" s="336">
        <v>0</v>
      </c>
      <c r="I50" s="49">
        <v>0</v>
      </c>
      <c r="J50" s="376">
        <v>0</v>
      </c>
      <c r="K50" s="362">
        <v>0</v>
      </c>
      <c r="L50" s="376">
        <v>1368.8999999999978</v>
      </c>
      <c r="M50">
        <v>0</v>
      </c>
      <c r="N50" s="373" t="str">
        <f>HYPERLINK("http://finance.yahoo.com/q?s=" &amp; E50, "Link")</f>
        <v>Link</v>
      </c>
      <c r="O50" s="372">
        <v>1.2200000000000001E-2</v>
      </c>
      <c r="P50" s="372">
        <v>4.8999999999999998E-3</v>
      </c>
      <c r="R50" s="49"/>
      <c r="T50" s="49"/>
    </row>
    <row r="51" spans="1:22" ht="21.95" customHeight="1" x14ac:dyDescent="0.25">
      <c r="A51" s="51"/>
      <c r="B51" s="51"/>
      <c r="C51" s="52"/>
      <c r="E51" s="23" t="s">
        <v>396</v>
      </c>
      <c r="F51" s="248">
        <v>34.44</v>
      </c>
      <c r="G51" s="248">
        <v>34.44</v>
      </c>
      <c r="H51" s="336">
        <v>0</v>
      </c>
      <c r="I51" s="49">
        <v>0</v>
      </c>
      <c r="J51" s="376">
        <v>-46.489999999999782</v>
      </c>
      <c r="K51" s="362">
        <v>0</v>
      </c>
      <c r="L51" s="376">
        <v>-46.489999999999782</v>
      </c>
      <c r="M51">
        <v>0</v>
      </c>
      <c r="N51" s="373" t="str">
        <f>HYPERLINK("http://finance.yahoo.com/q?s=" &amp; E51, "Link")</f>
        <v>Link</v>
      </c>
      <c r="O51" s="372">
        <v>4.07E-2</v>
      </c>
      <c r="P51" s="372">
        <v>7.3000000000000001E-3</v>
      </c>
      <c r="R51" s="49"/>
      <c r="S51" s="49"/>
      <c r="T51" s="49"/>
    </row>
    <row r="52" spans="1:22" ht="21.95" customHeight="1" x14ac:dyDescent="0.25">
      <c r="A52" s="61"/>
      <c r="B52" s="62"/>
      <c r="C52" s="61"/>
      <c r="E52" s="23" t="s">
        <v>39</v>
      </c>
      <c r="F52" s="248">
        <v>44.6</v>
      </c>
      <c r="G52" s="248">
        <v>44.6</v>
      </c>
      <c r="H52" s="336">
        <v>0</v>
      </c>
      <c r="I52" s="49">
        <v>0</v>
      </c>
      <c r="J52" s="376">
        <v>0</v>
      </c>
      <c r="K52" s="362">
        <v>0</v>
      </c>
      <c r="L52" s="376">
        <v>529.88000000000284</v>
      </c>
      <c r="M52">
        <v>0</v>
      </c>
      <c r="N52" s="373" t="str">
        <f>HYPERLINK("http://finance.yahoo.com/q?s=" &amp; E52, "Link")</f>
        <v>Link</v>
      </c>
      <c r="O52" s="372">
        <v>2.3400000000000001E-2</v>
      </c>
      <c r="P52" s="372">
        <v>8.9999999999999993E-3</v>
      </c>
      <c r="R52" s="49"/>
    </row>
    <row r="53" spans="1:22" ht="21.95" customHeight="1" x14ac:dyDescent="0.25">
      <c r="A53" s="51"/>
      <c r="B53" s="51"/>
      <c r="C53" s="52"/>
      <c r="E53" s="23" t="s">
        <v>13</v>
      </c>
      <c r="F53" s="248">
        <v>73.06</v>
      </c>
      <c r="G53" s="248">
        <v>73.06</v>
      </c>
      <c r="H53" s="336">
        <v>0</v>
      </c>
      <c r="I53" s="49">
        <v>0</v>
      </c>
      <c r="J53" s="376">
        <v>0</v>
      </c>
      <c r="K53" s="362">
        <v>0</v>
      </c>
      <c r="L53" s="376">
        <v>1461.5600000000013</v>
      </c>
      <c r="M53">
        <v>0</v>
      </c>
      <c r="N53" s="373" t="str">
        <f>HYPERLINK("http://finance.yahoo.com/q?s=" &amp; E53, "Link")</f>
        <v>Link</v>
      </c>
      <c r="O53" s="372">
        <v>0</v>
      </c>
      <c r="P53" s="372">
        <v>1.2800000000000001E-2</v>
      </c>
      <c r="Q53" s="49"/>
      <c r="R53" s="49"/>
      <c r="S53" s="49"/>
      <c r="T53" s="360"/>
      <c r="U53" s="360"/>
    </row>
    <row r="54" spans="1:22" ht="21.95" customHeight="1" x14ac:dyDescent="0.25">
      <c r="A54" s="51"/>
      <c r="B54" s="51"/>
      <c r="C54" s="52"/>
      <c r="E54" s="23" t="s">
        <v>51</v>
      </c>
      <c r="F54" s="248">
        <v>161.87</v>
      </c>
      <c r="G54" s="248">
        <v>161.87</v>
      </c>
      <c r="H54" s="50">
        <v>0</v>
      </c>
      <c r="I54" s="49">
        <v>0</v>
      </c>
      <c r="J54" s="376">
        <v>0</v>
      </c>
      <c r="K54" s="362">
        <v>0</v>
      </c>
      <c r="L54" s="49">
        <v>176.70000000000073</v>
      </c>
      <c r="M54">
        <v>0</v>
      </c>
      <c r="N54" s="373" t="str">
        <f>HYPERLINK("http://finance.yahoo.com/q?s=" &amp; E54, "Link")</f>
        <v>Link</v>
      </c>
      <c r="O54" s="362">
        <v>1.54E-2</v>
      </c>
      <c r="P54" s="362">
        <v>6.8999999999999999E-3</v>
      </c>
      <c r="Q54" s="152"/>
      <c r="R54" s="49"/>
      <c r="S54" s="49"/>
      <c r="T54" s="49"/>
    </row>
    <row r="55" spans="1:22" ht="21.95" customHeight="1" x14ac:dyDescent="0.25">
      <c r="A55" s="52"/>
      <c r="B55" s="52"/>
      <c r="C55" s="52"/>
      <c r="E55" s="23" t="s">
        <v>42</v>
      </c>
      <c r="F55" s="248">
        <v>108.51</v>
      </c>
      <c r="G55" s="248">
        <v>108.51</v>
      </c>
      <c r="H55" s="336">
        <v>0</v>
      </c>
      <c r="I55" s="49">
        <v>0</v>
      </c>
      <c r="J55" s="376">
        <v>0</v>
      </c>
      <c r="K55" s="362">
        <v>0</v>
      </c>
      <c r="L55" s="376">
        <v>128.08999999999833</v>
      </c>
      <c r="M55">
        <v>0</v>
      </c>
      <c r="N55" s="373" t="str">
        <f>HYPERLINK("http://finance.yahoo.com/q?s=" &amp; E55, "Link")</f>
        <v>Link</v>
      </c>
      <c r="O55" s="372">
        <v>2.0799999999999999E-2</v>
      </c>
      <c r="P55" s="372">
        <v>1.1299999999999999E-2</v>
      </c>
      <c r="Q55" s="49"/>
      <c r="R55" s="49"/>
      <c r="T55" s="49"/>
      <c r="V55" s="49"/>
    </row>
    <row r="56" spans="1:22" ht="21.95" customHeight="1" x14ac:dyDescent="0.25">
      <c r="A56" s="51"/>
      <c r="B56" s="51"/>
      <c r="C56" s="51"/>
      <c r="E56" s="23" t="s">
        <v>54</v>
      </c>
      <c r="F56" s="248">
        <v>109.65</v>
      </c>
      <c r="G56" s="248">
        <v>109.65</v>
      </c>
      <c r="H56" s="50">
        <v>0</v>
      </c>
      <c r="I56" s="49">
        <v>0</v>
      </c>
      <c r="J56" s="376">
        <v>0</v>
      </c>
      <c r="K56" s="362">
        <v>0</v>
      </c>
      <c r="L56" s="49">
        <v>114.84999999999991</v>
      </c>
      <c r="M56">
        <v>0</v>
      </c>
      <c r="N56" s="373" t="str">
        <f>HYPERLINK("http://finance.yahoo.com/q?s=" &amp; E56, "Link")</f>
        <v>Link</v>
      </c>
      <c r="O56" s="362">
        <v>2.4199999999999999E-2</v>
      </c>
      <c r="P56" s="362">
        <v>1.1900000000000001E-2</v>
      </c>
      <c r="S56" s="49"/>
    </row>
    <row r="57" spans="1:22" ht="21.95" customHeight="1" x14ac:dyDescent="0.25">
      <c r="A57" s="52"/>
      <c r="B57" s="52"/>
      <c r="C57" s="52"/>
      <c r="E57" s="23" t="s">
        <v>231</v>
      </c>
      <c r="F57" s="248">
        <v>49.65</v>
      </c>
      <c r="G57" s="248">
        <v>49.65</v>
      </c>
      <c r="H57" s="336">
        <v>0</v>
      </c>
      <c r="I57" s="49">
        <v>0</v>
      </c>
      <c r="J57" s="376">
        <v>0</v>
      </c>
      <c r="K57" s="362">
        <v>0</v>
      </c>
      <c r="L57" s="376">
        <v>257.64999999999964</v>
      </c>
      <c r="M57">
        <v>0</v>
      </c>
      <c r="N57" s="373" t="str">
        <f>HYPERLINK("http://finance.yahoo.com/q?s=" &amp; E57, "Link")</f>
        <v>Link</v>
      </c>
      <c r="O57" s="372">
        <v>0</v>
      </c>
      <c r="P57" s="372">
        <v>3.5999999999999999E-3</v>
      </c>
      <c r="R57" s="49"/>
    </row>
    <row r="58" spans="1:22" ht="21.95" customHeight="1" x14ac:dyDescent="0.25">
      <c r="A58" s="51"/>
      <c r="B58" s="51"/>
      <c r="C58" s="52"/>
      <c r="E58" s="23" t="s">
        <v>53</v>
      </c>
      <c r="F58" s="248">
        <v>70.33</v>
      </c>
      <c r="G58" s="248">
        <v>70.33</v>
      </c>
      <c r="H58" s="336">
        <v>0</v>
      </c>
      <c r="I58" s="49">
        <v>0</v>
      </c>
      <c r="J58" s="376">
        <v>0</v>
      </c>
      <c r="K58" s="362">
        <v>0</v>
      </c>
      <c r="L58" s="376">
        <v>33.940000000000055</v>
      </c>
      <c r="M58">
        <v>0</v>
      </c>
      <c r="N58" s="373" t="str">
        <f>HYPERLINK("http://finance.yahoo.com/q?s=" &amp; E58, "Link")</f>
        <v>Link</v>
      </c>
      <c r="O58" s="372">
        <v>7.1999999999999998E-3</v>
      </c>
      <c r="P58" s="372">
        <v>1.7100000000000001E-2</v>
      </c>
      <c r="Q58" s="152"/>
    </row>
    <row r="59" spans="1:22" ht="21.95" customHeight="1" x14ac:dyDescent="0.25">
      <c r="A59" s="51"/>
      <c r="B59" s="51"/>
      <c r="C59" s="52"/>
      <c r="E59" s="23"/>
      <c r="H59" s="336"/>
      <c r="I59" s="439"/>
      <c r="J59" s="376"/>
      <c r="K59" s="362"/>
      <c r="L59" s="376"/>
      <c r="N59" s="373"/>
      <c r="O59" s="372"/>
      <c r="P59" s="372"/>
      <c r="R59" s="49"/>
    </row>
    <row r="60" spans="1:22" ht="21.95" customHeight="1" x14ac:dyDescent="0.25">
      <c r="A60" s="51"/>
      <c r="B60" s="51"/>
      <c r="C60" s="52"/>
      <c r="E60" s="23"/>
      <c r="H60" s="336"/>
      <c r="J60" s="376"/>
      <c r="K60" s="362"/>
      <c r="L60" s="376"/>
      <c r="N60" s="373"/>
      <c r="O60" s="372"/>
      <c r="P60" s="372"/>
    </row>
  </sheetData>
  <sortState ref="E2:P58">
    <sortCondition descending="1" ref="I1"/>
  </sortState>
  <dataConsolidate/>
  <conditionalFormatting sqref="O1:O1048576">
    <cfRule type="expression" dxfId="1093" priority="57">
      <formula>$O1=0</formula>
    </cfRule>
    <cfRule type="dataBar" priority="43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2:I58">
    <cfRule type="expression" dxfId="1092" priority="13">
      <formula>$H2=0</formula>
    </cfRule>
  </conditionalFormatting>
  <conditionalFormatting sqref="J2:K200">
    <cfRule type="expression" dxfId="1091" priority="14">
      <formula>$J2=0</formula>
    </cfRule>
  </conditionalFormatting>
  <conditionalFormatting sqref="L1:L1048576">
    <cfRule type="expression" dxfId="1090" priority="12">
      <formula>$L2=0</formula>
    </cfRule>
  </conditionalFormatting>
  <conditionalFormatting sqref="M1">
    <cfRule type="expression" dxfId="1089" priority="8">
      <formula>$L2=0</formula>
    </cfRule>
  </conditionalFormatting>
  <conditionalFormatting sqref="J2:K58">
    <cfRule type="expression" dxfId="1088" priority="56">
      <formula>$J2&gt;0</formula>
    </cfRule>
  </conditionalFormatting>
  <conditionalFormatting sqref="L2:L58">
    <cfRule type="expression" dxfId="1087" priority="10">
      <formula>$L2&lt;0</formula>
    </cfRule>
    <cfRule type="expression" dxfId="1086" priority="11">
      <formula>$L2&gt;0</formula>
    </cfRule>
  </conditionalFormatting>
  <conditionalFormatting sqref="J2:K458">
    <cfRule type="expression" dxfId="1085" priority="55">
      <formula>$J2&lt;0</formula>
    </cfRule>
  </conditionalFormatting>
  <conditionalFormatting sqref="P1:P1048576">
    <cfRule type="expression" dxfId="1084" priority="1">
      <formula>$O1=0</formula>
    </cfRule>
    <cfRule type="dataBar" priority="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{2586F859-A01C-427B-89A4-95B79FD6164C}</x14:id>
        </ext>
      </extLst>
    </cfRule>
  </conditionalFormatting>
  <hyperlinks>
    <hyperlink ref="E29" location="BIIB!A1" display="BIIB"/>
    <hyperlink ref="E44" location="MYL!A1" display="MYL"/>
    <hyperlink ref="E11" location="SIG!A1" display="SIG"/>
    <hyperlink ref="E24" location="AAPL!A1" display="AAPL"/>
    <hyperlink ref="E28" location="AXP!A1" display="AXP"/>
    <hyperlink ref="E33" location="DG!A1" display="DG"/>
    <hyperlink ref="E48" location="PINC!A1" display="PINC"/>
    <hyperlink ref="E36" location="FOXA!A1" display="FOXA"/>
    <hyperlink ref="E8" location="AOBC!A1" display="AOBC"/>
    <hyperlink ref="E43" location="LUV!A1" display="LUV"/>
    <hyperlink ref="E30" location="CCE!A1" display="CCE"/>
    <hyperlink ref="E10" location="BMY!A1" display="BMY"/>
    <hyperlink ref="E25" location="AKAM!A1" display="AKAM"/>
    <hyperlink ref="E7" location="CVS!A1" display="CVS"/>
    <hyperlink ref="E2" location="MRO!A1" display="MRO"/>
    <hyperlink ref="E6" location="KR!A1" display="KR"/>
    <hyperlink ref="E35" location="F!A1" display="F"/>
    <hyperlink ref="E15" location="JNJ!A1" display="JNJ"/>
    <hyperlink ref="E3" location="CPN!A1" display="CPN"/>
    <hyperlink ref="E9" location="EW!A1" display="EW"/>
    <hyperlink ref="E20" location="NKE!A1" display="NKE"/>
    <hyperlink ref="E18" location="MOS!A1" display="MOS"/>
    <hyperlink ref="E19" location="MJN!A1" display="MJN"/>
    <hyperlink ref="E57" location="VGK!A1" display="VGK"/>
    <hyperlink ref="E4" location="MU!A1" display="MU"/>
    <hyperlink ref="E40" location="IP!A1" display="IP"/>
    <hyperlink ref="E39" location="INTC!A1" display="INTC"/>
    <hyperlink ref="E38" location="HES!A1" display="HES"/>
    <hyperlink ref="E55" location="UNP!A1" display="UNP"/>
    <hyperlink ref="E45" location="NCLH!A1" display="NCLH"/>
    <hyperlink ref="E49" location="SPY!A1" display="SPY"/>
    <hyperlink ref="E50" location="SWKS!A1" display="SWKS"/>
    <hyperlink ref="E31" location="CNI!A1" display="CNI"/>
    <hyperlink ref="E13" location="WFC!A1" display="WFC"/>
    <hyperlink ref="E23" location="AA!A1" display="AA"/>
    <hyperlink ref="E41" location="KATE!A1" display="KATE"/>
    <hyperlink ref="E16" location="CF!A1" display="CF"/>
    <hyperlink ref="E21" location="TGT!A1" display="TGT"/>
    <hyperlink ref="E47" location="NWL!A1" display="NWL"/>
    <hyperlink ref="E42" location="KORS!A1" display="KORS"/>
    <hyperlink ref="E26" location="ALL!A1" display="ALL"/>
    <hyperlink ref="E46" location="NSC!A1" display="NSC"/>
    <hyperlink ref="E27" location="AVGO!A1" display="AVGO"/>
    <hyperlink ref="E53" location="UAL!A1" display="UAL"/>
    <hyperlink ref="E14" location="CAH!A1" display="CAH"/>
    <hyperlink ref="E32" location="DAL!A1" display="DAL"/>
    <hyperlink ref="E51" location="TEVA!A1" display="TEVA"/>
    <hyperlink ref="E34" location="DIS!A1" display="DIS"/>
    <hyperlink ref="E12" location="FTR!A1" display="FTR"/>
    <hyperlink ref="E5" location="GILD!A1" display="GILD"/>
    <hyperlink ref="E58" location="WWD!A1" display="WWD"/>
    <hyperlink ref="E17" location="GIS!A1" display="GIS"/>
    <hyperlink ref="E37" location="GM!A1" display="GM"/>
    <hyperlink ref="E22" location="TMO!A1" display="TMO"/>
    <hyperlink ref="E52" location="TKR!A1" display="TKR"/>
    <hyperlink ref="E56" location="UTX!A1" display="UTX"/>
    <hyperlink ref="E54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O1:O1048576</xm:sqref>
        </x14:conditionalFormatting>
        <x14:conditionalFormatting xmlns:xm="http://schemas.microsoft.com/office/excel/2006/main">
          <x14:cfRule type="dataBar" id="{2586F859-A01C-427B-89A4-95B79FD6164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P1:P1048576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U283"/>
  <sheetViews>
    <sheetView topLeftCell="B1" workbookViewId="0">
      <pane ySplit="1" topLeftCell="A236" activePane="bottomLeft" state="frozen"/>
      <selection activeCell="E5" sqref="E5"/>
      <selection pane="bottomLeft" activeCell="E261" sqref="E261"/>
    </sheetView>
  </sheetViews>
  <sheetFormatPr defaultColWidth="9.140625" defaultRowHeight="18" customHeight="1" x14ac:dyDescent="0.25"/>
  <cols>
    <col min="1" max="1" width="9.5703125" style="287" bestFit="1" customWidth="1"/>
    <col min="2" max="2" width="11.28515625" style="25" customWidth="1"/>
    <col min="3" max="3" width="13.85546875" style="28" customWidth="1"/>
    <col min="4" max="4" width="12.5703125" style="25" customWidth="1"/>
    <col min="5" max="5" width="12.5703125" style="27" customWidth="1"/>
    <col min="6" max="6" width="13.7109375" style="25" customWidth="1"/>
    <col min="7" max="7" width="11.7109375" style="28" customWidth="1"/>
    <col min="8" max="8" width="12.42578125" style="25" customWidth="1"/>
    <col min="9" max="9" width="12.42578125" style="27" customWidth="1"/>
    <col min="10" max="10" width="9.28515625" style="28" bestFit="1" customWidth="1"/>
    <col min="11" max="11" width="9.28515625" style="27" bestFit="1" customWidth="1"/>
    <col min="12" max="12" width="11.42578125" style="28" bestFit="1" customWidth="1"/>
    <col min="13" max="13" width="9.28515625" style="28" bestFit="1" customWidth="1"/>
    <col min="14" max="14" width="10.140625" style="25" bestFit="1" customWidth="1"/>
    <col min="15" max="15" width="9.140625" style="25"/>
    <col min="16" max="16" width="9.5703125" style="25" bestFit="1" customWidth="1"/>
    <col min="17" max="17" width="11.28515625" style="25" bestFit="1" customWidth="1"/>
    <col min="18" max="19" width="10.140625" style="25" bestFit="1" customWidth="1"/>
    <col min="20" max="16384" width="9.140625" style="25"/>
  </cols>
  <sheetData>
    <row r="1" spans="1:17" s="24" customFormat="1" ht="18" customHeight="1" x14ac:dyDescent="0.25">
      <c r="A1" s="311" t="s">
        <v>1</v>
      </c>
      <c r="B1" s="312" t="s">
        <v>2</v>
      </c>
      <c r="C1" s="313" t="s">
        <v>4</v>
      </c>
      <c r="D1" s="312" t="s">
        <v>5</v>
      </c>
      <c r="E1" s="312" t="s">
        <v>94</v>
      </c>
      <c r="F1" s="314" t="s">
        <v>60</v>
      </c>
      <c r="G1" s="312" t="s">
        <v>3</v>
      </c>
      <c r="H1" s="313" t="s">
        <v>6</v>
      </c>
      <c r="I1" s="312" t="s">
        <v>7</v>
      </c>
      <c r="J1" s="313" t="s">
        <v>95</v>
      </c>
      <c r="K1" s="314" t="s">
        <v>61</v>
      </c>
      <c r="L1" s="312" t="s">
        <v>77</v>
      </c>
      <c r="M1" s="314" t="s">
        <v>38</v>
      </c>
      <c r="N1" s="313" t="s">
        <v>59</v>
      </c>
      <c r="O1" s="313" t="s">
        <v>76</v>
      </c>
      <c r="P1" s="24" t="s">
        <v>133</v>
      </c>
    </row>
    <row r="2" spans="1:17" ht="18" customHeight="1" x14ac:dyDescent="0.25">
      <c r="A2" s="300" t="s">
        <v>12</v>
      </c>
      <c r="B2" s="301">
        <v>42151</v>
      </c>
      <c r="C2" s="302">
        <v>5</v>
      </c>
      <c r="D2" s="303">
        <v>42.7</v>
      </c>
      <c r="E2" s="304"/>
      <c r="F2" s="303">
        <f>C2*D2</f>
        <v>213.5</v>
      </c>
      <c r="G2" s="301">
        <v>42181</v>
      </c>
      <c r="H2" s="302">
        <v>5</v>
      </c>
      <c r="I2" s="303">
        <v>43.35</v>
      </c>
      <c r="J2" s="302">
        <v>0.01</v>
      </c>
      <c r="K2" s="303">
        <f>H2*I2-J2</f>
        <v>216.74</v>
      </c>
      <c r="L2" s="304"/>
      <c r="M2" s="303"/>
      <c r="N2" s="303"/>
      <c r="O2" s="305"/>
    </row>
    <row r="3" spans="1:17" ht="18" customHeight="1" x14ac:dyDescent="0.25">
      <c r="A3" s="300"/>
      <c r="B3" s="301">
        <v>42153</v>
      </c>
      <c r="C3" s="302">
        <v>25</v>
      </c>
      <c r="D3" s="303">
        <v>41.6</v>
      </c>
      <c r="E3" s="304"/>
      <c r="F3" s="303">
        <f>C3*D3</f>
        <v>1040</v>
      </c>
      <c r="G3" s="301">
        <v>42200</v>
      </c>
      <c r="H3" s="302">
        <v>10</v>
      </c>
      <c r="I3" s="303">
        <v>41.64</v>
      </c>
      <c r="J3" s="302">
        <v>0.01</v>
      </c>
      <c r="K3" s="303">
        <f>H3*I3-J3</f>
        <v>416.39</v>
      </c>
      <c r="L3" s="304"/>
      <c r="M3" s="303"/>
      <c r="N3" s="303"/>
      <c r="O3" s="305"/>
    </row>
    <row r="4" spans="1:17" ht="18" customHeight="1" x14ac:dyDescent="0.25">
      <c r="A4" s="300"/>
      <c r="B4" s="301">
        <v>42166</v>
      </c>
      <c r="C4" s="302">
        <v>10</v>
      </c>
      <c r="D4" s="303">
        <v>40</v>
      </c>
      <c r="E4" s="304"/>
      <c r="F4" s="303">
        <f>C4*D4</f>
        <v>400</v>
      </c>
      <c r="G4" s="301">
        <v>42201</v>
      </c>
      <c r="H4" s="302">
        <v>125</v>
      </c>
      <c r="I4" s="303">
        <v>42.6</v>
      </c>
      <c r="J4" s="302">
        <v>0.1</v>
      </c>
      <c r="K4" s="303">
        <f>H4*I4-J4</f>
        <v>5324.9</v>
      </c>
      <c r="L4" s="304"/>
      <c r="M4" s="303"/>
      <c r="N4" s="303"/>
      <c r="O4" s="305"/>
      <c r="Q4" s="153"/>
    </row>
    <row r="5" spans="1:17" ht="18" customHeight="1" x14ac:dyDescent="0.25">
      <c r="A5" s="300"/>
      <c r="B5" s="301">
        <v>42166</v>
      </c>
      <c r="C5" s="302">
        <v>100</v>
      </c>
      <c r="D5" s="303">
        <v>39.799999999999997</v>
      </c>
      <c r="E5" s="304"/>
      <c r="F5" s="303">
        <f>C5*D5</f>
        <v>3979.9999999999995</v>
      </c>
      <c r="G5" s="304"/>
      <c r="H5" s="302"/>
      <c r="I5" s="303"/>
      <c r="J5" s="302"/>
      <c r="K5" s="303"/>
      <c r="L5" s="304"/>
      <c r="M5" s="303"/>
      <c r="N5" s="303"/>
      <c r="O5" s="305"/>
    </row>
    <row r="6" spans="1:17" ht="17.25" customHeight="1" x14ac:dyDescent="0.25">
      <c r="A6" s="300"/>
      <c r="B6" s="306"/>
      <c r="C6" s="307">
        <f>SUM(C2:C5)</f>
        <v>140</v>
      </c>
      <c r="D6" s="308"/>
      <c r="E6" s="309"/>
      <c r="F6" s="308">
        <f>SUM(F2:F5)</f>
        <v>5633.5</v>
      </c>
      <c r="G6" s="309"/>
      <c r="H6" s="307">
        <f>SUM(H2:H5)</f>
        <v>140</v>
      </c>
      <c r="I6" s="308"/>
      <c r="J6" s="307"/>
      <c r="K6" s="308">
        <f>SUM(K2:K5)</f>
        <v>5958.03</v>
      </c>
      <c r="L6" s="309"/>
      <c r="M6" s="308"/>
      <c r="N6" s="308">
        <f>K6-F6</f>
        <v>324.52999999999975</v>
      </c>
      <c r="O6" s="310">
        <f>(N6+M6)/F6</f>
        <v>5.7607171385461925E-2</v>
      </c>
      <c r="P6" s="143" t="s">
        <v>134</v>
      </c>
    </row>
    <row r="7" spans="1:17" ht="17.25" customHeight="1" x14ac:dyDescent="0.25">
      <c r="A7" s="288"/>
      <c r="B7" s="147"/>
      <c r="C7" s="148"/>
      <c r="D7" s="149"/>
      <c r="E7" s="25"/>
      <c r="F7" s="149"/>
      <c r="G7" s="150"/>
      <c r="H7" s="148"/>
      <c r="I7" s="149"/>
      <c r="K7" s="149"/>
      <c r="L7" s="150"/>
      <c r="M7" s="149"/>
      <c r="N7" s="149"/>
      <c r="O7" s="151"/>
      <c r="P7" s="143"/>
    </row>
    <row r="8" spans="1:17" ht="17.25" customHeight="1" x14ac:dyDescent="0.25">
      <c r="A8" s="289" t="s">
        <v>18</v>
      </c>
      <c r="B8" s="290">
        <v>42153</v>
      </c>
      <c r="C8" s="291">
        <v>50</v>
      </c>
      <c r="D8" s="292">
        <v>36.4</v>
      </c>
      <c r="E8" s="292">
        <v>0</v>
      </c>
      <c r="F8" s="292">
        <f t="shared" ref="F8:F15" si="0">C8*D8</f>
        <v>1820</v>
      </c>
      <c r="G8" s="290">
        <v>42333</v>
      </c>
      <c r="H8" s="293">
        <v>80</v>
      </c>
      <c r="I8" s="292">
        <v>8.7200000000000006</v>
      </c>
      <c r="J8" s="292">
        <v>0.01</v>
      </c>
      <c r="K8" s="292">
        <f>I8*H8-J8</f>
        <v>697.59</v>
      </c>
      <c r="L8" s="291"/>
      <c r="M8" s="291"/>
      <c r="N8" s="291"/>
      <c r="O8" s="294"/>
      <c r="P8" s="4"/>
      <c r="Q8" s="185"/>
    </row>
    <row r="9" spans="1:17" ht="17.25" customHeight="1" x14ac:dyDescent="0.25">
      <c r="A9" s="295"/>
      <c r="B9" s="290">
        <v>42173</v>
      </c>
      <c r="C9" s="291">
        <v>5</v>
      </c>
      <c r="D9" s="292">
        <v>22.95</v>
      </c>
      <c r="E9" s="292">
        <v>0</v>
      </c>
      <c r="F9" s="292">
        <f t="shared" si="0"/>
        <v>114.75</v>
      </c>
      <c r="G9" s="290">
        <v>42335</v>
      </c>
      <c r="H9" s="293">
        <v>80</v>
      </c>
      <c r="I9" s="292">
        <v>8.98</v>
      </c>
      <c r="J9" s="292">
        <v>0.01</v>
      </c>
      <c r="K9" s="292">
        <f>I9*H9-J9</f>
        <v>718.3900000000001</v>
      </c>
      <c r="L9" s="291"/>
      <c r="M9" s="291"/>
      <c r="N9" s="291"/>
      <c r="O9" s="294"/>
      <c r="P9" s="4"/>
      <c r="Q9" s="3"/>
    </row>
    <row r="10" spans="1:17" ht="17.25" customHeight="1" x14ac:dyDescent="0.25">
      <c r="A10" s="296"/>
      <c r="B10" s="290">
        <v>42173</v>
      </c>
      <c r="C10" s="291">
        <v>10</v>
      </c>
      <c r="D10" s="292">
        <v>22.8</v>
      </c>
      <c r="E10" s="292">
        <v>0</v>
      </c>
      <c r="F10" s="292">
        <f t="shared" si="0"/>
        <v>228</v>
      </c>
      <c r="G10" s="290">
        <v>42362</v>
      </c>
      <c r="H10" s="293">
        <v>80</v>
      </c>
      <c r="I10" s="292">
        <v>9.4499999999999993</v>
      </c>
      <c r="J10" s="292">
        <v>0.01</v>
      </c>
      <c r="K10" s="292">
        <f>I10*H10-J10</f>
        <v>755.99</v>
      </c>
      <c r="L10" s="291"/>
      <c r="M10" s="291"/>
      <c r="N10" s="291"/>
      <c r="O10" s="294"/>
      <c r="P10" s="4"/>
      <c r="Q10" s="285"/>
    </row>
    <row r="11" spans="1:17" ht="18" customHeight="1" x14ac:dyDescent="0.25">
      <c r="A11" s="296"/>
      <c r="B11" s="290">
        <v>42234</v>
      </c>
      <c r="C11" s="291">
        <v>15</v>
      </c>
      <c r="D11" s="292">
        <v>13.9</v>
      </c>
      <c r="E11" s="292">
        <v>0</v>
      </c>
      <c r="F11" s="292">
        <f t="shared" si="0"/>
        <v>208.5</v>
      </c>
      <c r="G11" s="290">
        <v>42398</v>
      </c>
      <c r="H11" s="293">
        <v>3</v>
      </c>
      <c r="I11" s="292">
        <v>5.81</v>
      </c>
      <c r="J11" s="292">
        <v>0.01</v>
      </c>
      <c r="K11" s="292">
        <f>I11*H11-J11</f>
        <v>17.419999999999998</v>
      </c>
      <c r="L11" s="291"/>
      <c r="M11" s="291"/>
      <c r="N11" s="291"/>
      <c r="O11" s="294"/>
      <c r="P11" s="4"/>
      <c r="Q11" s="3"/>
    </row>
    <row r="12" spans="1:17" ht="18" customHeight="1" x14ac:dyDescent="0.25">
      <c r="A12" s="296"/>
      <c r="B12" s="637">
        <v>42328</v>
      </c>
      <c r="C12" s="291">
        <v>1</v>
      </c>
      <c r="D12" s="292">
        <v>8.59</v>
      </c>
      <c r="E12" s="292">
        <v>0</v>
      </c>
      <c r="F12" s="292">
        <f t="shared" si="0"/>
        <v>8.59</v>
      </c>
      <c r="G12" s="291"/>
      <c r="H12" s="293"/>
      <c r="I12" s="292"/>
      <c r="J12" s="292"/>
      <c r="K12" s="292"/>
      <c r="L12" s="291"/>
      <c r="M12" s="291"/>
      <c r="N12" s="291"/>
      <c r="O12" s="294"/>
      <c r="P12" s="4"/>
      <c r="Q12" s="3"/>
    </row>
    <row r="13" spans="1:17" ht="18" customHeight="1" x14ac:dyDescent="0.25">
      <c r="A13" s="296"/>
      <c r="B13" s="637"/>
      <c r="C13" s="291">
        <v>80</v>
      </c>
      <c r="D13" s="292">
        <v>8.59</v>
      </c>
      <c r="E13" s="292">
        <v>0</v>
      </c>
      <c r="F13" s="292">
        <f t="shared" si="0"/>
        <v>687.2</v>
      </c>
      <c r="G13" s="291"/>
      <c r="H13" s="293"/>
      <c r="I13" s="292"/>
      <c r="J13" s="292"/>
      <c r="K13" s="292"/>
      <c r="L13" s="291"/>
      <c r="M13" s="291"/>
      <c r="N13" s="291"/>
      <c r="O13" s="294"/>
      <c r="P13" s="4"/>
      <c r="Q13" s="3"/>
    </row>
    <row r="14" spans="1:17" ht="18" customHeight="1" x14ac:dyDescent="0.25">
      <c r="A14" s="296"/>
      <c r="B14" s="637">
        <v>42354</v>
      </c>
      <c r="C14" s="291">
        <v>2</v>
      </c>
      <c r="D14" s="292">
        <v>8.73</v>
      </c>
      <c r="E14" s="292">
        <v>0</v>
      </c>
      <c r="F14" s="292">
        <f t="shared" si="0"/>
        <v>17.46</v>
      </c>
      <c r="G14" s="291"/>
      <c r="H14" s="293"/>
      <c r="I14" s="292"/>
      <c r="J14" s="292"/>
      <c r="K14" s="292"/>
      <c r="L14" s="291"/>
      <c r="M14" s="291"/>
      <c r="N14" s="291"/>
      <c r="O14" s="294"/>
      <c r="P14" s="4"/>
      <c r="Q14" s="286"/>
    </row>
    <row r="15" spans="1:17" ht="18" customHeight="1" x14ac:dyDescent="0.25">
      <c r="A15" s="296"/>
      <c r="B15" s="637"/>
      <c r="C15" s="291">
        <v>80</v>
      </c>
      <c r="D15" s="292">
        <v>8.73</v>
      </c>
      <c r="E15" s="292">
        <v>0</v>
      </c>
      <c r="F15" s="292">
        <f t="shared" si="0"/>
        <v>698.40000000000009</v>
      </c>
      <c r="G15" s="291"/>
      <c r="H15" s="291"/>
      <c r="I15" s="292"/>
      <c r="J15" s="292"/>
      <c r="K15" s="292"/>
      <c r="L15" s="291"/>
      <c r="M15" s="291"/>
      <c r="N15" s="291"/>
      <c r="O15" s="291"/>
      <c r="P15" s="4"/>
      <c r="Q15" s="4"/>
    </row>
    <row r="16" spans="1:17" ht="18" customHeight="1" x14ac:dyDescent="0.25">
      <c r="A16" s="289"/>
      <c r="B16" s="294"/>
      <c r="C16" s="294">
        <f>SUM(C8:C15)</f>
        <v>243</v>
      </c>
      <c r="D16" s="297"/>
      <c r="E16" s="297"/>
      <c r="F16" s="297">
        <f>SUM(F8:F15)</f>
        <v>3782.9</v>
      </c>
      <c r="G16" s="297"/>
      <c r="H16" s="298">
        <f>SUM(H8:H12)</f>
        <v>243</v>
      </c>
      <c r="I16" s="297"/>
      <c r="J16" s="297"/>
      <c r="K16" s="297">
        <f>SUM(K8:K12)</f>
        <v>2189.3900000000003</v>
      </c>
      <c r="L16" s="297"/>
      <c r="M16" s="297"/>
      <c r="N16" s="297">
        <f>K16-F16</f>
        <v>-1593.5099999999998</v>
      </c>
      <c r="O16" s="299">
        <f>N16/F16</f>
        <v>-0.42124031827433972</v>
      </c>
      <c r="P16" s="4"/>
      <c r="Q16" s="4"/>
    </row>
    <row r="17" spans="1:20" ht="18" customHeight="1" x14ac:dyDescent="0.25">
      <c r="A17" s="25"/>
      <c r="B17" s="315"/>
      <c r="C17" s="316"/>
      <c r="D17" s="317"/>
      <c r="E17" s="317"/>
      <c r="F17" s="317"/>
      <c r="G17" s="315"/>
      <c r="H17" s="316"/>
      <c r="I17" s="317"/>
      <c r="J17" s="317"/>
      <c r="K17" s="317"/>
      <c r="L17" s="315"/>
      <c r="M17" s="317"/>
      <c r="N17" s="317"/>
      <c r="O17" s="318"/>
    </row>
    <row r="18" spans="1:20" ht="18" customHeight="1" x14ac:dyDescent="0.25">
      <c r="A18" s="300" t="s">
        <v>48</v>
      </c>
      <c r="B18" s="301">
        <v>42186</v>
      </c>
      <c r="C18" s="302">
        <v>10</v>
      </c>
      <c r="D18" s="303">
        <v>101.7</v>
      </c>
      <c r="E18" s="303"/>
      <c r="F18" s="303">
        <f>C18*D18</f>
        <v>1017</v>
      </c>
      <c r="G18" s="301">
        <v>42186</v>
      </c>
      <c r="H18" s="302">
        <v>10</v>
      </c>
      <c r="I18" s="303">
        <v>103</v>
      </c>
      <c r="J18" s="303">
        <v>0.02</v>
      </c>
      <c r="K18" s="303">
        <f>H18*I18-J18</f>
        <v>1029.98</v>
      </c>
      <c r="L18" s="304"/>
      <c r="M18" s="303"/>
      <c r="N18" s="303"/>
      <c r="O18" s="305"/>
    </row>
    <row r="19" spans="1:20" ht="18" customHeight="1" x14ac:dyDescent="0.25">
      <c r="A19" s="300"/>
      <c r="B19" s="306"/>
      <c r="C19" s="307">
        <f>SUM(C18)</f>
        <v>10</v>
      </c>
      <c r="D19" s="308"/>
      <c r="E19" s="308"/>
      <c r="F19" s="308">
        <f>SUM(F18)</f>
        <v>1017</v>
      </c>
      <c r="G19" s="309"/>
      <c r="H19" s="307">
        <f>SUM(H18)</f>
        <v>10</v>
      </c>
      <c r="I19" s="308"/>
      <c r="J19" s="308"/>
      <c r="K19" s="308">
        <f>SUM(K18)</f>
        <v>1029.98</v>
      </c>
      <c r="L19" s="309"/>
      <c r="M19" s="308"/>
      <c r="N19" s="308">
        <f>K19-F19</f>
        <v>12.980000000000018</v>
      </c>
      <c r="O19" s="310">
        <f>(N19+M19)/F19</f>
        <v>1.2763028515240922E-2</v>
      </c>
      <c r="P19" s="143" t="s">
        <v>134</v>
      </c>
    </row>
    <row r="20" spans="1:20" ht="18" customHeight="1" x14ac:dyDescent="0.25">
      <c r="A20" s="25"/>
      <c r="B20" s="315"/>
      <c r="C20" s="316"/>
      <c r="D20" s="317"/>
      <c r="E20" s="25"/>
      <c r="F20" s="317"/>
      <c r="G20" s="315"/>
      <c r="H20" s="316"/>
      <c r="I20" s="317"/>
      <c r="K20" s="317"/>
      <c r="L20" s="315"/>
      <c r="M20" s="317"/>
      <c r="N20" s="317"/>
      <c r="O20" s="318"/>
      <c r="R20" s="315"/>
      <c r="S20" s="316"/>
      <c r="T20" s="317"/>
    </row>
    <row r="21" spans="1:20" ht="18" customHeight="1" x14ac:dyDescent="0.25">
      <c r="A21" s="300" t="s">
        <v>68</v>
      </c>
      <c r="B21" s="301">
        <v>42164</v>
      </c>
      <c r="C21" s="302">
        <v>20</v>
      </c>
      <c r="D21" s="303">
        <v>11.25</v>
      </c>
      <c r="E21" s="304">
        <v>0</v>
      </c>
      <c r="F21" s="303">
        <f t="shared" ref="F21:F26" si="1">C21*D21+E21</f>
        <v>225</v>
      </c>
      <c r="G21" s="301">
        <v>42235</v>
      </c>
      <c r="H21" s="302">
        <v>110</v>
      </c>
      <c r="I21" s="303">
        <v>8.69</v>
      </c>
      <c r="J21" s="302">
        <v>0.02</v>
      </c>
      <c r="K21" s="303">
        <f>H21*I21-J21</f>
        <v>955.88</v>
      </c>
      <c r="L21" s="304">
        <v>42346</v>
      </c>
      <c r="M21" s="303">
        <f>21.93-0.91-2.19-4.38</f>
        <v>14.45</v>
      </c>
      <c r="N21" s="303"/>
      <c r="O21" s="305"/>
      <c r="R21" s="150"/>
      <c r="S21" s="148"/>
      <c r="T21" s="149"/>
    </row>
    <row r="22" spans="1:20" ht="18" customHeight="1" x14ac:dyDescent="0.25">
      <c r="A22" s="300" t="s">
        <v>124</v>
      </c>
      <c r="B22" s="301">
        <v>42187</v>
      </c>
      <c r="C22" s="302">
        <v>20</v>
      </c>
      <c r="D22" s="303">
        <v>10.28</v>
      </c>
      <c r="E22" s="304">
        <v>0</v>
      </c>
      <c r="F22" s="303">
        <f t="shared" si="1"/>
        <v>205.6</v>
      </c>
      <c r="G22" s="301">
        <v>42331</v>
      </c>
      <c r="H22" s="302">
        <v>150</v>
      </c>
      <c r="I22" s="303">
        <v>8.7100000000000009</v>
      </c>
      <c r="J22" s="302">
        <v>0.51</v>
      </c>
      <c r="K22" s="303">
        <f>H22*I22-J22</f>
        <v>1305.9900000000002</v>
      </c>
      <c r="L22" s="304"/>
      <c r="M22" s="303"/>
      <c r="N22" s="303"/>
      <c r="O22" s="305"/>
      <c r="R22" s="150"/>
      <c r="S22" s="148"/>
      <c r="T22" s="149"/>
    </row>
    <row r="23" spans="1:20" ht="18" customHeight="1" x14ac:dyDescent="0.25">
      <c r="A23" s="300"/>
      <c r="B23" s="301">
        <v>42198</v>
      </c>
      <c r="C23" s="302">
        <v>40</v>
      </c>
      <c r="D23" s="303">
        <v>10.119999999999999</v>
      </c>
      <c r="E23" s="304">
        <v>0</v>
      </c>
      <c r="F23" s="303">
        <f t="shared" si="1"/>
        <v>404.79999999999995</v>
      </c>
      <c r="G23" s="301">
        <v>42332</v>
      </c>
      <c r="H23" s="302">
        <v>120</v>
      </c>
      <c r="I23" s="303">
        <v>9.0500000000000007</v>
      </c>
      <c r="J23" s="302">
        <v>0.02</v>
      </c>
      <c r="K23" s="303">
        <f>H23*I23-J23</f>
        <v>1085.98</v>
      </c>
      <c r="L23" s="304"/>
      <c r="M23" s="303"/>
      <c r="N23" s="303"/>
      <c r="O23" s="305"/>
      <c r="R23" s="150"/>
      <c r="S23" s="148"/>
      <c r="T23" s="149"/>
    </row>
    <row r="24" spans="1:20" ht="18" customHeight="1" x14ac:dyDescent="0.25">
      <c r="A24" s="300"/>
      <c r="B24" s="301">
        <v>42198</v>
      </c>
      <c r="C24" s="302">
        <v>40</v>
      </c>
      <c r="D24" s="303">
        <v>9.94</v>
      </c>
      <c r="E24" s="304">
        <v>0</v>
      </c>
      <c r="F24" s="303">
        <f t="shared" si="1"/>
        <v>397.59999999999997</v>
      </c>
      <c r="G24" s="301"/>
      <c r="H24" s="302"/>
      <c r="I24" s="303"/>
      <c r="J24" s="302"/>
      <c r="K24" s="303"/>
      <c r="L24" s="304"/>
      <c r="M24" s="303"/>
      <c r="N24" s="303"/>
      <c r="O24" s="305"/>
    </row>
    <row r="25" spans="1:20" ht="18" customHeight="1" x14ac:dyDescent="0.25">
      <c r="A25" s="300"/>
      <c r="B25" s="301">
        <v>42233</v>
      </c>
      <c r="C25" s="302">
        <v>110</v>
      </c>
      <c r="D25" s="303">
        <v>8.48</v>
      </c>
      <c r="E25" s="304">
        <v>0</v>
      </c>
      <c r="F25" s="303">
        <f t="shared" si="1"/>
        <v>932.80000000000007</v>
      </c>
      <c r="G25" s="301"/>
      <c r="H25" s="302"/>
      <c r="I25" s="303"/>
      <c r="J25" s="302"/>
      <c r="K25" s="303"/>
      <c r="L25" s="304"/>
      <c r="M25" s="303"/>
      <c r="N25" s="303"/>
      <c r="O25" s="305"/>
    </row>
    <row r="26" spans="1:20" ht="18" customHeight="1" x14ac:dyDescent="0.25">
      <c r="A26" s="300"/>
      <c r="B26" s="301">
        <v>42270</v>
      </c>
      <c r="C26" s="302">
        <v>150</v>
      </c>
      <c r="D26" s="303">
        <v>7.73</v>
      </c>
      <c r="E26" s="304">
        <v>0</v>
      </c>
      <c r="F26" s="303">
        <f t="shared" si="1"/>
        <v>1159.5</v>
      </c>
      <c r="G26" s="301"/>
      <c r="H26" s="302"/>
      <c r="I26" s="303"/>
      <c r="J26" s="302"/>
      <c r="K26" s="303"/>
      <c r="L26" s="304"/>
      <c r="M26" s="303"/>
      <c r="N26" s="303"/>
      <c r="O26" s="305"/>
    </row>
    <row r="27" spans="1:20" ht="18" customHeight="1" x14ac:dyDescent="0.25">
      <c r="A27" s="300"/>
      <c r="B27" s="306"/>
      <c r="C27" s="307">
        <f>SUM(C21:C26)</f>
        <v>380</v>
      </c>
      <c r="D27" s="308"/>
      <c r="E27" s="309"/>
      <c r="F27" s="308">
        <f>SUM(F21:F26)</f>
        <v>3325.3</v>
      </c>
      <c r="G27" s="309"/>
      <c r="H27" s="307">
        <f>SUM(H21:H26)</f>
        <v>380</v>
      </c>
      <c r="I27" s="308"/>
      <c r="J27" s="307"/>
      <c r="K27" s="308">
        <f>SUM(K21:K26)</f>
        <v>3347.8500000000004</v>
      </c>
      <c r="L27" s="309"/>
      <c r="M27" s="308">
        <f>SUM(M21:M26)</f>
        <v>14.45</v>
      </c>
      <c r="N27" s="308">
        <f>K27-F27</f>
        <v>22.550000000000182</v>
      </c>
      <c r="O27" s="310">
        <f>(N27+M27)/F27</f>
        <v>1.112681562565789E-2</v>
      </c>
    </row>
    <row r="28" spans="1:20" ht="18" customHeight="1" x14ac:dyDescent="0.25">
      <c r="A28" s="25"/>
      <c r="B28" s="150"/>
      <c r="C28" s="148"/>
      <c r="D28" s="149"/>
      <c r="E28" s="25"/>
      <c r="F28" s="149"/>
      <c r="G28" s="150"/>
      <c r="H28" s="148"/>
      <c r="I28" s="149"/>
      <c r="K28" s="149"/>
      <c r="L28" s="150"/>
      <c r="M28" s="149"/>
      <c r="N28" s="149"/>
      <c r="O28" s="151"/>
    </row>
    <row r="29" spans="1:20" ht="18" customHeight="1" x14ac:dyDescent="0.25">
      <c r="A29" s="300" t="s">
        <v>29</v>
      </c>
      <c r="B29" s="301">
        <v>42164</v>
      </c>
      <c r="C29" s="302">
        <v>5</v>
      </c>
      <c r="D29" s="303">
        <v>45.9</v>
      </c>
      <c r="E29" s="304"/>
      <c r="F29" s="303">
        <f>C29*D29</f>
        <v>229.5</v>
      </c>
      <c r="G29" s="301">
        <v>42195</v>
      </c>
      <c r="H29" s="302">
        <v>20</v>
      </c>
      <c r="I29" s="303">
        <v>46.15</v>
      </c>
      <c r="J29" s="302">
        <v>0.02</v>
      </c>
      <c r="K29" s="303">
        <f>H29*I29-J29</f>
        <v>922.98</v>
      </c>
      <c r="L29" s="304"/>
      <c r="M29" s="303"/>
      <c r="N29" s="303"/>
      <c r="O29" s="305"/>
    </row>
    <row r="30" spans="1:20" ht="18" customHeight="1" x14ac:dyDescent="0.25">
      <c r="A30" s="300"/>
      <c r="B30" s="301">
        <v>42184</v>
      </c>
      <c r="C30" s="302">
        <v>5</v>
      </c>
      <c r="D30" s="303">
        <v>44.5</v>
      </c>
      <c r="E30" s="304"/>
      <c r="F30" s="303">
        <f>C30*D30</f>
        <v>222.5</v>
      </c>
      <c r="G30" s="304"/>
      <c r="H30" s="302"/>
      <c r="I30" s="303"/>
      <c r="J30" s="302"/>
      <c r="K30" s="303"/>
      <c r="L30" s="304"/>
      <c r="M30" s="303"/>
      <c r="N30" s="303"/>
      <c r="O30" s="305"/>
    </row>
    <row r="31" spans="1:20" ht="18" customHeight="1" x14ac:dyDescent="0.25">
      <c r="A31" s="300"/>
      <c r="B31" s="301">
        <v>42184</v>
      </c>
      <c r="C31" s="302">
        <v>10</v>
      </c>
      <c r="D31" s="303">
        <v>44.35</v>
      </c>
      <c r="E31" s="304"/>
      <c r="F31" s="303">
        <f>C31*D31</f>
        <v>443.5</v>
      </c>
      <c r="G31" s="304"/>
      <c r="H31" s="302"/>
      <c r="I31" s="303"/>
      <c r="J31" s="302"/>
      <c r="K31" s="303"/>
      <c r="L31" s="304"/>
      <c r="M31" s="303"/>
      <c r="N31" s="303"/>
      <c r="O31" s="305"/>
    </row>
    <row r="32" spans="1:20" ht="18" customHeight="1" x14ac:dyDescent="0.25">
      <c r="A32" s="300"/>
      <c r="B32" s="306"/>
      <c r="C32" s="307">
        <f>SUM(C29:C31)</f>
        <v>20</v>
      </c>
      <c r="D32" s="308"/>
      <c r="E32" s="309"/>
      <c r="F32" s="308">
        <f>SUM(F29:F31)</f>
        <v>895.5</v>
      </c>
      <c r="G32" s="309"/>
      <c r="H32" s="307">
        <f>SUM(H29:H31)</f>
        <v>20</v>
      </c>
      <c r="I32" s="308"/>
      <c r="J32" s="307"/>
      <c r="K32" s="308">
        <f>SUM(K29:K31)</f>
        <v>922.98</v>
      </c>
      <c r="L32" s="309"/>
      <c r="M32" s="308"/>
      <c r="N32" s="308">
        <f>K32-F32</f>
        <v>27.480000000000018</v>
      </c>
      <c r="O32" s="310">
        <f>(N32+M32)/F32</f>
        <v>3.0686767169179251E-2</v>
      </c>
    </row>
    <row r="33" spans="1:16" ht="18" customHeight="1" x14ac:dyDescent="0.25">
      <c r="A33" s="25"/>
      <c r="B33" s="315"/>
      <c r="C33" s="316"/>
      <c r="D33" s="317"/>
      <c r="E33" s="25"/>
      <c r="F33" s="317"/>
      <c r="G33" s="315"/>
      <c r="H33" s="316"/>
      <c r="I33" s="317"/>
      <c r="K33" s="317"/>
      <c r="L33" s="315"/>
      <c r="M33" s="317"/>
      <c r="N33" s="317"/>
      <c r="O33" s="318"/>
    </row>
    <row r="34" spans="1:16" ht="18" customHeight="1" x14ac:dyDescent="0.25">
      <c r="A34" s="289" t="s">
        <v>11</v>
      </c>
      <c r="B34" s="290">
        <v>42150</v>
      </c>
      <c r="C34" s="291">
        <v>5</v>
      </c>
      <c r="D34" s="292">
        <v>169</v>
      </c>
      <c r="E34" s="292">
        <v>0</v>
      </c>
      <c r="F34" s="292">
        <f>C34*D34+E34</f>
        <v>845</v>
      </c>
      <c r="G34" s="290">
        <v>42186</v>
      </c>
      <c r="H34" s="291">
        <v>100</v>
      </c>
      <c r="I34" s="292">
        <v>167</v>
      </c>
      <c r="J34" s="292">
        <v>0.31</v>
      </c>
      <c r="K34" s="292">
        <f t="shared" ref="K34:K49" si="2">H34*I34-J34</f>
        <v>16699.689999999999</v>
      </c>
      <c r="L34" s="291"/>
      <c r="M34" s="291"/>
      <c r="N34" s="291"/>
      <c r="O34" s="294"/>
    </row>
    <row r="35" spans="1:16" ht="18" customHeight="1" x14ac:dyDescent="0.25">
      <c r="A35" s="335"/>
      <c r="B35" s="290">
        <v>42150</v>
      </c>
      <c r="C35" s="291">
        <v>10</v>
      </c>
      <c r="D35" s="292">
        <v>166.5</v>
      </c>
      <c r="E35" s="292">
        <v>0</v>
      </c>
      <c r="F35" s="292">
        <f t="shared" ref="F35:F54" si="3">C35*D35+E35</f>
        <v>1665</v>
      </c>
      <c r="G35" s="290">
        <v>42186</v>
      </c>
      <c r="H35" s="291">
        <v>100</v>
      </c>
      <c r="I35" s="292">
        <v>167</v>
      </c>
      <c r="J35" s="292">
        <v>0.31</v>
      </c>
      <c r="K35" s="292">
        <f t="shared" si="2"/>
        <v>16699.689999999999</v>
      </c>
      <c r="L35" s="291"/>
      <c r="M35" s="291"/>
      <c r="N35" s="291"/>
      <c r="O35" s="294"/>
    </row>
    <row r="36" spans="1:16" ht="18" customHeight="1" x14ac:dyDescent="0.25">
      <c r="A36" s="291"/>
      <c r="B36" s="290">
        <v>42150</v>
      </c>
      <c r="C36" s="291">
        <v>30</v>
      </c>
      <c r="D36" s="292">
        <v>165.4</v>
      </c>
      <c r="E36" s="292">
        <v>0</v>
      </c>
      <c r="F36" s="292">
        <f t="shared" si="3"/>
        <v>4962</v>
      </c>
      <c r="G36" s="290">
        <v>42186</v>
      </c>
      <c r="H36" s="291">
        <v>50</v>
      </c>
      <c r="I36" s="292">
        <v>168.5</v>
      </c>
      <c r="J36" s="292">
        <v>0.16</v>
      </c>
      <c r="K36" s="292">
        <f t="shared" si="2"/>
        <v>8424.84</v>
      </c>
      <c r="L36" s="291"/>
      <c r="M36" s="291"/>
      <c r="N36" s="291"/>
      <c r="O36" s="294"/>
    </row>
    <row r="37" spans="1:16" ht="18" customHeight="1" x14ac:dyDescent="0.25">
      <c r="A37" s="291"/>
      <c r="B37" s="290">
        <v>42150</v>
      </c>
      <c r="C37" s="291">
        <v>10</v>
      </c>
      <c r="D37" s="292">
        <v>164.85</v>
      </c>
      <c r="E37" s="292">
        <v>0</v>
      </c>
      <c r="F37" s="292">
        <f t="shared" si="3"/>
        <v>1648.5</v>
      </c>
      <c r="G37" s="290">
        <v>42236</v>
      </c>
      <c r="H37" s="291">
        <v>10</v>
      </c>
      <c r="I37" s="292">
        <v>133.19999999999999</v>
      </c>
      <c r="J37" s="292">
        <v>0.02</v>
      </c>
      <c r="K37" s="292">
        <f t="shared" si="2"/>
        <v>1331.98</v>
      </c>
      <c r="L37" s="291"/>
      <c r="M37" s="291"/>
      <c r="N37" s="291"/>
      <c r="O37" s="294"/>
    </row>
    <row r="38" spans="1:16" ht="18" customHeight="1" x14ac:dyDescent="0.25">
      <c r="A38" s="291"/>
      <c r="B38" s="290">
        <v>42186</v>
      </c>
      <c r="C38" s="291">
        <v>145</v>
      </c>
      <c r="D38" s="292">
        <v>166</v>
      </c>
      <c r="E38" s="292">
        <v>0</v>
      </c>
      <c r="F38" s="292">
        <f t="shared" si="3"/>
        <v>24070</v>
      </c>
      <c r="G38" s="290">
        <v>42240</v>
      </c>
      <c r="H38" s="291">
        <v>20</v>
      </c>
      <c r="I38" s="292">
        <v>130</v>
      </c>
      <c r="J38" s="292">
        <v>0.05</v>
      </c>
      <c r="K38" s="292">
        <f t="shared" si="2"/>
        <v>2599.9499999999998</v>
      </c>
      <c r="L38" s="291"/>
      <c r="M38" s="291"/>
      <c r="N38" s="291"/>
      <c r="O38" s="294"/>
    </row>
    <row r="39" spans="1:16" ht="18" customHeight="1" x14ac:dyDescent="0.25">
      <c r="A39" s="291"/>
      <c r="B39" s="290">
        <v>42186</v>
      </c>
      <c r="C39" s="291">
        <v>100</v>
      </c>
      <c r="D39" s="292">
        <v>164</v>
      </c>
      <c r="E39" s="292">
        <v>0</v>
      </c>
      <c r="F39" s="292">
        <f t="shared" si="3"/>
        <v>16400</v>
      </c>
      <c r="G39" s="290">
        <v>42270</v>
      </c>
      <c r="H39" s="291">
        <v>50</v>
      </c>
      <c r="I39" s="292">
        <v>141.19999999999999</v>
      </c>
      <c r="J39" s="292">
        <v>0.13</v>
      </c>
      <c r="K39" s="292">
        <f t="shared" si="2"/>
        <v>7059.869999999999</v>
      </c>
      <c r="L39" s="291"/>
      <c r="M39" s="291"/>
      <c r="N39" s="291"/>
      <c r="O39" s="294"/>
    </row>
    <row r="40" spans="1:16" ht="18" customHeight="1" x14ac:dyDescent="0.25">
      <c r="A40" s="291"/>
      <c r="B40" s="290">
        <v>42235</v>
      </c>
      <c r="C40" s="291">
        <v>10</v>
      </c>
      <c r="D40" s="292">
        <v>124</v>
      </c>
      <c r="E40" s="292">
        <v>0</v>
      </c>
      <c r="F40" s="292">
        <f t="shared" si="3"/>
        <v>1240</v>
      </c>
      <c r="G40" s="290">
        <v>42305</v>
      </c>
      <c r="H40" s="291">
        <v>150</v>
      </c>
      <c r="I40" s="292">
        <v>82</v>
      </c>
      <c r="J40" s="292">
        <v>0.23</v>
      </c>
      <c r="K40" s="292">
        <f t="shared" si="2"/>
        <v>12299.77</v>
      </c>
      <c r="L40" s="291"/>
      <c r="M40" s="291"/>
      <c r="N40" s="291"/>
      <c r="O40" s="294"/>
    </row>
    <row r="41" spans="1:16" ht="18" customHeight="1" x14ac:dyDescent="0.25">
      <c r="A41" s="291"/>
      <c r="B41" s="290">
        <v>42240</v>
      </c>
      <c r="C41" s="291">
        <v>20</v>
      </c>
      <c r="D41" s="292">
        <v>123</v>
      </c>
      <c r="E41" s="292">
        <v>0</v>
      </c>
      <c r="F41" s="292">
        <f t="shared" si="3"/>
        <v>2460</v>
      </c>
      <c r="G41" s="290">
        <v>42307</v>
      </c>
      <c r="H41" s="291">
        <v>120</v>
      </c>
      <c r="I41" s="292">
        <v>85.8</v>
      </c>
      <c r="J41" s="292">
        <v>7.14</v>
      </c>
      <c r="K41" s="292">
        <f t="shared" si="2"/>
        <v>10288.86</v>
      </c>
      <c r="L41" s="291"/>
      <c r="M41" s="291"/>
      <c r="N41" s="291"/>
      <c r="O41" s="291"/>
    </row>
    <row r="42" spans="1:16" ht="18" customHeight="1" x14ac:dyDescent="0.25">
      <c r="A42" s="291"/>
      <c r="B42" s="290">
        <v>42271</v>
      </c>
      <c r="C42" s="291">
        <v>50</v>
      </c>
      <c r="D42" s="292">
        <v>123.05</v>
      </c>
      <c r="E42" s="292">
        <v>0</v>
      </c>
      <c r="F42" s="292">
        <f t="shared" si="3"/>
        <v>6152.5</v>
      </c>
      <c r="G42" s="290">
        <v>42313</v>
      </c>
      <c r="H42" s="291">
        <v>80</v>
      </c>
      <c r="I42" s="292">
        <v>83</v>
      </c>
      <c r="J42" s="292">
        <v>0.12</v>
      </c>
      <c r="K42" s="292">
        <f t="shared" si="2"/>
        <v>6639.88</v>
      </c>
      <c r="L42" s="291"/>
      <c r="M42" s="291"/>
      <c r="N42" s="291"/>
      <c r="O42" s="291"/>
    </row>
    <row r="43" spans="1:16" ht="18" customHeight="1" x14ac:dyDescent="0.25">
      <c r="A43" s="291"/>
      <c r="B43" s="290">
        <v>42271</v>
      </c>
      <c r="C43" s="291">
        <v>50</v>
      </c>
      <c r="D43" s="292">
        <v>138.5</v>
      </c>
      <c r="E43" s="292">
        <v>0</v>
      </c>
      <c r="F43" s="292">
        <f t="shared" si="3"/>
        <v>6925</v>
      </c>
      <c r="G43" s="290">
        <v>42320</v>
      </c>
      <c r="H43" s="291">
        <v>200</v>
      </c>
      <c r="I43" s="292">
        <v>73.5</v>
      </c>
      <c r="J43" s="292">
        <v>0.27</v>
      </c>
      <c r="K43" s="292">
        <f t="shared" si="2"/>
        <v>14699.73</v>
      </c>
      <c r="L43" s="291"/>
      <c r="M43" s="291"/>
      <c r="N43" s="291"/>
      <c r="O43" s="291"/>
    </row>
    <row r="44" spans="1:16" ht="18" customHeight="1" x14ac:dyDescent="0.25">
      <c r="A44" s="291"/>
      <c r="B44" s="290">
        <v>42277</v>
      </c>
      <c r="C44" s="291">
        <v>10</v>
      </c>
      <c r="D44" s="292">
        <v>101.5</v>
      </c>
      <c r="E44" s="292">
        <v>0</v>
      </c>
      <c r="F44" s="292">
        <f t="shared" si="3"/>
        <v>1015</v>
      </c>
      <c r="G44" s="290">
        <v>42327</v>
      </c>
      <c r="H44" s="291">
        <v>200</v>
      </c>
      <c r="I44" s="292">
        <v>73.95</v>
      </c>
      <c r="J44" s="292">
        <v>0.27</v>
      </c>
      <c r="K44" s="292">
        <f t="shared" si="2"/>
        <v>14789.73</v>
      </c>
      <c r="L44" s="291"/>
      <c r="M44" s="291"/>
      <c r="N44" s="291"/>
      <c r="O44" s="291"/>
    </row>
    <row r="45" spans="1:16" ht="18" customHeight="1" x14ac:dyDescent="0.25">
      <c r="A45" s="291"/>
      <c r="B45" s="290">
        <v>42278</v>
      </c>
      <c r="C45" s="291">
        <v>10</v>
      </c>
      <c r="D45" s="292">
        <v>93.95</v>
      </c>
      <c r="E45" s="292">
        <v>0</v>
      </c>
      <c r="F45" s="292">
        <f t="shared" si="3"/>
        <v>939.5</v>
      </c>
      <c r="G45" s="290">
        <v>42339</v>
      </c>
      <c r="H45" s="291">
        <v>60</v>
      </c>
      <c r="I45" s="292">
        <v>89.49</v>
      </c>
      <c r="J45" s="292">
        <v>0.1</v>
      </c>
      <c r="K45" s="292">
        <f t="shared" si="2"/>
        <v>5369.2999999999993</v>
      </c>
      <c r="L45" s="291"/>
      <c r="M45" s="291"/>
      <c r="N45" s="291"/>
      <c r="O45" s="291"/>
    </row>
    <row r="46" spans="1:16" ht="18" customHeight="1" x14ac:dyDescent="0.25">
      <c r="A46" s="291"/>
      <c r="B46" s="290">
        <v>42286</v>
      </c>
      <c r="C46" s="291">
        <v>30</v>
      </c>
      <c r="D46" s="292">
        <v>89.5</v>
      </c>
      <c r="E46" s="292">
        <v>0</v>
      </c>
      <c r="F46" s="292">
        <f t="shared" si="3"/>
        <v>2685</v>
      </c>
      <c r="G46" s="290">
        <v>42340</v>
      </c>
      <c r="H46" s="291">
        <v>60</v>
      </c>
      <c r="I46" s="292">
        <v>93.79</v>
      </c>
      <c r="J46" s="292">
        <v>0.1</v>
      </c>
      <c r="K46" s="292">
        <f t="shared" si="2"/>
        <v>5627.3</v>
      </c>
      <c r="L46" s="291"/>
      <c r="M46" s="291"/>
      <c r="N46" s="291"/>
      <c r="O46" s="291"/>
    </row>
    <row r="47" spans="1:16" ht="18" customHeight="1" x14ac:dyDescent="0.25">
      <c r="A47" s="291"/>
      <c r="B47" s="290">
        <v>42299</v>
      </c>
      <c r="C47" s="291">
        <v>50</v>
      </c>
      <c r="D47" s="292">
        <v>74.3</v>
      </c>
      <c r="E47" s="292">
        <v>0</v>
      </c>
      <c r="F47" s="292">
        <f t="shared" si="3"/>
        <v>3715</v>
      </c>
      <c r="G47" s="290">
        <v>42347</v>
      </c>
      <c r="H47" s="291">
        <v>60</v>
      </c>
      <c r="I47" s="292">
        <v>81.849999999999994</v>
      </c>
      <c r="J47" s="292">
        <v>0.09</v>
      </c>
      <c r="K47" s="292">
        <f t="shared" si="2"/>
        <v>4910.91</v>
      </c>
      <c r="L47" s="291"/>
      <c r="M47" s="291"/>
      <c r="N47" s="291"/>
      <c r="O47" s="291"/>
    </row>
    <row r="48" spans="1:16" ht="18" customHeight="1" x14ac:dyDescent="0.25">
      <c r="A48" s="291"/>
      <c r="B48" s="290">
        <v>42305</v>
      </c>
      <c r="C48" s="291">
        <v>150</v>
      </c>
      <c r="D48" s="292">
        <v>79.5</v>
      </c>
      <c r="E48" s="292">
        <v>0</v>
      </c>
      <c r="F48" s="292">
        <f t="shared" si="3"/>
        <v>11925</v>
      </c>
      <c r="G48" s="290">
        <v>42349</v>
      </c>
      <c r="H48" s="291">
        <v>220</v>
      </c>
      <c r="I48" s="292">
        <v>53.95</v>
      </c>
      <c r="J48" s="292">
        <v>0.22</v>
      </c>
      <c r="K48" s="292">
        <f t="shared" si="2"/>
        <v>11868.78</v>
      </c>
      <c r="L48" s="291"/>
      <c r="M48" s="292"/>
      <c r="N48" s="291"/>
      <c r="O48" s="291"/>
      <c r="P48" s="143"/>
    </row>
    <row r="49" spans="1:16" ht="18" customHeight="1" x14ac:dyDescent="0.25">
      <c r="A49" s="291"/>
      <c r="B49" s="290">
        <v>42310</v>
      </c>
      <c r="C49" s="291">
        <v>120</v>
      </c>
      <c r="D49" s="292">
        <v>82</v>
      </c>
      <c r="E49" s="292">
        <v>6.95</v>
      </c>
      <c r="F49" s="292">
        <f t="shared" si="3"/>
        <v>9846.9500000000007</v>
      </c>
      <c r="G49" s="290">
        <v>42354</v>
      </c>
      <c r="H49" s="291">
        <v>220</v>
      </c>
      <c r="I49" s="292">
        <v>59.47</v>
      </c>
      <c r="J49" s="292">
        <v>0.24</v>
      </c>
      <c r="K49" s="292">
        <f t="shared" si="2"/>
        <v>13083.16</v>
      </c>
      <c r="L49" s="291"/>
      <c r="M49" s="291"/>
      <c r="N49" s="291"/>
      <c r="O49" s="291"/>
      <c r="P49" s="143"/>
    </row>
    <row r="50" spans="1:16" ht="18" customHeight="1" x14ac:dyDescent="0.25">
      <c r="A50" s="291"/>
      <c r="B50" s="290">
        <v>42318</v>
      </c>
      <c r="C50" s="291">
        <v>80</v>
      </c>
      <c r="D50" s="292">
        <v>77.12</v>
      </c>
      <c r="E50" s="292">
        <v>0</v>
      </c>
      <c r="F50" s="292">
        <f t="shared" si="3"/>
        <v>6169.6</v>
      </c>
      <c r="G50" s="290"/>
      <c r="H50" s="291"/>
      <c r="I50" s="292"/>
      <c r="J50" s="292"/>
      <c r="K50" s="292"/>
      <c r="L50" s="291"/>
      <c r="M50" s="291"/>
      <c r="N50" s="291"/>
      <c r="O50" s="291"/>
      <c r="P50" s="143" t="s">
        <v>134</v>
      </c>
    </row>
    <row r="51" spans="1:16" ht="18" customHeight="1" x14ac:dyDescent="0.25">
      <c r="A51" s="291"/>
      <c r="B51" s="290">
        <v>42320</v>
      </c>
      <c r="C51" s="291">
        <v>200</v>
      </c>
      <c r="D51" s="292">
        <v>73.010000000000005</v>
      </c>
      <c r="E51" s="292">
        <v>0</v>
      </c>
      <c r="F51" s="292">
        <f t="shared" si="3"/>
        <v>14602.000000000002</v>
      </c>
      <c r="G51" s="290"/>
      <c r="H51" s="291"/>
      <c r="I51" s="292"/>
      <c r="J51" s="292"/>
      <c r="K51" s="292"/>
      <c r="L51" s="291"/>
      <c r="M51" s="291"/>
      <c r="N51" s="291"/>
      <c r="O51" s="291"/>
    </row>
    <row r="52" spans="1:16" ht="18" customHeight="1" x14ac:dyDescent="0.25">
      <c r="A52" s="291"/>
      <c r="B52" s="290">
        <v>42327</v>
      </c>
      <c r="C52" s="291">
        <v>200</v>
      </c>
      <c r="D52" s="292">
        <v>73.11</v>
      </c>
      <c r="E52" s="292">
        <v>0</v>
      </c>
      <c r="F52" s="292">
        <f t="shared" si="3"/>
        <v>14622</v>
      </c>
      <c r="G52" s="291"/>
      <c r="H52" s="291"/>
      <c r="I52" s="292"/>
      <c r="J52" s="292"/>
      <c r="K52" s="292"/>
      <c r="L52" s="291"/>
      <c r="M52" s="291"/>
      <c r="N52" s="291"/>
      <c r="O52" s="291"/>
    </row>
    <row r="53" spans="1:16" ht="18" customHeight="1" x14ac:dyDescent="0.25">
      <c r="A53" s="291"/>
      <c r="B53" s="290">
        <v>42339</v>
      </c>
      <c r="C53" s="291">
        <v>60</v>
      </c>
      <c r="D53" s="292">
        <v>89.38</v>
      </c>
      <c r="E53" s="292">
        <v>0</v>
      </c>
      <c r="F53" s="292">
        <f t="shared" si="3"/>
        <v>5362.7999999999993</v>
      </c>
      <c r="G53" s="291"/>
      <c r="H53" s="291"/>
      <c r="I53" s="292"/>
      <c r="J53" s="292"/>
      <c r="K53" s="292"/>
      <c r="L53" s="291"/>
      <c r="M53" s="291"/>
      <c r="N53" s="291"/>
      <c r="O53" s="291"/>
    </row>
    <row r="54" spans="1:16" ht="18" customHeight="1" x14ac:dyDescent="0.25">
      <c r="A54" s="291"/>
      <c r="B54" s="290">
        <v>42340</v>
      </c>
      <c r="C54" s="291">
        <v>60</v>
      </c>
      <c r="D54" s="292">
        <v>93.06</v>
      </c>
      <c r="E54" s="292">
        <v>0</v>
      </c>
      <c r="F54" s="292">
        <f t="shared" si="3"/>
        <v>5583.6</v>
      </c>
      <c r="G54" s="291"/>
      <c r="H54" s="291"/>
      <c r="I54" s="292"/>
      <c r="J54" s="292"/>
      <c r="K54" s="292"/>
      <c r="L54" s="291"/>
      <c r="M54" s="291"/>
      <c r="N54" s="291"/>
      <c r="O54" s="291"/>
    </row>
    <row r="55" spans="1:16" ht="18" customHeight="1" x14ac:dyDescent="0.25">
      <c r="A55" s="291"/>
      <c r="B55" s="290">
        <v>42342</v>
      </c>
      <c r="C55" s="291">
        <v>10</v>
      </c>
      <c r="D55" s="292">
        <v>80.989999999999995</v>
      </c>
      <c r="E55" s="292">
        <v>0</v>
      </c>
      <c r="F55" s="292">
        <f>C55*D55+E55</f>
        <v>809.9</v>
      </c>
      <c r="G55" s="291"/>
      <c r="H55" s="291"/>
      <c r="I55" s="292"/>
      <c r="J55" s="292"/>
      <c r="K55" s="292"/>
      <c r="L55" s="291"/>
      <c r="M55" s="291"/>
      <c r="N55" s="291"/>
      <c r="O55" s="291"/>
    </row>
    <row r="56" spans="1:16" ht="18" customHeight="1" x14ac:dyDescent="0.25">
      <c r="A56" s="291"/>
      <c r="B56" s="290">
        <v>42348</v>
      </c>
      <c r="C56" s="291">
        <v>70</v>
      </c>
      <c r="D56" s="292">
        <v>58.01</v>
      </c>
      <c r="E56" s="292">
        <v>0</v>
      </c>
      <c r="F56" s="292">
        <f>C56*D56+E56</f>
        <v>4060.7</v>
      </c>
      <c r="G56" s="291"/>
      <c r="H56" s="291"/>
      <c r="I56" s="292"/>
      <c r="J56" s="292"/>
      <c r="K56" s="292"/>
      <c r="L56" s="291"/>
      <c r="M56" s="291"/>
      <c r="N56" s="291"/>
      <c r="O56" s="291"/>
    </row>
    <row r="57" spans="1:16" ht="18" customHeight="1" x14ac:dyDescent="0.25">
      <c r="A57" s="291"/>
      <c r="B57" s="290">
        <v>42354</v>
      </c>
      <c r="C57" s="291">
        <v>220</v>
      </c>
      <c r="D57" s="292">
        <v>59.15</v>
      </c>
      <c r="E57" s="292">
        <v>0</v>
      </c>
      <c r="F57" s="292">
        <f>C57*D57+E57</f>
        <v>13013</v>
      </c>
      <c r="G57" s="291"/>
      <c r="H57" s="291"/>
      <c r="I57" s="292"/>
      <c r="J57" s="292"/>
      <c r="K57" s="292"/>
      <c r="L57" s="291"/>
      <c r="M57" s="291"/>
      <c r="N57" s="291"/>
      <c r="O57" s="291"/>
    </row>
    <row r="58" spans="1:16" ht="18" customHeight="1" x14ac:dyDescent="0.25">
      <c r="A58" s="294"/>
      <c r="B58" s="294"/>
      <c r="C58" s="294">
        <f>SUM(C34:C57)</f>
        <v>1700</v>
      </c>
      <c r="D58" s="297"/>
      <c r="E58" s="297"/>
      <c r="F58" s="297">
        <f>SUM(F34:F57)</f>
        <v>160718.04999999999</v>
      </c>
      <c r="G58" s="294"/>
      <c r="H58" s="294">
        <f>SUM(H34:H53)</f>
        <v>1700</v>
      </c>
      <c r="I58" s="297"/>
      <c r="J58" s="297"/>
      <c r="K58" s="297">
        <f>SUM(K34:K53)</f>
        <v>152393.44000000003</v>
      </c>
      <c r="L58" s="294"/>
      <c r="M58" s="294"/>
      <c r="N58" s="297">
        <f>K58-F58</f>
        <v>-8324.6099999999569</v>
      </c>
      <c r="O58" s="299">
        <f>N58/F58</f>
        <v>-5.1796360147475393E-2</v>
      </c>
    </row>
    <row r="59" spans="1:16" ht="18" customHeight="1" x14ac:dyDescent="0.25">
      <c r="B59" s="315"/>
      <c r="C59" s="316"/>
      <c r="D59" s="317"/>
      <c r="E59" s="317"/>
      <c r="F59" s="317"/>
      <c r="G59" s="315"/>
      <c r="H59" s="316"/>
      <c r="I59" s="317"/>
      <c r="K59" s="317"/>
      <c r="L59" s="315"/>
      <c r="M59" s="317"/>
      <c r="N59" s="317"/>
      <c r="O59" s="318"/>
      <c r="P59" s="143" t="s">
        <v>134</v>
      </c>
    </row>
    <row r="60" spans="1:16" ht="18" customHeight="1" x14ac:dyDescent="0.25">
      <c r="A60" s="300" t="s">
        <v>30</v>
      </c>
      <c r="B60" s="301">
        <v>42164</v>
      </c>
      <c r="C60" s="302">
        <v>10</v>
      </c>
      <c r="D60" s="303">
        <v>141.4</v>
      </c>
      <c r="E60" s="303"/>
      <c r="F60" s="303">
        <f>C60*D60</f>
        <v>1414</v>
      </c>
      <c r="G60" s="301">
        <v>42216</v>
      </c>
      <c r="H60" s="302">
        <v>10</v>
      </c>
      <c r="I60" s="303">
        <v>143.35</v>
      </c>
      <c r="J60" s="303">
        <v>0.03</v>
      </c>
      <c r="K60" s="303">
        <f>H60*I60-J60</f>
        <v>1433.47</v>
      </c>
      <c r="L60" s="304"/>
      <c r="M60" s="303"/>
      <c r="N60" s="303"/>
      <c r="O60" s="305"/>
    </row>
    <row r="61" spans="1:16" ht="18" customHeight="1" x14ac:dyDescent="0.25">
      <c r="A61" s="319"/>
      <c r="B61" s="320"/>
      <c r="C61" s="321">
        <f>SUM(C60)</f>
        <v>10</v>
      </c>
      <c r="D61" s="322"/>
      <c r="E61" s="322"/>
      <c r="F61" s="322">
        <f>SUM(F60)</f>
        <v>1414</v>
      </c>
      <c r="G61" s="323"/>
      <c r="H61" s="321">
        <f>SUM(H60)</f>
        <v>10</v>
      </c>
      <c r="I61" s="322"/>
      <c r="J61" s="321"/>
      <c r="K61" s="322">
        <f>SUM(K60)</f>
        <v>1433.47</v>
      </c>
      <c r="L61" s="323"/>
      <c r="M61" s="322"/>
      <c r="N61" s="322">
        <f>K61-F61</f>
        <v>19.470000000000027</v>
      </c>
      <c r="O61" s="324">
        <f>(N61+M61)/F61</f>
        <v>1.3769448373408788E-2</v>
      </c>
    </row>
    <row r="62" spans="1:16" ht="18" customHeight="1" x14ac:dyDescent="0.25">
      <c r="B62" s="315"/>
      <c r="C62" s="316"/>
      <c r="D62" s="317"/>
      <c r="E62" s="25"/>
      <c r="F62" s="317"/>
      <c r="G62" s="315"/>
      <c r="H62" s="316"/>
      <c r="I62" s="317"/>
      <c r="K62" s="317"/>
      <c r="L62" s="315"/>
      <c r="M62" s="317"/>
      <c r="N62" s="317"/>
      <c r="O62" s="318"/>
    </row>
    <row r="63" spans="1:16" ht="18" customHeight="1" x14ac:dyDescent="0.25">
      <c r="A63" s="300" t="s">
        <v>52</v>
      </c>
      <c r="B63" s="301">
        <v>42213</v>
      </c>
      <c r="C63" s="302">
        <v>25</v>
      </c>
      <c r="D63" s="303">
        <v>84.9</v>
      </c>
      <c r="E63" s="304"/>
      <c r="F63" s="303">
        <v>2122.5</v>
      </c>
      <c r="G63" s="301">
        <v>42221</v>
      </c>
      <c r="H63" s="302">
        <v>30</v>
      </c>
      <c r="I63" s="303">
        <v>84.23</v>
      </c>
      <c r="J63" s="303">
        <v>0</v>
      </c>
      <c r="K63" s="303">
        <v>2526.85</v>
      </c>
      <c r="L63" s="304"/>
      <c r="M63" s="303"/>
      <c r="N63" s="303"/>
      <c r="O63" s="305"/>
    </row>
    <row r="64" spans="1:16" ht="18" customHeight="1" x14ac:dyDescent="0.25">
      <c r="A64" s="300"/>
      <c r="B64" s="301">
        <v>42213</v>
      </c>
      <c r="C64" s="302">
        <v>5</v>
      </c>
      <c r="D64" s="303">
        <v>84.25</v>
      </c>
      <c r="E64" s="304"/>
      <c r="F64" s="303">
        <v>421.25</v>
      </c>
      <c r="G64" s="301">
        <v>42263</v>
      </c>
      <c r="H64" s="302">
        <v>40</v>
      </c>
      <c r="I64" s="303">
        <v>85</v>
      </c>
      <c r="J64" s="302">
        <v>0.06</v>
      </c>
      <c r="K64" s="303">
        <v>3399.94</v>
      </c>
      <c r="L64" s="304"/>
      <c r="M64" s="303"/>
      <c r="N64" s="303"/>
      <c r="O64" s="305"/>
    </row>
    <row r="65" spans="1:16" ht="18" customHeight="1" x14ac:dyDescent="0.25">
      <c r="A65" s="300"/>
      <c r="B65" s="301">
        <v>42214</v>
      </c>
      <c r="C65" s="302">
        <v>10</v>
      </c>
      <c r="D65" s="303">
        <v>83.2</v>
      </c>
      <c r="E65" s="304"/>
      <c r="F65" s="303">
        <v>832</v>
      </c>
      <c r="G65" s="304"/>
      <c r="H65" s="302"/>
      <c r="I65" s="303"/>
      <c r="J65" s="302"/>
      <c r="K65" s="303"/>
      <c r="L65" s="304"/>
      <c r="M65" s="303"/>
      <c r="N65" s="303"/>
      <c r="O65" s="305"/>
    </row>
    <row r="66" spans="1:16" ht="18" customHeight="1" x14ac:dyDescent="0.25">
      <c r="A66" s="300"/>
      <c r="B66" s="301">
        <v>42215</v>
      </c>
      <c r="C66" s="302">
        <v>5</v>
      </c>
      <c r="D66" s="303">
        <v>82.25</v>
      </c>
      <c r="E66" s="304"/>
      <c r="F66" s="303">
        <v>411.25</v>
      </c>
      <c r="G66" s="304"/>
      <c r="H66" s="302"/>
      <c r="I66" s="303"/>
      <c r="J66" s="302"/>
      <c r="K66" s="303"/>
      <c r="L66" s="304"/>
      <c r="M66" s="303"/>
      <c r="N66" s="303"/>
      <c r="O66" s="305"/>
    </row>
    <row r="67" spans="1:16" ht="18" customHeight="1" x14ac:dyDescent="0.25">
      <c r="A67" s="300"/>
      <c r="B67" s="301">
        <v>42220</v>
      </c>
      <c r="C67" s="302">
        <v>10</v>
      </c>
      <c r="D67" s="303">
        <v>81.349999999999994</v>
      </c>
      <c r="E67" s="304"/>
      <c r="F67" s="303">
        <v>813.5</v>
      </c>
      <c r="G67" s="304"/>
      <c r="H67" s="302"/>
      <c r="I67" s="303"/>
      <c r="J67" s="302"/>
      <c r="K67" s="303"/>
      <c r="L67" s="304"/>
      <c r="M67" s="303"/>
      <c r="N67" s="303"/>
      <c r="O67" s="305"/>
    </row>
    <row r="68" spans="1:16" ht="18" customHeight="1" x14ac:dyDescent="0.25">
      <c r="A68" s="300"/>
      <c r="B68" s="301">
        <v>42220</v>
      </c>
      <c r="C68" s="302">
        <v>5</v>
      </c>
      <c r="D68" s="303">
        <v>82.4</v>
      </c>
      <c r="E68" s="304"/>
      <c r="F68" s="303">
        <v>412</v>
      </c>
      <c r="G68" s="304"/>
      <c r="H68" s="302"/>
      <c r="I68" s="303"/>
      <c r="J68" s="302"/>
      <c r="K68" s="303"/>
      <c r="L68" s="304"/>
      <c r="M68" s="303"/>
      <c r="N68" s="303"/>
      <c r="O68" s="305"/>
    </row>
    <row r="69" spans="1:16" ht="18" customHeight="1" x14ac:dyDescent="0.25">
      <c r="A69" s="300"/>
      <c r="B69" s="301">
        <v>42221</v>
      </c>
      <c r="C69" s="302">
        <v>10</v>
      </c>
      <c r="D69" s="303">
        <v>80.7</v>
      </c>
      <c r="E69" s="304"/>
      <c r="F69" s="303">
        <v>807</v>
      </c>
      <c r="G69" s="304"/>
      <c r="H69" s="302"/>
      <c r="I69" s="303"/>
      <c r="J69" s="302"/>
      <c r="K69" s="303"/>
      <c r="L69" s="304"/>
      <c r="M69" s="303"/>
      <c r="N69" s="303"/>
      <c r="O69" s="305"/>
    </row>
    <row r="70" spans="1:16" ht="18" customHeight="1" x14ac:dyDescent="0.25">
      <c r="A70" s="319"/>
      <c r="B70" s="323"/>
      <c r="C70" s="321">
        <v>70</v>
      </c>
      <c r="D70" s="322"/>
      <c r="E70" s="323"/>
      <c r="F70" s="322">
        <f>SUM(F63:F69)</f>
        <v>5819.5</v>
      </c>
      <c r="G70" s="323"/>
      <c r="H70" s="321">
        <v>70</v>
      </c>
      <c r="I70" s="322"/>
      <c r="J70" s="321"/>
      <c r="K70" s="322">
        <f>SUM(K63:K64)</f>
        <v>5926.79</v>
      </c>
      <c r="L70" s="323"/>
      <c r="M70" s="322"/>
      <c r="N70" s="322">
        <f>K70-F70</f>
        <v>107.28999999999996</v>
      </c>
      <c r="O70" s="324">
        <f>N70/F70</f>
        <v>1.843629177764412E-2</v>
      </c>
    </row>
    <row r="71" spans="1:16" ht="18" customHeight="1" x14ac:dyDescent="0.25">
      <c r="B71" s="315"/>
      <c r="C71" s="316"/>
      <c r="D71" s="317"/>
      <c r="E71" s="317"/>
      <c r="F71" s="317"/>
      <c r="G71" s="315"/>
      <c r="H71" s="316"/>
      <c r="I71" s="317"/>
      <c r="K71" s="317"/>
      <c r="L71" s="315"/>
      <c r="M71" s="317"/>
      <c r="N71" s="317"/>
      <c r="O71" s="318"/>
    </row>
    <row r="72" spans="1:16" ht="18" customHeight="1" x14ac:dyDescent="0.25">
      <c r="A72" s="300" t="s">
        <v>8</v>
      </c>
      <c r="B72" s="301">
        <v>42145</v>
      </c>
      <c r="C72" s="302">
        <v>50</v>
      </c>
      <c r="D72" s="303">
        <v>61.7</v>
      </c>
      <c r="E72" s="303"/>
      <c r="F72" s="303">
        <f t="shared" ref="F72:F82" si="4">C72*D72</f>
        <v>3085</v>
      </c>
      <c r="G72" s="301">
        <v>42187</v>
      </c>
      <c r="H72" s="302">
        <v>300</v>
      </c>
      <c r="I72" s="303">
        <v>57.78</v>
      </c>
      <c r="J72" s="303">
        <v>0.32</v>
      </c>
      <c r="K72" s="303">
        <f>H72*I72-J72</f>
        <v>17333.68</v>
      </c>
      <c r="L72" s="301">
        <v>42185</v>
      </c>
      <c r="M72" s="303">
        <v>44.61</v>
      </c>
      <c r="N72" s="303"/>
      <c r="O72" s="305"/>
      <c r="P72" s="143" t="s">
        <v>134</v>
      </c>
    </row>
    <row r="73" spans="1:16" ht="18" customHeight="1" x14ac:dyDescent="0.25">
      <c r="A73" s="300"/>
      <c r="B73" s="301">
        <v>42146</v>
      </c>
      <c r="C73" s="302">
        <v>10</v>
      </c>
      <c r="D73" s="303">
        <v>61.37</v>
      </c>
      <c r="E73" s="303"/>
      <c r="F73" s="303">
        <f t="shared" si="4"/>
        <v>613.69999999999993</v>
      </c>
      <c r="G73" s="301">
        <v>42216</v>
      </c>
      <c r="H73" s="302">
        <v>300</v>
      </c>
      <c r="I73" s="303">
        <v>62</v>
      </c>
      <c r="J73" s="302">
        <v>0.34</v>
      </c>
      <c r="K73" s="303">
        <f>H73*I73-J73</f>
        <v>18599.66</v>
      </c>
      <c r="L73" s="304"/>
      <c r="M73" s="303"/>
      <c r="N73" s="303"/>
      <c r="O73" s="305"/>
    </row>
    <row r="74" spans="1:16" ht="18" customHeight="1" x14ac:dyDescent="0.25">
      <c r="A74" s="300"/>
      <c r="B74" s="301">
        <v>42146</v>
      </c>
      <c r="C74" s="302">
        <v>20</v>
      </c>
      <c r="D74" s="303">
        <v>61.12</v>
      </c>
      <c r="E74" s="303"/>
      <c r="F74" s="303">
        <f t="shared" si="4"/>
        <v>1222.3999999999999</v>
      </c>
      <c r="G74" s="304"/>
      <c r="H74" s="302"/>
      <c r="I74" s="303"/>
      <c r="J74" s="303"/>
      <c r="K74" s="303"/>
      <c r="L74" s="304"/>
      <c r="M74" s="303"/>
      <c r="N74" s="303"/>
      <c r="O74" s="305"/>
    </row>
    <row r="75" spans="1:16" ht="18" customHeight="1" x14ac:dyDescent="0.25">
      <c r="A75" s="300"/>
      <c r="B75" s="301">
        <v>42146</v>
      </c>
      <c r="C75" s="302">
        <v>20</v>
      </c>
      <c r="D75" s="303">
        <v>61.1</v>
      </c>
      <c r="E75" s="303"/>
      <c r="F75" s="303">
        <f t="shared" si="4"/>
        <v>1222</v>
      </c>
      <c r="G75" s="304"/>
      <c r="H75" s="302"/>
      <c r="I75" s="303"/>
      <c r="J75" s="302"/>
      <c r="K75" s="303"/>
      <c r="L75" s="304"/>
      <c r="M75" s="303"/>
      <c r="N75" s="303"/>
      <c r="O75" s="305"/>
    </row>
    <row r="76" spans="1:16" ht="18" customHeight="1" x14ac:dyDescent="0.25">
      <c r="A76" s="300"/>
      <c r="B76" s="301">
        <v>42146</v>
      </c>
      <c r="C76" s="302">
        <v>10</v>
      </c>
      <c r="D76" s="303">
        <v>60.8</v>
      </c>
      <c r="E76" s="303"/>
      <c r="F76" s="303">
        <f t="shared" si="4"/>
        <v>608</v>
      </c>
      <c r="G76" s="304"/>
      <c r="H76" s="302"/>
      <c r="I76" s="303"/>
      <c r="J76" s="303"/>
      <c r="K76" s="303"/>
      <c r="L76" s="304"/>
      <c r="M76" s="303"/>
      <c r="N76" s="303"/>
      <c r="O76" s="305"/>
    </row>
    <row r="77" spans="1:16" ht="18" customHeight="1" x14ac:dyDescent="0.25">
      <c r="A77" s="300"/>
      <c r="B77" s="301">
        <v>42146</v>
      </c>
      <c r="C77" s="302">
        <v>20</v>
      </c>
      <c r="D77" s="303">
        <v>60.7</v>
      </c>
      <c r="E77" s="303"/>
      <c r="F77" s="303">
        <f t="shared" si="4"/>
        <v>1214</v>
      </c>
      <c r="G77" s="304"/>
      <c r="H77" s="302"/>
      <c r="I77" s="303"/>
      <c r="J77" s="303"/>
      <c r="K77" s="303"/>
      <c r="L77" s="304"/>
      <c r="M77" s="303"/>
      <c r="N77" s="303"/>
      <c r="O77" s="305"/>
      <c r="P77" s="143" t="s">
        <v>134</v>
      </c>
    </row>
    <row r="78" spans="1:16" ht="18" customHeight="1" x14ac:dyDescent="0.25">
      <c r="A78" s="300"/>
      <c r="B78" s="301">
        <v>42150</v>
      </c>
      <c r="C78" s="302">
        <v>20</v>
      </c>
      <c r="D78" s="303">
        <v>60.6</v>
      </c>
      <c r="E78" s="303"/>
      <c r="F78" s="303">
        <f t="shared" si="4"/>
        <v>1212</v>
      </c>
      <c r="G78" s="304"/>
      <c r="H78" s="302"/>
      <c r="I78" s="303"/>
      <c r="J78" s="303"/>
      <c r="K78" s="303"/>
      <c r="L78" s="304"/>
      <c r="M78" s="303"/>
      <c r="N78" s="303"/>
      <c r="O78" s="305"/>
    </row>
    <row r="79" spans="1:16" ht="18" customHeight="1" x14ac:dyDescent="0.25">
      <c r="A79" s="300"/>
      <c r="B79" s="301">
        <v>42152</v>
      </c>
      <c r="C79" s="302">
        <v>30</v>
      </c>
      <c r="D79" s="303">
        <v>60.33</v>
      </c>
      <c r="E79" s="303"/>
      <c r="F79" s="303">
        <f t="shared" si="4"/>
        <v>1809.8999999999999</v>
      </c>
      <c r="G79" s="304"/>
      <c r="H79" s="302"/>
      <c r="I79" s="303"/>
      <c r="J79" s="303"/>
      <c r="K79" s="303"/>
      <c r="L79" s="304"/>
      <c r="M79" s="303"/>
      <c r="N79" s="303"/>
      <c r="O79" s="305"/>
    </row>
    <row r="80" spans="1:16" ht="18" customHeight="1" x14ac:dyDescent="0.25">
      <c r="A80" s="300"/>
      <c r="B80" s="301">
        <v>42152</v>
      </c>
      <c r="C80" s="302">
        <v>30</v>
      </c>
      <c r="D80" s="303">
        <v>60.39</v>
      </c>
      <c r="E80" s="303"/>
      <c r="F80" s="303">
        <f t="shared" si="4"/>
        <v>1811.7</v>
      </c>
      <c r="G80" s="304"/>
      <c r="H80" s="302"/>
      <c r="I80" s="303"/>
      <c r="J80" s="303"/>
      <c r="K80" s="303"/>
      <c r="L80" s="304"/>
      <c r="M80" s="303"/>
      <c r="N80" s="303"/>
      <c r="O80" s="305"/>
    </row>
    <row r="81" spans="1:16" ht="18" customHeight="1" x14ac:dyDescent="0.25">
      <c r="A81" s="300"/>
      <c r="B81" s="301">
        <v>42166</v>
      </c>
      <c r="C81" s="302">
        <v>100</v>
      </c>
      <c r="D81" s="303">
        <v>58</v>
      </c>
      <c r="E81" s="303"/>
      <c r="F81" s="303">
        <f t="shared" si="4"/>
        <v>5800</v>
      </c>
      <c r="G81" s="304"/>
      <c r="H81" s="302"/>
      <c r="I81" s="303"/>
      <c r="J81" s="303"/>
      <c r="K81" s="303"/>
      <c r="L81" s="304"/>
      <c r="M81" s="303"/>
      <c r="N81" s="303"/>
      <c r="O81" s="305"/>
    </row>
    <row r="82" spans="1:16" ht="18" customHeight="1" x14ac:dyDescent="0.25">
      <c r="A82" s="300"/>
      <c r="B82" s="301">
        <v>42187</v>
      </c>
      <c r="C82" s="302">
        <v>290</v>
      </c>
      <c r="D82" s="303">
        <v>57.85</v>
      </c>
      <c r="E82" s="303"/>
      <c r="F82" s="303">
        <f t="shared" si="4"/>
        <v>16776.5</v>
      </c>
      <c r="G82" s="304"/>
      <c r="H82" s="302"/>
      <c r="I82" s="303"/>
      <c r="J82" s="303"/>
      <c r="K82" s="303"/>
      <c r="L82" s="304"/>
      <c r="M82" s="303"/>
      <c r="N82" s="303"/>
      <c r="O82" s="305"/>
    </row>
    <row r="83" spans="1:16" ht="18" customHeight="1" x14ac:dyDescent="0.25">
      <c r="A83" s="300"/>
      <c r="B83" s="306"/>
      <c r="C83" s="307">
        <f>SUM(C72:C82)</f>
        <v>600</v>
      </c>
      <c r="D83" s="308"/>
      <c r="E83" s="308"/>
      <c r="F83" s="308">
        <f>SUM(F72:F82)</f>
        <v>35375.199999999997</v>
      </c>
      <c r="G83" s="309"/>
      <c r="H83" s="307">
        <f>SUM(H72:H82)</f>
        <v>600</v>
      </c>
      <c r="I83" s="308"/>
      <c r="J83" s="308"/>
      <c r="K83" s="308">
        <f>SUM(K72:K82)</f>
        <v>35933.339999999997</v>
      </c>
      <c r="L83" s="309"/>
      <c r="M83" s="308">
        <f>SUM(M72:M82)</f>
        <v>44.61</v>
      </c>
      <c r="N83" s="308">
        <f>K83-F83</f>
        <v>558.13999999999942</v>
      </c>
      <c r="O83" s="310">
        <f>(N83+M83)/F83</f>
        <v>1.7038772925665423E-2</v>
      </c>
      <c r="P83" s="143" t="s">
        <v>134</v>
      </c>
    </row>
    <row r="84" spans="1:16" ht="18" customHeight="1" x14ac:dyDescent="0.25">
      <c r="B84" s="315"/>
      <c r="C84" s="316"/>
      <c r="D84" s="317"/>
      <c r="E84" s="25"/>
      <c r="F84" s="317"/>
      <c r="G84" s="315"/>
      <c r="H84" s="316"/>
      <c r="I84" s="317"/>
      <c r="J84" s="317"/>
      <c r="K84" s="317"/>
      <c r="L84" s="315"/>
      <c r="M84" s="317"/>
      <c r="N84" s="317"/>
      <c r="O84" s="318"/>
    </row>
    <row r="85" spans="1:16" ht="18" customHeight="1" x14ac:dyDescent="0.25">
      <c r="A85" s="300" t="s">
        <v>40</v>
      </c>
      <c r="B85" s="301">
        <v>42184</v>
      </c>
      <c r="C85" s="302">
        <v>20</v>
      </c>
      <c r="D85" s="303">
        <v>164.18</v>
      </c>
      <c r="E85" s="303"/>
      <c r="F85" s="303">
        <f>C85*D85</f>
        <v>3283.6000000000004</v>
      </c>
      <c r="G85" s="301">
        <v>42216</v>
      </c>
      <c r="H85" s="302">
        <v>20</v>
      </c>
      <c r="I85" s="303">
        <v>158</v>
      </c>
      <c r="J85" s="303">
        <v>0.06</v>
      </c>
      <c r="K85" s="303">
        <f>H85*I85-J85</f>
        <v>3159.94</v>
      </c>
      <c r="L85" s="304"/>
      <c r="M85" s="303"/>
      <c r="N85" s="303"/>
      <c r="O85" s="302"/>
    </row>
    <row r="86" spans="1:16" ht="18" customHeight="1" x14ac:dyDescent="0.25">
      <c r="A86" s="300"/>
      <c r="B86" s="301">
        <v>42209</v>
      </c>
      <c r="C86" s="302">
        <v>10</v>
      </c>
      <c r="D86" s="303">
        <v>148</v>
      </c>
      <c r="E86" s="303"/>
      <c r="F86" s="303">
        <f>C86*D86</f>
        <v>1480</v>
      </c>
      <c r="G86" s="301">
        <v>42235</v>
      </c>
      <c r="H86" s="302">
        <v>20</v>
      </c>
      <c r="I86" s="303">
        <v>159.80000000000001</v>
      </c>
      <c r="J86" s="303">
        <v>0.06</v>
      </c>
      <c r="K86" s="303">
        <f>H86*I86-J86</f>
        <v>3195.94</v>
      </c>
      <c r="L86" s="304"/>
      <c r="M86" s="303"/>
      <c r="N86" s="303"/>
      <c r="O86" s="302"/>
    </row>
    <row r="87" spans="1:16" ht="18" customHeight="1" x14ac:dyDescent="0.25">
      <c r="A87" s="300"/>
      <c r="B87" s="301">
        <v>42209</v>
      </c>
      <c r="C87" s="302">
        <v>10</v>
      </c>
      <c r="D87" s="303">
        <v>146.69999999999999</v>
      </c>
      <c r="E87" s="303"/>
      <c r="F87" s="303">
        <f>C87*D87</f>
        <v>1467</v>
      </c>
      <c r="G87" s="304"/>
      <c r="H87" s="302"/>
      <c r="I87" s="303"/>
      <c r="J87" s="303"/>
      <c r="K87" s="303"/>
      <c r="L87" s="304"/>
      <c r="M87" s="303"/>
      <c r="N87" s="303"/>
      <c r="O87" s="302"/>
      <c r="P87" s="143" t="s">
        <v>134</v>
      </c>
    </row>
    <row r="88" spans="1:16" ht="18" customHeight="1" x14ac:dyDescent="0.25">
      <c r="A88" s="300"/>
      <c r="B88" s="309"/>
      <c r="C88" s="307">
        <f>SUM(C85:C87)</f>
        <v>40</v>
      </c>
      <c r="D88" s="308"/>
      <c r="E88" s="308"/>
      <c r="F88" s="308">
        <f>SUM(F85:F87)</f>
        <v>6230.6</v>
      </c>
      <c r="G88" s="309"/>
      <c r="H88" s="307">
        <f>SUM(H85:H87)</f>
        <v>40</v>
      </c>
      <c r="I88" s="308"/>
      <c r="J88" s="308"/>
      <c r="K88" s="308">
        <f>SUM(K85:K87)</f>
        <v>6355.88</v>
      </c>
      <c r="L88" s="309"/>
      <c r="M88" s="308"/>
      <c r="N88" s="308">
        <f>K88-F88</f>
        <v>125.27999999999975</v>
      </c>
      <c r="O88" s="310">
        <f>(N88+M88)/F88</f>
        <v>2.0107212788495449E-2</v>
      </c>
      <c r="P88" s="143"/>
    </row>
    <row r="89" spans="1:16" ht="18" customHeight="1" x14ac:dyDescent="0.25">
      <c r="B89" s="315"/>
      <c r="C89" s="316"/>
      <c r="D89" s="317"/>
      <c r="E89" s="317"/>
      <c r="F89" s="317"/>
      <c r="G89" s="315"/>
      <c r="H89" s="316"/>
      <c r="I89" s="317"/>
      <c r="J89" s="317"/>
      <c r="K89" s="317"/>
      <c r="L89" s="315"/>
      <c r="M89" s="317"/>
      <c r="N89" s="317"/>
      <c r="O89" s="318"/>
      <c r="P89" s="143"/>
    </row>
    <row r="90" spans="1:16" ht="18" customHeight="1" x14ac:dyDescent="0.25">
      <c r="A90" s="300" t="s">
        <v>19</v>
      </c>
      <c r="B90" s="301">
        <v>42152</v>
      </c>
      <c r="C90" s="302">
        <v>5</v>
      </c>
      <c r="D90" s="303">
        <v>35.049999999999997</v>
      </c>
      <c r="E90" s="303"/>
      <c r="F90" s="303">
        <v>175.25</v>
      </c>
      <c r="G90" s="301">
        <v>42206</v>
      </c>
      <c r="H90" s="302">
        <v>39</v>
      </c>
      <c r="I90" s="303">
        <v>35.65</v>
      </c>
      <c r="J90" s="302">
        <v>0.03</v>
      </c>
      <c r="K90" s="303">
        <f>H90*I90-J90</f>
        <v>1390.32</v>
      </c>
      <c r="L90" s="301">
        <v>42170</v>
      </c>
      <c r="M90" s="303">
        <v>7.73</v>
      </c>
      <c r="N90" s="303"/>
      <c r="O90" s="305"/>
      <c r="P90" s="143" t="s">
        <v>134</v>
      </c>
    </row>
    <row r="91" spans="1:16" ht="18" customHeight="1" x14ac:dyDescent="0.25">
      <c r="A91" s="300"/>
      <c r="B91" s="301">
        <v>42153</v>
      </c>
      <c r="C91" s="302">
        <v>25</v>
      </c>
      <c r="D91" s="303">
        <v>34.4</v>
      </c>
      <c r="E91" s="304"/>
      <c r="F91" s="303">
        <v>860</v>
      </c>
      <c r="G91" s="301">
        <v>42264</v>
      </c>
      <c r="H91" s="302">
        <v>51</v>
      </c>
      <c r="I91" s="303">
        <v>35</v>
      </c>
      <c r="J91" s="303">
        <v>0.03</v>
      </c>
      <c r="K91" s="303">
        <f>H91*I91-J91</f>
        <v>1784.97</v>
      </c>
      <c r="L91" s="301">
        <v>42262</v>
      </c>
      <c r="M91" s="303">
        <v>13.64</v>
      </c>
      <c r="N91" s="303"/>
      <c r="O91" s="305"/>
      <c r="P91" s="143"/>
    </row>
    <row r="92" spans="1:16" ht="18" customHeight="1" x14ac:dyDescent="0.25">
      <c r="A92" s="300"/>
      <c r="B92" s="301">
        <v>42173</v>
      </c>
      <c r="C92" s="302">
        <v>10</v>
      </c>
      <c r="D92" s="303">
        <v>34.1</v>
      </c>
      <c r="E92" s="303"/>
      <c r="F92" s="303">
        <v>341</v>
      </c>
      <c r="G92" s="304"/>
      <c r="H92" s="302"/>
      <c r="I92" s="303"/>
      <c r="J92" s="303"/>
      <c r="K92" s="303"/>
      <c r="L92" s="304"/>
      <c r="M92" s="303"/>
      <c r="N92" s="303"/>
      <c r="O92" s="305"/>
      <c r="P92" s="143"/>
    </row>
    <row r="93" spans="1:16" ht="18" customHeight="1" x14ac:dyDescent="0.25">
      <c r="A93" s="300"/>
      <c r="B93" s="301">
        <v>42228</v>
      </c>
      <c r="C93" s="302">
        <v>50</v>
      </c>
      <c r="D93" s="303">
        <v>33.44</v>
      </c>
      <c r="E93" s="303"/>
      <c r="F93" s="303">
        <v>1672.2</v>
      </c>
      <c r="G93" s="304"/>
      <c r="H93" s="302"/>
      <c r="I93" s="303"/>
      <c r="J93" s="303"/>
      <c r="K93" s="303"/>
      <c r="L93" s="304"/>
      <c r="M93" s="303"/>
      <c r="N93" s="303"/>
      <c r="O93" s="305"/>
      <c r="P93" s="143"/>
    </row>
    <row r="94" spans="1:16" ht="18" customHeight="1" x14ac:dyDescent="0.25">
      <c r="A94" s="300"/>
      <c r="B94" s="309"/>
      <c r="C94" s="307">
        <v>90</v>
      </c>
      <c r="D94" s="308"/>
      <c r="E94" s="308"/>
      <c r="F94" s="308">
        <f>SUM(F90:F93)</f>
        <v>3048.45</v>
      </c>
      <c r="G94" s="309"/>
      <c r="H94" s="307">
        <v>90</v>
      </c>
      <c r="I94" s="308"/>
      <c r="J94" s="308"/>
      <c r="K94" s="308">
        <f>SUM(K90:K91)</f>
        <v>3175.29</v>
      </c>
      <c r="L94" s="309"/>
      <c r="M94" s="308">
        <f>SUM(M90:M91)</f>
        <v>21.37</v>
      </c>
      <c r="N94" s="308">
        <f>K94-F94</f>
        <v>126.84000000000015</v>
      </c>
      <c r="O94" s="310">
        <f>N94/F94</f>
        <v>4.1608030310485704E-2</v>
      </c>
      <c r="P94" s="143"/>
    </row>
    <row r="95" spans="1:16" ht="18" customHeight="1" x14ac:dyDescent="0.25">
      <c r="B95" s="315"/>
      <c r="C95" s="316"/>
      <c r="D95" s="317"/>
      <c r="E95" s="25"/>
      <c r="F95" s="317"/>
      <c r="G95" s="315"/>
      <c r="H95" s="316"/>
      <c r="I95" s="317"/>
      <c r="K95" s="317"/>
      <c r="L95" s="315"/>
      <c r="M95" s="317"/>
      <c r="N95" s="317"/>
      <c r="O95" s="318"/>
      <c r="P95" s="143"/>
    </row>
    <row r="96" spans="1:16" ht="18" customHeight="1" x14ac:dyDescent="0.25">
      <c r="A96" s="300" t="s">
        <v>32</v>
      </c>
      <c r="B96" s="301">
        <v>42166</v>
      </c>
      <c r="C96" s="302">
        <v>25</v>
      </c>
      <c r="D96" s="303">
        <v>41.2</v>
      </c>
      <c r="E96" s="304"/>
      <c r="F96" s="303">
        <f>C96*D96</f>
        <v>1030</v>
      </c>
      <c r="G96" s="301">
        <v>42200</v>
      </c>
      <c r="H96" s="302">
        <v>50</v>
      </c>
      <c r="I96" s="303">
        <v>42.08</v>
      </c>
      <c r="J96" s="302">
        <v>0.04</v>
      </c>
      <c r="K96" s="303">
        <f>H96*I96-J96</f>
        <v>2103.96</v>
      </c>
      <c r="L96" s="304"/>
      <c r="M96" s="303"/>
      <c r="N96" s="303"/>
      <c r="O96" s="305"/>
      <c r="P96" s="143" t="s">
        <v>134</v>
      </c>
    </row>
    <row r="97" spans="1:15" ht="18" customHeight="1" x14ac:dyDescent="0.25">
      <c r="A97" s="300"/>
      <c r="B97" s="301">
        <v>42167</v>
      </c>
      <c r="C97" s="302">
        <v>25</v>
      </c>
      <c r="D97" s="303">
        <v>39.1</v>
      </c>
      <c r="E97" s="304"/>
      <c r="F97" s="303">
        <f>C97*D97</f>
        <v>977.5</v>
      </c>
      <c r="G97" s="304"/>
      <c r="H97" s="302"/>
      <c r="I97" s="303"/>
      <c r="J97" s="302"/>
      <c r="K97" s="303"/>
      <c r="L97" s="304"/>
      <c r="M97" s="303"/>
      <c r="N97" s="303"/>
      <c r="O97" s="305"/>
    </row>
    <row r="98" spans="1:15" ht="18" customHeight="1" x14ac:dyDescent="0.25">
      <c r="A98" s="300"/>
      <c r="B98" s="306"/>
      <c r="C98" s="307">
        <f>SUM(C96:C97)</f>
        <v>50</v>
      </c>
      <c r="D98" s="308"/>
      <c r="E98" s="309"/>
      <c r="F98" s="308">
        <f>SUM(F96:F97)</f>
        <v>2007.5</v>
      </c>
      <c r="G98" s="309"/>
      <c r="H98" s="307">
        <f>SUM(H96:H97)</f>
        <v>50</v>
      </c>
      <c r="I98" s="308"/>
      <c r="J98" s="307"/>
      <c r="K98" s="308">
        <f>SUM(K96:K97)</f>
        <v>2103.96</v>
      </c>
      <c r="L98" s="309"/>
      <c r="M98" s="308"/>
      <c r="N98" s="308">
        <f>K98-F98</f>
        <v>96.460000000000036</v>
      </c>
      <c r="O98" s="310">
        <f>(N98+M98)/F98</f>
        <v>4.804981320049815E-2</v>
      </c>
    </row>
    <row r="99" spans="1:15" ht="18" customHeight="1" x14ac:dyDescent="0.25">
      <c r="B99" s="315"/>
      <c r="C99" s="316"/>
      <c r="D99" s="317"/>
      <c r="E99" s="317"/>
      <c r="F99" s="317"/>
      <c r="G99" s="315"/>
      <c r="H99" s="316"/>
      <c r="I99" s="317"/>
      <c r="K99" s="317"/>
      <c r="L99" s="315"/>
      <c r="M99" s="317"/>
      <c r="N99" s="317"/>
      <c r="O99" s="318"/>
    </row>
    <row r="100" spans="1:15" ht="18" customHeight="1" x14ac:dyDescent="0.25">
      <c r="A100" s="300" t="s">
        <v>16</v>
      </c>
      <c r="B100" s="301">
        <v>42153</v>
      </c>
      <c r="C100" s="302">
        <v>1</v>
      </c>
      <c r="D100" s="303">
        <v>20.3</v>
      </c>
      <c r="E100" s="303"/>
      <c r="F100" s="303">
        <f>C100*D100</f>
        <v>20.3</v>
      </c>
      <c r="G100" s="301">
        <v>42187</v>
      </c>
      <c r="H100" s="302">
        <v>1</v>
      </c>
      <c r="I100" s="303">
        <v>28.5</v>
      </c>
      <c r="J100" s="303">
        <v>0.01</v>
      </c>
      <c r="K100" s="303">
        <f>H100*I100-J100</f>
        <v>28.49</v>
      </c>
      <c r="L100" s="304"/>
      <c r="M100" s="303"/>
      <c r="N100" s="303"/>
      <c r="O100" s="305"/>
    </row>
    <row r="101" spans="1:15" ht="18" customHeight="1" x14ac:dyDescent="0.25">
      <c r="A101" s="300"/>
      <c r="B101" s="309"/>
      <c r="C101" s="307">
        <f>SUM(C100)</f>
        <v>1</v>
      </c>
      <c r="D101" s="308"/>
      <c r="E101" s="308"/>
      <c r="F101" s="308">
        <f>SUM(F100)</f>
        <v>20.3</v>
      </c>
      <c r="G101" s="309"/>
      <c r="H101" s="307">
        <f>SUM(H100)</f>
        <v>1</v>
      </c>
      <c r="I101" s="308"/>
      <c r="J101" s="308"/>
      <c r="K101" s="308">
        <f>SUM(K100)</f>
        <v>28.49</v>
      </c>
      <c r="L101" s="309"/>
      <c r="M101" s="308"/>
      <c r="N101" s="308">
        <f>K101-F101</f>
        <v>8.1899999999999977</v>
      </c>
      <c r="O101" s="310">
        <f>(N101+M101)/F101</f>
        <v>0.40344827586206883</v>
      </c>
    </row>
    <row r="102" spans="1:15" ht="18" customHeight="1" x14ac:dyDescent="0.25">
      <c r="B102" s="315"/>
      <c r="C102" s="316"/>
      <c r="D102" s="317"/>
      <c r="E102" s="25"/>
      <c r="F102" s="317"/>
      <c r="G102" s="315"/>
      <c r="H102" s="316"/>
      <c r="I102" s="317"/>
      <c r="K102" s="317"/>
      <c r="L102" s="315"/>
      <c r="M102" s="317"/>
      <c r="N102" s="317"/>
      <c r="O102" s="318"/>
    </row>
    <row r="103" spans="1:15" ht="18" customHeight="1" x14ac:dyDescent="0.25">
      <c r="A103" s="300" t="s">
        <v>21</v>
      </c>
      <c r="B103" s="301">
        <v>42153</v>
      </c>
      <c r="C103" s="302">
        <v>10</v>
      </c>
      <c r="D103" s="303">
        <v>17.399999999999999</v>
      </c>
      <c r="E103" s="304"/>
      <c r="F103" s="303">
        <f>C103*D103</f>
        <v>174</v>
      </c>
      <c r="G103" s="301">
        <v>42186</v>
      </c>
      <c r="H103" s="302">
        <v>10</v>
      </c>
      <c r="I103" s="303">
        <v>24.2</v>
      </c>
      <c r="J103" s="302">
        <v>0.01</v>
      </c>
      <c r="K103" s="303">
        <f>H103*I103-J103</f>
        <v>241.99</v>
      </c>
      <c r="L103" s="304"/>
      <c r="M103" s="303"/>
      <c r="N103" s="303"/>
      <c r="O103" s="305"/>
    </row>
    <row r="104" spans="1:15" ht="18" customHeight="1" x14ac:dyDescent="0.25">
      <c r="A104" s="300"/>
      <c r="B104" s="301">
        <v>42187</v>
      </c>
      <c r="C104" s="302">
        <v>1000</v>
      </c>
      <c r="D104" s="303">
        <v>22.12</v>
      </c>
      <c r="E104" s="304"/>
      <c r="F104" s="303">
        <f>C104*D104</f>
        <v>22120</v>
      </c>
      <c r="G104" s="301">
        <v>42187</v>
      </c>
      <c r="H104" s="302">
        <v>4000</v>
      </c>
      <c r="I104" s="303">
        <v>21.81</v>
      </c>
      <c r="J104" s="302">
        <v>11.91</v>
      </c>
      <c r="K104" s="303">
        <f>H104*I104-J104</f>
        <v>87228.09</v>
      </c>
      <c r="L104" s="304"/>
      <c r="M104" s="303"/>
      <c r="N104" s="303"/>
      <c r="O104" s="305"/>
    </row>
    <row r="105" spans="1:15" ht="18" customHeight="1" x14ac:dyDescent="0.25">
      <c r="A105" s="300"/>
      <c r="B105" s="301">
        <v>42187</v>
      </c>
      <c r="C105" s="302">
        <v>1000</v>
      </c>
      <c r="D105" s="303">
        <v>21.7</v>
      </c>
      <c r="E105" s="304"/>
      <c r="F105" s="303">
        <f>C105*D105</f>
        <v>21700</v>
      </c>
      <c r="G105" s="301"/>
      <c r="H105" s="302"/>
      <c r="I105" s="303"/>
      <c r="J105" s="302"/>
      <c r="K105" s="303"/>
      <c r="L105" s="304"/>
      <c r="M105" s="303"/>
      <c r="N105" s="303"/>
      <c r="O105" s="305"/>
    </row>
    <row r="106" spans="1:15" ht="18" customHeight="1" x14ac:dyDescent="0.25">
      <c r="A106" s="300"/>
      <c r="B106" s="301">
        <v>42187</v>
      </c>
      <c r="C106" s="302">
        <v>2000</v>
      </c>
      <c r="D106" s="303">
        <v>21.49</v>
      </c>
      <c r="E106" s="304"/>
      <c r="F106" s="303">
        <f>C106*D106</f>
        <v>42980</v>
      </c>
      <c r="G106" s="301"/>
      <c r="H106" s="302"/>
      <c r="I106" s="303"/>
      <c r="J106" s="302"/>
      <c r="K106" s="303"/>
      <c r="L106" s="304"/>
      <c r="M106" s="303"/>
      <c r="N106" s="303"/>
      <c r="O106" s="305"/>
    </row>
    <row r="107" spans="1:15" ht="18" customHeight="1" x14ac:dyDescent="0.25">
      <c r="A107" s="300"/>
      <c r="B107" s="306"/>
      <c r="C107" s="307">
        <f>SUM(C103:C106)</f>
        <v>4010</v>
      </c>
      <c r="D107" s="308"/>
      <c r="E107" s="309"/>
      <c r="F107" s="308">
        <f>SUM(F103:F106)</f>
        <v>86974</v>
      </c>
      <c r="G107" s="309"/>
      <c r="H107" s="307">
        <f>SUM(H103:H106)</f>
        <v>4010</v>
      </c>
      <c r="I107" s="308"/>
      <c r="J107" s="307"/>
      <c r="K107" s="308">
        <f>SUM(K103:K106)</f>
        <v>87470.080000000002</v>
      </c>
      <c r="L107" s="309"/>
      <c r="M107" s="308"/>
      <c r="N107" s="308">
        <f>K107-F107</f>
        <v>496.08000000000175</v>
      </c>
      <c r="O107" s="310">
        <f>(N107+M107)/F107</f>
        <v>5.7037735415181746E-3</v>
      </c>
    </row>
    <row r="108" spans="1:15" ht="18" customHeight="1" x14ac:dyDescent="0.25">
      <c r="B108" s="315"/>
      <c r="C108" s="316"/>
      <c r="D108" s="317"/>
      <c r="E108" s="25"/>
      <c r="F108" s="317"/>
      <c r="G108" s="315"/>
      <c r="H108" s="316"/>
      <c r="I108" s="317"/>
      <c r="J108" s="317"/>
      <c r="K108" s="317"/>
      <c r="L108" s="315"/>
      <c r="M108" s="317"/>
      <c r="N108" s="316"/>
      <c r="O108" s="316"/>
    </row>
    <row r="109" spans="1:15" ht="18" customHeight="1" x14ac:dyDescent="0.25">
      <c r="A109" s="300" t="s">
        <v>9</v>
      </c>
      <c r="B109" s="301">
        <v>42145</v>
      </c>
      <c r="C109" s="302">
        <v>100</v>
      </c>
      <c r="D109" s="303">
        <v>5.55</v>
      </c>
      <c r="E109" s="303"/>
      <c r="F109" s="303">
        <f t="shared" ref="F109:F138" si="5">C109*D109</f>
        <v>555</v>
      </c>
      <c r="G109" s="301">
        <v>42187</v>
      </c>
      <c r="H109" s="302">
        <v>4200</v>
      </c>
      <c r="I109" s="303">
        <v>5.0199999999999996</v>
      </c>
      <c r="J109" s="303">
        <v>0.39</v>
      </c>
      <c r="K109" s="303">
        <f>H109*I109-J109</f>
        <v>21083.61</v>
      </c>
      <c r="L109" s="301">
        <v>42185</v>
      </c>
      <c r="M109" s="303">
        <v>656.25</v>
      </c>
      <c r="N109" s="302"/>
      <c r="O109" s="302"/>
    </row>
    <row r="110" spans="1:15" ht="18" customHeight="1" x14ac:dyDescent="0.25">
      <c r="A110" s="300"/>
      <c r="B110" s="301">
        <v>42146</v>
      </c>
      <c r="C110" s="302">
        <v>100</v>
      </c>
      <c r="D110" s="303">
        <v>5.47</v>
      </c>
      <c r="E110" s="303"/>
      <c r="F110" s="303">
        <f t="shared" si="5"/>
        <v>547</v>
      </c>
      <c r="G110" s="301">
        <v>42207</v>
      </c>
      <c r="H110" s="302">
        <v>1000</v>
      </c>
      <c r="I110" s="303">
        <v>5.12</v>
      </c>
      <c r="J110" s="303">
        <v>0.09</v>
      </c>
      <c r="K110" s="303">
        <f>H110*I110-J110</f>
        <v>5119.91</v>
      </c>
      <c r="L110" s="304"/>
      <c r="M110" s="303"/>
      <c r="N110" s="302"/>
      <c r="O110" s="302"/>
    </row>
    <row r="111" spans="1:15" ht="18" customHeight="1" x14ac:dyDescent="0.25">
      <c r="A111" s="300"/>
      <c r="B111" s="301">
        <v>42146</v>
      </c>
      <c r="C111" s="302">
        <v>100</v>
      </c>
      <c r="D111" s="303">
        <v>5.43</v>
      </c>
      <c r="E111" s="303"/>
      <c r="F111" s="303">
        <f t="shared" si="5"/>
        <v>543</v>
      </c>
      <c r="G111" s="301">
        <v>42207</v>
      </c>
      <c r="H111" s="302">
        <v>2000</v>
      </c>
      <c r="I111" s="303">
        <v>5.16</v>
      </c>
      <c r="J111" s="303">
        <v>0.19</v>
      </c>
      <c r="K111" s="303">
        <f t="shared" ref="K111:K118" si="6">H111*I111-J111</f>
        <v>10319.81</v>
      </c>
      <c r="L111" s="304"/>
      <c r="M111" s="303"/>
      <c r="N111" s="302"/>
      <c r="O111" s="302"/>
    </row>
    <row r="112" spans="1:15" ht="18" customHeight="1" x14ac:dyDescent="0.25">
      <c r="A112" s="300"/>
      <c r="B112" s="301">
        <v>42146</v>
      </c>
      <c r="C112" s="302">
        <v>100</v>
      </c>
      <c r="D112" s="303">
        <v>5.4</v>
      </c>
      <c r="E112" s="303"/>
      <c r="F112" s="303">
        <f t="shared" si="5"/>
        <v>540</v>
      </c>
      <c r="G112" s="301">
        <v>42207</v>
      </c>
      <c r="H112" s="302">
        <v>1000</v>
      </c>
      <c r="I112" s="303">
        <v>5.07</v>
      </c>
      <c r="J112" s="303">
        <v>0.09</v>
      </c>
      <c r="K112" s="303">
        <f t="shared" si="6"/>
        <v>5069.91</v>
      </c>
      <c r="L112" s="304"/>
      <c r="M112" s="303"/>
      <c r="N112" s="302"/>
      <c r="O112" s="302"/>
    </row>
    <row r="113" spans="1:16" ht="18" customHeight="1" x14ac:dyDescent="0.25">
      <c r="A113" s="300"/>
      <c r="B113" s="301">
        <v>42146</v>
      </c>
      <c r="C113" s="302">
        <v>200</v>
      </c>
      <c r="D113" s="303">
        <v>5.35</v>
      </c>
      <c r="E113" s="303"/>
      <c r="F113" s="303">
        <f t="shared" si="5"/>
        <v>1070</v>
      </c>
      <c r="G113" s="301">
        <v>42207</v>
      </c>
      <c r="H113" s="302">
        <v>1000</v>
      </c>
      <c r="I113" s="303">
        <v>5.09</v>
      </c>
      <c r="J113" s="303">
        <v>0.09</v>
      </c>
      <c r="K113" s="303">
        <f t="shared" si="6"/>
        <v>5089.91</v>
      </c>
      <c r="L113" s="304"/>
      <c r="M113" s="303"/>
      <c r="N113" s="302"/>
      <c r="O113" s="302"/>
    </row>
    <row r="114" spans="1:16" ht="18" customHeight="1" x14ac:dyDescent="0.25">
      <c r="A114" s="300"/>
      <c r="B114" s="301">
        <v>42152</v>
      </c>
      <c r="C114" s="302">
        <v>250</v>
      </c>
      <c r="D114" s="303">
        <v>5.3</v>
      </c>
      <c r="E114" s="303"/>
      <c r="F114" s="303">
        <f t="shared" si="5"/>
        <v>1325</v>
      </c>
      <c r="G114" s="301">
        <v>42207</v>
      </c>
      <c r="H114" s="302">
        <v>2000</v>
      </c>
      <c r="I114" s="303">
        <v>5.23</v>
      </c>
      <c r="J114" s="303">
        <v>0.19</v>
      </c>
      <c r="K114" s="303">
        <f t="shared" si="6"/>
        <v>10459.81</v>
      </c>
      <c r="L114" s="304"/>
      <c r="M114" s="303"/>
      <c r="N114" s="302"/>
      <c r="O114" s="302"/>
    </row>
    <row r="115" spans="1:16" ht="18" customHeight="1" x14ac:dyDescent="0.25">
      <c r="A115" s="300"/>
      <c r="B115" s="301">
        <v>42152</v>
      </c>
      <c r="C115" s="302">
        <v>200</v>
      </c>
      <c r="D115" s="303">
        <v>5.26</v>
      </c>
      <c r="E115" s="303"/>
      <c r="F115" s="303">
        <f t="shared" si="5"/>
        <v>1052</v>
      </c>
      <c r="G115" s="301">
        <v>42222</v>
      </c>
      <c r="H115" s="302">
        <v>5000</v>
      </c>
      <c r="I115" s="303">
        <v>5.12</v>
      </c>
      <c r="J115" s="303">
        <v>0.47</v>
      </c>
      <c r="K115" s="303">
        <f t="shared" si="6"/>
        <v>25599.53</v>
      </c>
      <c r="L115" s="304"/>
      <c r="M115" s="303"/>
      <c r="N115" s="302"/>
      <c r="O115" s="302"/>
    </row>
    <row r="116" spans="1:16" ht="18" customHeight="1" x14ac:dyDescent="0.25">
      <c r="A116" s="300"/>
      <c r="B116" s="301">
        <v>42152</v>
      </c>
      <c r="C116" s="302">
        <v>200</v>
      </c>
      <c r="D116" s="303">
        <v>5.22</v>
      </c>
      <c r="E116" s="303"/>
      <c r="F116" s="303">
        <f t="shared" si="5"/>
        <v>1044</v>
      </c>
      <c r="G116" s="301">
        <v>42222</v>
      </c>
      <c r="H116" s="302">
        <v>1000</v>
      </c>
      <c r="I116" s="303">
        <v>5.1100000000000003</v>
      </c>
      <c r="J116" s="303">
        <v>0.09</v>
      </c>
      <c r="K116" s="303">
        <f t="shared" si="6"/>
        <v>5109.91</v>
      </c>
      <c r="L116" s="304"/>
      <c r="M116" s="303"/>
      <c r="N116" s="302"/>
      <c r="O116" s="302"/>
    </row>
    <row r="117" spans="1:16" ht="18" customHeight="1" x14ac:dyDescent="0.25">
      <c r="A117" s="300"/>
      <c r="B117" s="301">
        <v>42152</v>
      </c>
      <c r="C117" s="302">
        <v>1000</v>
      </c>
      <c r="D117" s="303">
        <v>5.19</v>
      </c>
      <c r="E117" s="303"/>
      <c r="F117" s="303">
        <f t="shared" si="5"/>
        <v>5190</v>
      </c>
      <c r="G117" s="301">
        <v>42223</v>
      </c>
      <c r="H117" s="302">
        <v>1950</v>
      </c>
      <c r="I117" s="303">
        <v>5.2</v>
      </c>
      <c r="J117" s="303">
        <v>0.19</v>
      </c>
      <c r="K117" s="303">
        <f t="shared" si="6"/>
        <v>10139.81</v>
      </c>
      <c r="L117" s="304"/>
      <c r="M117" s="303"/>
      <c r="N117" s="302"/>
      <c r="O117" s="302"/>
    </row>
    <row r="118" spans="1:16" ht="18" customHeight="1" x14ac:dyDescent="0.25">
      <c r="A118" s="300"/>
      <c r="B118" s="301">
        <v>42152</v>
      </c>
      <c r="C118" s="302">
        <v>2000</v>
      </c>
      <c r="D118" s="303">
        <v>5.17</v>
      </c>
      <c r="E118" s="303"/>
      <c r="F118" s="303">
        <f t="shared" si="5"/>
        <v>10340</v>
      </c>
      <c r="G118" s="301">
        <v>42229</v>
      </c>
      <c r="H118" s="302">
        <v>50</v>
      </c>
      <c r="I118" s="303">
        <v>5.28</v>
      </c>
      <c r="J118" s="303">
        <v>0.01</v>
      </c>
      <c r="K118" s="303">
        <f t="shared" si="6"/>
        <v>263.99</v>
      </c>
      <c r="L118" s="304"/>
      <c r="M118" s="303"/>
      <c r="N118" s="302"/>
      <c r="O118" s="302"/>
    </row>
    <row r="119" spans="1:16" ht="18" customHeight="1" x14ac:dyDescent="0.25">
      <c r="A119" s="300"/>
      <c r="B119" s="301">
        <v>42152</v>
      </c>
      <c r="C119" s="302">
        <v>2000</v>
      </c>
      <c r="D119" s="303">
        <v>5.15</v>
      </c>
      <c r="E119" s="303"/>
      <c r="F119" s="303">
        <f t="shared" si="5"/>
        <v>10300</v>
      </c>
      <c r="G119" s="304"/>
      <c r="H119" s="302"/>
      <c r="I119" s="303"/>
      <c r="J119" s="303"/>
      <c r="K119" s="303"/>
      <c r="L119" s="304"/>
      <c r="M119" s="303"/>
      <c r="N119" s="302"/>
      <c r="O119" s="302"/>
    </row>
    <row r="120" spans="1:16" ht="18" customHeight="1" x14ac:dyDescent="0.25">
      <c r="A120" s="300"/>
      <c r="B120" s="301">
        <v>42158</v>
      </c>
      <c r="C120" s="302">
        <v>500</v>
      </c>
      <c r="D120" s="303">
        <v>5.09</v>
      </c>
      <c r="E120" s="303"/>
      <c r="F120" s="303">
        <f t="shared" si="5"/>
        <v>2545</v>
      </c>
      <c r="G120" s="304"/>
      <c r="H120" s="302"/>
      <c r="I120" s="303"/>
      <c r="J120" s="303"/>
      <c r="K120" s="303"/>
      <c r="L120" s="304"/>
      <c r="M120" s="303"/>
      <c r="N120" s="302"/>
      <c r="O120" s="302"/>
    </row>
    <row r="121" spans="1:16" ht="18" customHeight="1" x14ac:dyDescent="0.25">
      <c r="A121" s="300"/>
      <c r="B121" s="301">
        <v>42158</v>
      </c>
      <c r="C121" s="302">
        <v>1000</v>
      </c>
      <c r="D121" s="303">
        <v>5.04</v>
      </c>
      <c r="E121" s="304"/>
      <c r="F121" s="303">
        <f t="shared" si="5"/>
        <v>5040</v>
      </c>
      <c r="G121" s="304"/>
      <c r="H121" s="302"/>
      <c r="I121" s="303"/>
      <c r="J121" s="303"/>
      <c r="K121" s="303"/>
      <c r="L121" s="304"/>
      <c r="M121" s="303"/>
      <c r="N121" s="302"/>
      <c r="O121" s="302"/>
    </row>
    <row r="122" spans="1:16" ht="18" customHeight="1" x14ac:dyDescent="0.25">
      <c r="A122" s="300"/>
      <c r="B122" s="301">
        <v>42158</v>
      </c>
      <c r="C122" s="302">
        <v>200</v>
      </c>
      <c r="D122" s="303">
        <v>5.05</v>
      </c>
      <c r="E122" s="303"/>
      <c r="F122" s="303">
        <f t="shared" si="5"/>
        <v>1010</v>
      </c>
      <c r="G122" s="304"/>
      <c r="H122" s="302"/>
      <c r="I122" s="303"/>
      <c r="J122" s="303"/>
      <c r="K122" s="303"/>
      <c r="L122" s="304"/>
      <c r="M122" s="303"/>
      <c r="N122" s="302"/>
      <c r="O122" s="302"/>
    </row>
    <row r="123" spans="1:16" ht="18" customHeight="1" x14ac:dyDescent="0.25">
      <c r="A123" s="300"/>
      <c r="B123" s="301">
        <v>42164</v>
      </c>
      <c r="C123" s="302">
        <v>500</v>
      </c>
      <c r="D123" s="303">
        <v>5.07</v>
      </c>
      <c r="E123" s="303"/>
      <c r="F123" s="303">
        <f t="shared" si="5"/>
        <v>2535</v>
      </c>
      <c r="G123" s="304"/>
      <c r="H123" s="302"/>
      <c r="I123" s="303"/>
      <c r="J123" s="303"/>
      <c r="K123" s="303"/>
      <c r="L123" s="304"/>
      <c r="M123" s="303"/>
      <c r="N123" s="302"/>
      <c r="O123" s="302"/>
    </row>
    <row r="124" spans="1:16" ht="18" customHeight="1" x14ac:dyDescent="0.25">
      <c r="A124" s="300"/>
      <c r="B124" s="301">
        <v>42164</v>
      </c>
      <c r="C124" s="302">
        <v>1000</v>
      </c>
      <c r="D124" s="303">
        <v>5.04</v>
      </c>
      <c r="E124" s="303"/>
      <c r="F124" s="303">
        <f t="shared" si="5"/>
        <v>5040</v>
      </c>
      <c r="G124" s="304"/>
      <c r="H124" s="302"/>
      <c r="I124" s="303"/>
      <c r="J124" s="303"/>
      <c r="K124" s="303"/>
      <c r="L124" s="304"/>
      <c r="M124" s="303"/>
      <c r="N124" s="302"/>
      <c r="O124" s="302"/>
    </row>
    <row r="125" spans="1:16" ht="18" customHeight="1" x14ac:dyDescent="0.25">
      <c r="A125" s="300"/>
      <c r="B125" s="301">
        <v>42164</v>
      </c>
      <c r="C125" s="302">
        <v>1000</v>
      </c>
      <c r="D125" s="303">
        <v>5.01</v>
      </c>
      <c r="E125" s="303"/>
      <c r="F125" s="303">
        <f t="shared" si="5"/>
        <v>5010</v>
      </c>
      <c r="G125" s="304"/>
      <c r="H125" s="302"/>
      <c r="I125" s="303"/>
      <c r="J125" s="303"/>
      <c r="K125" s="303"/>
      <c r="L125" s="304"/>
      <c r="M125" s="303"/>
      <c r="N125" s="302"/>
      <c r="O125" s="302"/>
    </row>
    <row r="126" spans="1:16" ht="18" customHeight="1" x14ac:dyDescent="0.25">
      <c r="A126" s="300"/>
      <c r="B126" s="301">
        <v>42173</v>
      </c>
      <c r="C126" s="302">
        <v>500</v>
      </c>
      <c r="D126" s="303">
        <v>4.88</v>
      </c>
      <c r="E126" s="303"/>
      <c r="F126" s="303">
        <f t="shared" si="5"/>
        <v>2440</v>
      </c>
      <c r="G126" s="304"/>
      <c r="H126" s="302"/>
      <c r="I126" s="303"/>
      <c r="J126" s="303"/>
      <c r="K126" s="303"/>
      <c r="L126" s="304"/>
      <c r="M126" s="303"/>
      <c r="N126" s="302"/>
      <c r="O126" s="302"/>
    </row>
    <row r="127" spans="1:16" ht="18" customHeight="1" x14ac:dyDescent="0.25">
      <c r="A127" s="300"/>
      <c r="B127" s="301">
        <v>42187</v>
      </c>
      <c r="C127" s="302">
        <v>2000</v>
      </c>
      <c r="D127" s="303">
        <v>4.9800000000000004</v>
      </c>
      <c r="E127" s="303"/>
      <c r="F127" s="303">
        <f t="shared" si="5"/>
        <v>9960</v>
      </c>
      <c r="G127" s="304"/>
      <c r="H127" s="302"/>
      <c r="I127" s="303"/>
      <c r="J127" s="303"/>
      <c r="K127" s="303"/>
      <c r="L127" s="304"/>
      <c r="M127" s="303"/>
      <c r="N127" s="302"/>
      <c r="O127" s="302"/>
    </row>
    <row r="128" spans="1:16" ht="18" customHeight="1" x14ac:dyDescent="0.25">
      <c r="A128" s="300"/>
      <c r="B128" s="301">
        <v>42187</v>
      </c>
      <c r="C128" s="302">
        <v>100</v>
      </c>
      <c r="D128" s="303">
        <v>4.9800000000000004</v>
      </c>
      <c r="E128" s="303"/>
      <c r="F128" s="303">
        <f t="shared" si="5"/>
        <v>498.00000000000006</v>
      </c>
      <c r="G128" s="304"/>
      <c r="H128" s="302"/>
      <c r="I128" s="303"/>
      <c r="J128" s="303"/>
      <c r="K128" s="303"/>
      <c r="L128" s="304"/>
      <c r="M128" s="303"/>
      <c r="N128" s="302"/>
      <c r="O128" s="302"/>
      <c r="P128" s="143" t="s">
        <v>134</v>
      </c>
    </row>
    <row r="129" spans="1:16" ht="18" customHeight="1" x14ac:dyDescent="0.25">
      <c r="A129" s="300"/>
      <c r="B129" s="301">
        <v>42187</v>
      </c>
      <c r="C129" s="302">
        <v>100</v>
      </c>
      <c r="D129" s="303">
        <v>4.9800000000000004</v>
      </c>
      <c r="E129" s="303"/>
      <c r="F129" s="303">
        <f t="shared" si="5"/>
        <v>498.00000000000006</v>
      </c>
      <c r="G129" s="304"/>
      <c r="H129" s="302"/>
      <c r="I129" s="303"/>
      <c r="J129" s="303"/>
      <c r="K129" s="303"/>
      <c r="L129" s="304"/>
      <c r="M129" s="303"/>
      <c r="N129" s="302"/>
      <c r="O129" s="302"/>
    </row>
    <row r="130" spans="1:16" ht="18" customHeight="1" x14ac:dyDescent="0.25">
      <c r="A130" s="300"/>
      <c r="B130" s="301">
        <v>42187</v>
      </c>
      <c r="C130" s="302">
        <v>2000</v>
      </c>
      <c r="D130" s="303">
        <v>4.97</v>
      </c>
      <c r="E130" s="303"/>
      <c r="F130" s="303">
        <f t="shared" si="5"/>
        <v>9940</v>
      </c>
      <c r="G130" s="304"/>
      <c r="H130" s="302"/>
      <c r="I130" s="303"/>
      <c r="J130" s="303"/>
      <c r="K130" s="303"/>
      <c r="L130" s="304"/>
      <c r="M130" s="303"/>
      <c r="N130" s="302"/>
      <c r="O130" s="302"/>
    </row>
    <row r="131" spans="1:16" ht="18" customHeight="1" x14ac:dyDescent="0.25">
      <c r="A131" s="300"/>
      <c r="B131" s="301">
        <v>42199</v>
      </c>
      <c r="C131" s="302">
        <v>500</v>
      </c>
      <c r="D131" s="303">
        <v>4.8</v>
      </c>
      <c r="E131" s="303"/>
      <c r="F131" s="303">
        <f t="shared" si="5"/>
        <v>2400</v>
      </c>
      <c r="G131" s="304"/>
      <c r="H131" s="302"/>
      <c r="I131" s="303"/>
      <c r="J131" s="303"/>
      <c r="K131" s="303"/>
      <c r="L131" s="304"/>
      <c r="M131" s="303"/>
      <c r="N131" s="302"/>
      <c r="O131" s="302"/>
      <c r="P131" s="143" t="s">
        <v>134</v>
      </c>
    </row>
    <row r="132" spans="1:16" ht="18" customHeight="1" x14ac:dyDescent="0.25">
      <c r="A132" s="300"/>
      <c r="B132" s="301">
        <v>42212</v>
      </c>
      <c r="C132" s="302">
        <v>300</v>
      </c>
      <c r="D132" s="303">
        <v>4.76</v>
      </c>
      <c r="E132" s="303"/>
      <c r="F132" s="303">
        <f t="shared" si="5"/>
        <v>1428</v>
      </c>
      <c r="G132" s="304"/>
      <c r="H132" s="302"/>
      <c r="I132" s="303"/>
      <c r="J132" s="303"/>
      <c r="K132" s="303"/>
      <c r="L132" s="304"/>
      <c r="M132" s="303"/>
      <c r="N132" s="302"/>
      <c r="O132" s="302"/>
    </row>
    <row r="133" spans="1:16" ht="18" customHeight="1" x14ac:dyDescent="0.25">
      <c r="A133" s="300"/>
      <c r="B133" s="301">
        <v>42212</v>
      </c>
      <c r="C133" s="302">
        <v>1700</v>
      </c>
      <c r="D133" s="303">
        <v>4.76</v>
      </c>
      <c r="E133" s="303"/>
      <c r="F133" s="303">
        <f t="shared" si="5"/>
        <v>8092</v>
      </c>
      <c r="G133" s="304"/>
      <c r="H133" s="302"/>
      <c r="I133" s="303"/>
      <c r="J133" s="303"/>
      <c r="K133" s="303"/>
      <c r="L133" s="304"/>
      <c r="M133" s="303"/>
      <c r="N133" s="302"/>
      <c r="O133" s="302"/>
    </row>
    <row r="134" spans="1:16" ht="18" customHeight="1" x14ac:dyDescent="0.25">
      <c r="A134" s="300"/>
      <c r="B134" s="301">
        <v>42214</v>
      </c>
      <c r="C134" s="302">
        <v>500</v>
      </c>
      <c r="D134" s="303">
        <v>4.68</v>
      </c>
      <c r="E134" s="303"/>
      <c r="F134" s="303">
        <f t="shared" si="5"/>
        <v>2340</v>
      </c>
      <c r="G134" s="304"/>
      <c r="H134" s="302"/>
      <c r="I134" s="303"/>
      <c r="J134" s="303"/>
      <c r="K134" s="303"/>
      <c r="L134" s="304"/>
      <c r="M134" s="303"/>
      <c r="N134" s="302"/>
      <c r="O134" s="302"/>
    </row>
    <row r="135" spans="1:16" ht="18" customHeight="1" x14ac:dyDescent="0.25">
      <c r="A135" s="300"/>
      <c r="B135" s="301">
        <v>42214</v>
      </c>
      <c r="C135" s="302">
        <v>50</v>
      </c>
      <c r="D135" s="303">
        <v>4.6500000000000004</v>
      </c>
      <c r="E135" s="303"/>
      <c r="F135" s="303">
        <f t="shared" si="5"/>
        <v>232.50000000000003</v>
      </c>
      <c r="G135" s="304"/>
      <c r="H135" s="302"/>
      <c r="I135" s="303"/>
      <c r="J135" s="303"/>
      <c r="K135" s="303"/>
      <c r="L135" s="304"/>
      <c r="M135" s="303"/>
      <c r="N135" s="302"/>
      <c r="O135" s="302"/>
      <c r="P135" s="143" t="s">
        <v>134</v>
      </c>
    </row>
    <row r="136" spans="1:16" ht="18" customHeight="1" x14ac:dyDescent="0.25">
      <c r="A136" s="300"/>
      <c r="B136" s="301">
        <v>42214</v>
      </c>
      <c r="C136" s="302">
        <v>200</v>
      </c>
      <c r="D136" s="303">
        <v>4.63</v>
      </c>
      <c r="E136" s="303"/>
      <c r="F136" s="303">
        <f t="shared" si="5"/>
        <v>926</v>
      </c>
      <c r="G136" s="304"/>
      <c r="H136" s="302"/>
      <c r="I136" s="303"/>
      <c r="J136" s="303"/>
      <c r="K136" s="303"/>
      <c r="L136" s="304"/>
      <c r="M136" s="303"/>
      <c r="N136" s="302"/>
      <c r="O136" s="302"/>
    </row>
    <row r="137" spans="1:16" ht="18" customHeight="1" x14ac:dyDescent="0.25">
      <c r="A137" s="300"/>
      <c r="B137" s="301">
        <v>42214</v>
      </c>
      <c r="C137" s="302">
        <v>300</v>
      </c>
      <c r="D137" s="303">
        <v>4.59</v>
      </c>
      <c r="E137" s="303"/>
      <c r="F137" s="303">
        <f t="shared" si="5"/>
        <v>1377</v>
      </c>
      <c r="G137" s="304"/>
      <c r="H137" s="302"/>
      <c r="I137" s="303"/>
      <c r="J137" s="303"/>
      <c r="K137" s="303"/>
      <c r="L137" s="304"/>
      <c r="M137" s="303"/>
      <c r="N137" s="302"/>
      <c r="O137" s="302"/>
    </row>
    <row r="138" spans="1:16" ht="18" customHeight="1" x14ac:dyDescent="0.25">
      <c r="A138" s="300"/>
      <c r="B138" s="301">
        <v>42214</v>
      </c>
      <c r="C138" s="302">
        <v>500</v>
      </c>
      <c r="D138" s="303">
        <v>4.54</v>
      </c>
      <c r="E138" s="303"/>
      <c r="F138" s="303">
        <f t="shared" si="5"/>
        <v>2270</v>
      </c>
      <c r="G138" s="304"/>
      <c r="H138" s="302"/>
      <c r="I138" s="303"/>
      <c r="J138" s="303"/>
      <c r="K138" s="303"/>
      <c r="L138" s="304"/>
      <c r="M138" s="303"/>
      <c r="N138" s="302"/>
      <c r="O138" s="302"/>
    </row>
    <row r="139" spans="1:16" ht="18" customHeight="1" x14ac:dyDescent="0.25">
      <c r="A139" s="300"/>
      <c r="B139" s="309"/>
      <c r="C139" s="307">
        <f>SUM(C109:C138)</f>
        <v>19200</v>
      </c>
      <c r="D139" s="308"/>
      <c r="E139" s="308"/>
      <c r="F139" s="308">
        <f>SUM(F109:F138)</f>
        <v>96087.5</v>
      </c>
      <c r="G139" s="309"/>
      <c r="H139" s="307">
        <f>SUM(H109:H138)</f>
        <v>19200</v>
      </c>
      <c r="I139" s="308"/>
      <c r="J139" s="308"/>
      <c r="K139" s="308">
        <f>SUM(K109:K138)</f>
        <v>98256.200000000012</v>
      </c>
      <c r="L139" s="309"/>
      <c r="M139" s="308">
        <f>SUM(M109:M138)</f>
        <v>656.25</v>
      </c>
      <c r="N139" s="308">
        <f>K139-F139</f>
        <v>2168.7000000000116</v>
      </c>
      <c r="O139" s="310">
        <f>(N139+M139)/F139</f>
        <v>2.9399765838428637E-2</v>
      </c>
    </row>
    <row r="140" spans="1:16" ht="18" customHeight="1" x14ac:dyDescent="0.25">
      <c r="B140" s="315"/>
      <c r="C140" s="316"/>
      <c r="D140" s="317"/>
      <c r="E140" s="25"/>
      <c r="F140" s="317"/>
      <c r="G140" s="315"/>
      <c r="H140" s="316"/>
      <c r="I140" s="317"/>
      <c r="K140" s="317"/>
      <c r="L140" s="315"/>
      <c r="M140" s="317"/>
      <c r="N140" s="317"/>
      <c r="O140" s="318"/>
    </row>
    <row r="141" spans="1:16" ht="18" customHeight="1" x14ac:dyDescent="0.25">
      <c r="A141" s="300" t="s">
        <v>25</v>
      </c>
      <c r="B141" s="301">
        <v>42163</v>
      </c>
      <c r="C141" s="302">
        <v>1</v>
      </c>
      <c r="D141" s="303">
        <v>117.3</v>
      </c>
      <c r="E141" s="304"/>
      <c r="F141" s="303">
        <f>C141*D141</f>
        <v>117.3</v>
      </c>
      <c r="G141" s="301">
        <v>42186</v>
      </c>
      <c r="H141" s="302">
        <v>1</v>
      </c>
      <c r="I141" s="303">
        <v>121.6</v>
      </c>
      <c r="J141" s="302">
        <v>0.01</v>
      </c>
      <c r="K141" s="303">
        <f>H141*I141-J141</f>
        <v>121.58999999999999</v>
      </c>
      <c r="L141" s="304"/>
      <c r="M141" s="303"/>
      <c r="N141" s="303"/>
      <c r="O141" s="305"/>
    </row>
    <row r="142" spans="1:16" ht="18" customHeight="1" x14ac:dyDescent="0.25">
      <c r="A142" s="300"/>
      <c r="B142" s="306"/>
      <c r="C142" s="307">
        <f>SUM(C141)</f>
        <v>1</v>
      </c>
      <c r="D142" s="308"/>
      <c r="E142" s="309"/>
      <c r="F142" s="308">
        <f>SUM(F141)</f>
        <v>117.3</v>
      </c>
      <c r="G142" s="309"/>
      <c r="H142" s="307">
        <f>SUM(H141)</f>
        <v>1</v>
      </c>
      <c r="I142" s="308"/>
      <c r="J142" s="307"/>
      <c r="K142" s="308">
        <f>SUM(K141)</f>
        <v>121.58999999999999</v>
      </c>
      <c r="L142" s="309"/>
      <c r="M142" s="308"/>
      <c r="N142" s="308">
        <f>K142-F142</f>
        <v>4.289999999999992</v>
      </c>
      <c r="O142" s="310">
        <f>(N142+M142)/F142</f>
        <v>3.6572890025575379E-2</v>
      </c>
      <c r="P142" s="143" t="s">
        <v>134</v>
      </c>
    </row>
    <row r="143" spans="1:16" ht="18" customHeight="1" x14ac:dyDescent="0.25">
      <c r="B143" s="315"/>
      <c r="C143" s="316"/>
      <c r="D143" s="317"/>
      <c r="E143" s="317"/>
      <c r="F143" s="317"/>
      <c r="G143" s="315"/>
      <c r="H143" s="316"/>
      <c r="I143" s="317"/>
      <c r="J143" s="317"/>
      <c r="K143" s="317"/>
      <c r="L143" s="315"/>
      <c r="M143" s="317"/>
      <c r="N143" s="317"/>
      <c r="O143" s="318"/>
    </row>
    <row r="144" spans="1:16" ht="18" customHeight="1" x14ac:dyDescent="0.25">
      <c r="A144" s="300" t="s">
        <v>36</v>
      </c>
      <c r="B144" s="301">
        <v>42167</v>
      </c>
      <c r="C144" s="302">
        <v>25</v>
      </c>
      <c r="D144" s="303">
        <v>34.15</v>
      </c>
      <c r="E144" s="303"/>
      <c r="F144" s="303">
        <f>C144*D144</f>
        <v>853.75</v>
      </c>
      <c r="G144" s="301">
        <v>42186</v>
      </c>
      <c r="H144" s="302">
        <v>35</v>
      </c>
      <c r="I144" s="303">
        <v>34.799999999999997</v>
      </c>
      <c r="J144" s="303">
        <v>0.02</v>
      </c>
      <c r="K144" s="303">
        <f>H144*I144-J144</f>
        <v>1217.98</v>
      </c>
      <c r="L144" s="304"/>
      <c r="M144" s="303"/>
      <c r="N144" s="303"/>
      <c r="O144" s="305"/>
    </row>
    <row r="145" spans="1:18" ht="18" customHeight="1" x14ac:dyDescent="0.25">
      <c r="A145" s="300"/>
      <c r="B145" s="301">
        <v>42178</v>
      </c>
      <c r="C145" s="302">
        <v>10</v>
      </c>
      <c r="D145" s="303">
        <v>33.119999999999997</v>
      </c>
      <c r="E145" s="303"/>
      <c r="F145" s="303">
        <f>C145*D145</f>
        <v>331.2</v>
      </c>
      <c r="G145" s="304"/>
      <c r="H145" s="302"/>
      <c r="I145" s="303"/>
      <c r="J145" s="303"/>
      <c r="K145" s="303"/>
      <c r="L145" s="304"/>
      <c r="M145" s="303"/>
      <c r="N145" s="303"/>
      <c r="O145" s="305"/>
    </row>
    <row r="146" spans="1:18" ht="18" customHeight="1" x14ac:dyDescent="0.25">
      <c r="A146" s="300"/>
      <c r="B146" s="306"/>
      <c r="C146" s="307">
        <f>SUM(C144:C145)</f>
        <v>35</v>
      </c>
      <c r="D146" s="308"/>
      <c r="E146" s="308"/>
      <c r="F146" s="308">
        <f>SUM(F144:F145)</f>
        <v>1184.95</v>
      </c>
      <c r="G146" s="309"/>
      <c r="H146" s="307">
        <f>SUM(H144:H145)</f>
        <v>35</v>
      </c>
      <c r="I146" s="308"/>
      <c r="J146" s="308"/>
      <c r="K146" s="308">
        <f>SUM(K144:K145)</f>
        <v>1217.98</v>
      </c>
      <c r="L146" s="309"/>
      <c r="M146" s="308"/>
      <c r="N146" s="308">
        <f>K146-F146</f>
        <v>33.029999999999973</v>
      </c>
      <c r="O146" s="310">
        <f>(N146+M146)/F146</f>
        <v>2.7874593864720007E-2</v>
      </c>
    </row>
    <row r="147" spans="1:18" ht="18" customHeight="1" x14ac:dyDescent="0.25">
      <c r="B147" s="315"/>
      <c r="C147" s="316"/>
      <c r="D147" s="317"/>
      <c r="E147" s="25"/>
      <c r="F147" s="317"/>
      <c r="G147" s="315"/>
      <c r="H147" s="316"/>
      <c r="I147" s="317"/>
      <c r="K147" s="317"/>
      <c r="L147" s="315"/>
      <c r="M147" s="317"/>
      <c r="N147" s="317"/>
      <c r="O147" s="318"/>
    </row>
    <row r="148" spans="1:18" ht="18" customHeight="1" x14ac:dyDescent="0.25">
      <c r="A148" s="300" t="s">
        <v>14</v>
      </c>
      <c r="B148" s="301">
        <v>42152</v>
      </c>
      <c r="C148" s="302">
        <v>2</v>
      </c>
      <c r="D148" s="303">
        <v>51.22</v>
      </c>
      <c r="E148" s="304"/>
      <c r="F148" s="303">
        <f>C148*D148</f>
        <v>102.44</v>
      </c>
      <c r="G148" s="301">
        <v>42187</v>
      </c>
      <c r="H148" s="302">
        <v>150</v>
      </c>
      <c r="I148" s="303">
        <v>48.92</v>
      </c>
      <c r="J148" s="302">
        <v>0.12</v>
      </c>
      <c r="K148" s="303">
        <f>H148*I148-J148</f>
        <v>7337.88</v>
      </c>
      <c r="L148" s="301">
        <v>42195</v>
      </c>
      <c r="M148" s="303">
        <v>52</v>
      </c>
      <c r="N148" s="303"/>
      <c r="O148" s="305"/>
    </row>
    <row r="149" spans="1:18" ht="18" customHeight="1" x14ac:dyDescent="0.25">
      <c r="A149" s="300"/>
      <c r="B149" s="301">
        <v>42164</v>
      </c>
      <c r="C149" s="302">
        <v>48</v>
      </c>
      <c r="D149" s="303">
        <v>49.9</v>
      </c>
      <c r="E149" s="304"/>
      <c r="F149" s="303">
        <f>C149*D149</f>
        <v>2395.1999999999998</v>
      </c>
      <c r="G149" s="304"/>
      <c r="H149" s="302"/>
      <c r="I149" s="303"/>
      <c r="J149" s="302"/>
      <c r="K149" s="303"/>
      <c r="L149" s="304"/>
      <c r="M149" s="303"/>
      <c r="N149" s="303"/>
      <c r="O149" s="305"/>
      <c r="P149" s="143" t="s">
        <v>134</v>
      </c>
    </row>
    <row r="150" spans="1:18" ht="18" customHeight="1" x14ac:dyDescent="0.25">
      <c r="A150" s="300"/>
      <c r="B150" s="301">
        <v>42165</v>
      </c>
      <c r="C150" s="302">
        <v>50</v>
      </c>
      <c r="D150" s="303">
        <v>48.6</v>
      </c>
      <c r="E150" s="304"/>
      <c r="F150" s="303">
        <f>C150*D150</f>
        <v>2430</v>
      </c>
      <c r="G150" s="304"/>
      <c r="H150" s="302"/>
      <c r="I150" s="303"/>
      <c r="J150" s="302"/>
      <c r="K150" s="303"/>
      <c r="L150" s="304"/>
      <c r="M150" s="303"/>
      <c r="N150" s="303"/>
      <c r="O150" s="305"/>
    </row>
    <row r="151" spans="1:18" ht="18" customHeight="1" x14ac:dyDescent="0.25">
      <c r="A151" s="300"/>
      <c r="B151" s="301">
        <v>42173</v>
      </c>
      <c r="C151" s="302">
        <v>25</v>
      </c>
      <c r="D151" s="303">
        <v>47.62</v>
      </c>
      <c r="E151" s="304"/>
      <c r="F151" s="303">
        <f>C151*D151</f>
        <v>1190.5</v>
      </c>
      <c r="G151" s="304"/>
      <c r="H151" s="302"/>
      <c r="I151" s="303"/>
      <c r="J151" s="302"/>
      <c r="K151" s="303"/>
      <c r="L151" s="304"/>
      <c r="M151" s="303"/>
      <c r="N151" s="303"/>
      <c r="O151" s="305"/>
      <c r="P151"/>
      <c r="Q151"/>
    </row>
    <row r="152" spans="1:18" ht="18" customHeight="1" x14ac:dyDescent="0.25">
      <c r="A152" s="300"/>
      <c r="B152" s="301">
        <v>42173</v>
      </c>
      <c r="C152" s="302">
        <v>25</v>
      </c>
      <c r="D152" s="303">
        <v>47.54</v>
      </c>
      <c r="E152" s="304"/>
      <c r="F152" s="303">
        <f>C152*D152</f>
        <v>1188.5</v>
      </c>
      <c r="G152" s="304"/>
      <c r="H152" s="302"/>
      <c r="I152" s="303"/>
      <c r="J152" s="302"/>
      <c r="K152" s="303"/>
      <c r="L152" s="304"/>
      <c r="M152" s="303"/>
      <c r="N152" s="303"/>
      <c r="O152" s="305"/>
      <c r="P152"/>
      <c r="Q152"/>
    </row>
    <row r="153" spans="1:18" ht="18" customHeight="1" x14ac:dyDescent="0.25">
      <c r="A153" s="300"/>
      <c r="B153" s="306"/>
      <c r="C153" s="307">
        <f>SUM(C148:C152)</f>
        <v>150</v>
      </c>
      <c r="D153" s="308"/>
      <c r="E153" s="309"/>
      <c r="F153" s="308">
        <f t="shared" ref="F153:M153" si="7">SUM(F148:F152)</f>
        <v>7306.6399999999994</v>
      </c>
      <c r="G153" s="309"/>
      <c r="H153" s="307">
        <f t="shared" si="7"/>
        <v>150</v>
      </c>
      <c r="I153" s="308"/>
      <c r="J153" s="307"/>
      <c r="K153" s="308">
        <f t="shared" si="7"/>
        <v>7337.88</v>
      </c>
      <c r="L153" s="309"/>
      <c r="M153" s="308">
        <f t="shared" si="7"/>
        <v>52</v>
      </c>
      <c r="N153" s="308">
        <f>K153-F153</f>
        <v>31.240000000000691</v>
      </c>
      <c r="O153" s="310">
        <f>(N153+M153)/F153</f>
        <v>1.1392377344442959E-2</v>
      </c>
      <c r="P153"/>
      <c r="Q153"/>
    </row>
    <row r="154" spans="1:18" ht="18" customHeight="1" x14ac:dyDescent="0.25">
      <c r="B154" s="328"/>
      <c r="C154" s="316"/>
      <c r="D154" s="317"/>
      <c r="E154" s="316"/>
      <c r="F154" s="317"/>
      <c r="G154" s="331"/>
      <c r="H154" s="316"/>
      <c r="I154" s="317"/>
      <c r="J154" s="316"/>
      <c r="K154" s="317"/>
      <c r="L154" s="315"/>
      <c r="M154" s="317"/>
      <c r="N154" s="316"/>
      <c r="O154" s="316"/>
      <c r="P154"/>
      <c r="Q154" s="3"/>
      <c r="R154"/>
    </row>
    <row r="155" spans="1:18" ht="18" customHeight="1" x14ac:dyDescent="0.25">
      <c r="A155" s="300" t="s">
        <v>26</v>
      </c>
      <c r="B155" s="301">
        <v>42163</v>
      </c>
      <c r="C155" s="302">
        <v>50</v>
      </c>
      <c r="D155" s="303">
        <v>5.9</v>
      </c>
      <c r="E155" s="302">
        <v>0</v>
      </c>
      <c r="F155" s="303">
        <v>295</v>
      </c>
      <c r="G155" s="330">
        <v>42187</v>
      </c>
      <c r="H155" s="302">
        <v>200</v>
      </c>
      <c r="I155" s="303">
        <v>6.45</v>
      </c>
      <c r="J155" s="302">
        <v>0.02</v>
      </c>
      <c r="K155" s="303">
        <v>1289.98</v>
      </c>
      <c r="L155" s="304"/>
      <c r="M155" s="303"/>
      <c r="N155" s="302"/>
      <c r="O155" s="302"/>
      <c r="P155"/>
      <c r="Q155" s="138"/>
      <c r="R155"/>
    </row>
    <row r="156" spans="1:18" ht="18" customHeight="1" x14ac:dyDescent="0.25">
      <c r="A156" s="300"/>
      <c r="B156" s="301">
        <v>42163</v>
      </c>
      <c r="C156" s="302">
        <v>100</v>
      </c>
      <c r="D156" s="303">
        <v>6.2</v>
      </c>
      <c r="E156" s="302">
        <v>0</v>
      </c>
      <c r="F156" s="303">
        <v>620</v>
      </c>
      <c r="G156" s="330">
        <v>42261</v>
      </c>
      <c r="H156" s="302">
        <v>450</v>
      </c>
      <c r="I156" s="303">
        <v>6.23</v>
      </c>
      <c r="J156" s="302">
        <v>0.05</v>
      </c>
      <c r="K156" s="303">
        <v>2803.45</v>
      </c>
      <c r="L156" s="304"/>
      <c r="M156" s="303"/>
      <c r="N156" s="302"/>
      <c r="O156" s="302"/>
    </row>
    <row r="157" spans="1:18" ht="18" customHeight="1" x14ac:dyDescent="0.25">
      <c r="A157" s="300"/>
      <c r="B157" s="301">
        <v>42187</v>
      </c>
      <c r="C157" s="302">
        <v>200</v>
      </c>
      <c r="D157" s="303">
        <v>6.3</v>
      </c>
      <c r="E157" s="302">
        <v>0</v>
      </c>
      <c r="F157" s="303">
        <v>1260</v>
      </c>
      <c r="G157" s="330"/>
      <c r="H157" s="302"/>
      <c r="I157" s="303"/>
      <c r="J157" s="302"/>
      <c r="K157" s="303"/>
      <c r="L157" s="304"/>
      <c r="M157" s="303"/>
      <c r="N157" s="302"/>
      <c r="O157" s="302"/>
    </row>
    <row r="158" spans="1:18" ht="18" customHeight="1" x14ac:dyDescent="0.25">
      <c r="A158" s="300"/>
      <c r="B158" s="301">
        <v>42194</v>
      </c>
      <c r="C158" s="302">
        <v>150</v>
      </c>
      <c r="D158" s="303">
        <v>6.1</v>
      </c>
      <c r="E158" s="302">
        <v>0</v>
      </c>
      <c r="F158" s="303">
        <v>915</v>
      </c>
      <c r="G158" s="330"/>
      <c r="H158" s="302"/>
      <c r="I158" s="303"/>
      <c r="J158" s="302"/>
      <c r="K158" s="303"/>
      <c r="L158" s="304"/>
      <c r="M158" s="303"/>
      <c r="N158" s="302"/>
      <c r="O158" s="302"/>
    </row>
    <row r="159" spans="1:18" ht="18" customHeight="1" x14ac:dyDescent="0.25">
      <c r="A159" s="300"/>
      <c r="B159" s="301">
        <v>42240</v>
      </c>
      <c r="C159" s="302">
        <v>150</v>
      </c>
      <c r="D159" s="303">
        <v>5.69</v>
      </c>
      <c r="E159" s="302">
        <v>0</v>
      </c>
      <c r="F159" s="303">
        <v>853.50000000000011</v>
      </c>
      <c r="G159" s="330"/>
      <c r="H159" s="302"/>
      <c r="I159" s="303"/>
      <c r="J159" s="302"/>
      <c r="K159" s="303"/>
      <c r="L159" s="304"/>
      <c r="M159" s="303"/>
      <c r="N159" s="302"/>
      <c r="O159" s="302"/>
    </row>
    <row r="160" spans="1:18" ht="18" customHeight="1" x14ac:dyDescent="0.25">
      <c r="A160" s="300"/>
      <c r="B160" s="306"/>
      <c r="C160" s="307">
        <v>650</v>
      </c>
      <c r="D160" s="308"/>
      <c r="E160" s="307"/>
      <c r="F160" s="308">
        <v>3943.5</v>
      </c>
      <c r="G160" s="332"/>
      <c r="H160" s="307">
        <v>650</v>
      </c>
      <c r="I160" s="308"/>
      <c r="J160" s="307"/>
      <c r="K160" s="308">
        <f>SUM(K155:K156)</f>
        <v>4093.43</v>
      </c>
      <c r="L160" s="309"/>
      <c r="M160" s="308"/>
      <c r="N160" s="308">
        <f>K160-F160</f>
        <v>149.92999999999984</v>
      </c>
      <c r="O160" s="310">
        <f>N160/K160</f>
        <v>3.6626985193346374E-2</v>
      </c>
    </row>
    <row r="161" spans="1:16" ht="18" customHeight="1" x14ac:dyDescent="0.25">
      <c r="B161" s="328"/>
      <c r="C161" s="316"/>
      <c r="D161" s="317"/>
      <c r="E161" s="316"/>
      <c r="F161" s="317"/>
      <c r="G161" s="331"/>
      <c r="H161" s="316"/>
      <c r="I161" s="317"/>
      <c r="J161" s="316"/>
      <c r="K161" s="317"/>
      <c r="L161" s="315"/>
      <c r="M161" s="317"/>
      <c r="N161" s="316"/>
      <c r="O161" s="316"/>
      <c r="P161" s="143" t="s">
        <v>134</v>
      </c>
    </row>
    <row r="162" spans="1:16" ht="18" customHeight="1" x14ac:dyDescent="0.25">
      <c r="A162" s="289" t="s">
        <v>26</v>
      </c>
      <c r="B162" s="290">
        <v>42284</v>
      </c>
      <c r="C162" s="291">
        <v>150</v>
      </c>
      <c r="D162" s="292">
        <v>3.75</v>
      </c>
      <c r="E162" s="292">
        <v>0</v>
      </c>
      <c r="F162" s="292">
        <f>D162*C162</f>
        <v>562.5</v>
      </c>
      <c r="G162" s="290">
        <v>42291</v>
      </c>
      <c r="H162" s="293">
        <v>100</v>
      </c>
      <c r="I162" s="292">
        <v>4.4000000000000004</v>
      </c>
      <c r="J162" s="292">
        <v>0.01</v>
      </c>
      <c r="K162" s="291">
        <f>I162*H162-J162</f>
        <v>439.99000000000007</v>
      </c>
      <c r="L162" s="290"/>
      <c r="M162" s="292"/>
      <c r="N162" s="291"/>
      <c r="O162" s="294"/>
    </row>
    <row r="163" spans="1:16" ht="18" customHeight="1" x14ac:dyDescent="0.25">
      <c r="A163" s="335"/>
      <c r="B163" s="637">
        <v>42338</v>
      </c>
      <c r="C163" s="291">
        <v>50</v>
      </c>
      <c r="D163" s="292">
        <v>3.03</v>
      </c>
      <c r="E163" s="292">
        <v>0</v>
      </c>
      <c r="F163" s="292">
        <f>D163*C163</f>
        <v>151.5</v>
      </c>
      <c r="G163" s="290">
        <v>42333</v>
      </c>
      <c r="H163" s="291">
        <v>50</v>
      </c>
      <c r="I163" s="291">
        <v>3.16</v>
      </c>
      <c r="J163" s="291">
        <v>0.01</v>
      </c>
      <c r="K163" s="291">
        <f>I163*H163-J163</f>
        <v>157.99</v>
      </c>
      <c r="L163" s="291"/>
      <c r="M163" s="291"/>
      <c r="N163" s="291"/>
      <c r="O163" s="294"/>
    </row>
    <row r="164" spans="1:16" ht="18" customHeight="1" x14ac:dyDescent="0.25">
      <c r="A164" s="291"/>
      <c r="B164" s="637"/>
      <c r="C164" s="291">
        <v>2</v>
      </c>
      <c r="D164" s="292">
        <v>3.03</v>
      </c>
      <c r="E164" s="292">
        <v>0</v>
      </c>
      <c r="F164" s="292">
        <f>D164*C164</f>
        <v>6.06</v>
      </c>
      <c r="G164" s="290">
        <v>42339</v>
      </c>
      <c r="H164" s="291">
        <v>50</v>
      </c>
      <c r="I164" s="291">
        <v>3.38</v>
      </c>
      <c r="J164" s="291">
        <v>0.01</v>
      </c>
      <c r="K164" s="291">
        <f>I164*H164-J164</f>
        <v>168.99</v>
      </c>
      <c r="L164" s="291"/>
      <c r="M164" s="291"/>
      <c r="N164" s="291"/>
      <c r="O164" s="294"/>
      <c r="P164" s="143" t="s">
        <v>134</v>
      </c>
    </row>
    <row r="165" spans="1:16" ht="18" customHeight="1" x14ac:dyDescent="0.25">
      <c r="A165" s="291"/>
      <c r="B165" s="290">
        <v>42340</v>
      </c>
      <c r="C165" s="291">
        <v>52</v>
      </c>
      <c r="D165" s="292">
        <v>3.2</v>
      </c>
      <c r="E165" s="292">
        <v>0</v>
      </c>
      <c r="F165" s="292">
        <f>D165*C165</f>
        <v>166.4</v>
      </c>
      <c r="G165" s="291"/>
      <c r="H165" s="292">
        <v>54</v>
      </c>
      <c r="I165" s="292">
        <v>1.63</v>
      </c>
      <c r="J165" s="292">
        <v>0</v>
      </c>
      <c r="K165" s="291">
        <f>I165*H165-J165</f>
        <v>88.02</v>
      </c>
      <c r="L165" s="291"/>
      <c r="M165" s="291"/>
      <c r="N165" s="291"/>
      <c r="O165" s="294"/>
    </row>
    <row r="166" spans="1:16" ht="18" customHeight="1" x14ac:dyDescent="0.25">
      <c r="A166" s="294"/>
      <c r="B166" s="294"/>
      <c r="C166" s="294">
        <f>SUM(C162:C165)</f>
        <v>254</v>
      </c>
      <c r="D166" s="294"/>
      <c r="E166" s="297"/>
      <c r="F166" s="294">
        <f>SUM(F162:F165)</f>
        <v>886.45999999999992</v>
      </c>
      <c r="G166" s="294"/>
      <c r="H166" s="298">
        <f>SUM(H162:H165)</f>
        <v>254</v>
      </c>
      <c r="I166" s="294"/>
      <c r="J166" s="294"/>
      <c r="K166" s="294">
        <f>SUM(K162:K165)</f>
        <v>854.99</v>
      </c>
      <c r="L166" s="294"/>
      <c r="M166" s="297">
        <f>SUM(M162:M164)</f>
        <v>0</v>
      </c>
      <c r="N166" s="294">
        <f>K166-F166</f>
        <v>-31.469999999999914</v>
      </c>
      <c r="O166" s="299">
        <f>N166/F166</f>
        <v>-3.5500755815265121E-2</v>
      </c>
    </row>
    <row r="167" spans="1:16" ht="18" customHeight="1" x14ac:dyDescent="0.25">
      <c r="B167" s="328"/>
      <c r="C167" s="316"/>
      <c r="D167" s="317"/>
      <c r="E167" s="316"/>
      <c r="F167" s="317"/>
      <c r="G167" s="331"/>
      <c r="H167" s="316"/>
      <c r="I167" s="317"/>
      <c r="J167" s="316"/>
      <c r="K167" s="317"/>
      <c r="L167" s="315"/>
      <c r="M167" s="317"/>
      <c r="N167" s="316"/>
      <c r="O167" s="316"/>
      <c r="P167" s="143" t="s">
        <v>134</v>
      </c>
    </row>
    <row r="168" spans="1:16" ht="18" customHeight="1" x14ac:dyDescent="0.25">
      <c r="A168" s="300" t="s">
        <v>23</v>
      </c>
      <c r="B168" s="301">
        <v>42153</v>
      </c>
      <c r="C168" s="302">
        <v>50</v>
      </c>
      <c r="D168" s="303">
        <v>37.22</v>
      </c>
      <c r="E168" s="302"/>
      <c r="F168" s="303">
        <f>D168*C168</f>
        <v>1861</v>
      </c>
      <c r="G168" s="330">
        <v>42186</v>
      </c>
      <c r="H168" s="302">
        <v>50</v>
      </c>
      <c r="I168" s="303">
        <v>38.4</v>
      </c>
      <c r="J168" s="302">
        <v>0.04</v>
      </c>
      <c r="K168" s="303">
        <f>H168*I168-J168</f>
        <v>1919.96</v>
      </c>
      <c r="L168" s="304"/>
      <c r="M168" s="303"/>
      <c r="N168" s="302"/>
      <c r="O168" s="302"/>
    </row>
    <row r="169" spans="1:16" ht="18" customHeight="1" x14ac:dyDescent="0.25">
      <c r="A169" s="300"/>
      <c r="B169" s="301">
        <v>42208</v>
      </c>
      <c r="C169" s="302">
        <v>100</v>
      </c>
      <c r="D169" s="303">
        <v>36</v>
      </c>
      <c r="E169" s="304"/>
      <c r="F169" s="303">
        <f>D169*C169</f>
        <v>3600</v>
      </c>
      <c r="G169" s="330">
        <v>42230</v>
      </c>
      <c r="H169" s="302">
        <v>100</v>
      </c>
      <c r="I169" s="303">
        <v>35.96</v>
      </c>
      <c r="J169" s="302">
        <v>7.0000000000000007E-2</v>
      </c>
      <c r="K169" s="303">
        <f>H169*I169-J169</f>
        <v>3595.93</v>
      </c>
      <c r="L169" s="304"/>
      <c r="M169" s="303"/>
      <c r="N169" s="302"/>
      <c r="O169" s="302"/>
    </row>
    <row r="170" spans="1:16" ht="18" customHeight="1" x14ac:dyDescent="0.25">
      <c r="A170" s="300"/>
      <c r="B170" s="301">
        <v>42209</v>
      </c>
      <c r="C170" s="302">
        <v>20</v>
      </c>
      <c r="D170" s="302">
        <f>709.5/20</f>
        <v>35.475000000000001</v>
      </c>
      <c r="E170" s="302"/>
      <c r="F170" s="303">
        <f>D170*C170</f>
        <v>709.5</v>
      </c>
      <c r="G170" s="330">
        <v>42258</v>
      </c>
      <c r="H170" s="302">
        <v>40</v>
      </c>
      <c r="I170" s="303">
        <v>36.65</v>
      </c>
      <c r="J170" s="302">
        <v>0.03</v>
      </c>
      <c r="K170" s="303">
        <f>H170*I170-J170</f>
        <v>1465.97</v>
      </c>
      <c r="L170" s="304"/>
      <c r="M170" s="303"/>
      <c r="N170" s="302"/>
      <c r="O170" s="302"/>
    </row>
    <row r="171" spans="1:16" ht="18" customHeight="1" x14ac:dyDescent="0.25">
      <c r="A171" s="300"/>
      <c r="B171" s="301">
        <v>42209</v>
      </c>
      <c r="C171" s="302">
        <v>20</v>
      </c>
      <c r="D171" s="303">
        <v>35.03</v>
      </c>
      <c r="E171" s="304"/>
      <c r="F171" s="303">
        <f>D171*C171</f>
        <v>700.6</v>
      </c>
      <c r="G171" s="330"/>
      <c r="H171" s="302"/>
      <c r="I171" s="303"/>
      <c r="J171" s="302"/>
      <c r="K171" s="303"/>
      <c r="L171" s="304"/>
      <c r="M171" s="303"/>
      <c r="N171" s="302"/>
      <c r="O171" s="302"/>
      <c r="P171" s="143" t="s">
        <v>134</v>
      </c>
    </row>
    <row r="172" spans="1:16" ht="18" customHeight="1" x14ac:dyDescent="0.25">
      <c r="A172" s="300"/>
      <c r="B172" s="306"/>
      <c r="C172" s="307">
        <v>190</v>
      </c>
      <c r="D172" s="308"/>
      <c r="E172" s="307"/>
      <c r="F172" s="308">
        <f>SUM(F168:F171)</f>
        <v>6871.1</v>
      </c>
      <c r="G172" s="332"/>
      <c r="H172" s="307">
        <v>190</v>
      </c>
      <c r="I172" s="308"/>
      <c r="J172" s="307"/>
      <c r="K172" s="308">
        <f>SUM(K168:K170)</f>
        <v>6981.86</v>
      </c>
      <c r="L172" s="309"/>
      <c r="M172" s="308"/>
      <c r="N172" s="307">
        <f>K172-F172</f>
        <v>110.75999999999931</v>
      </c>
      <c r="O172" s="310">
        <f>(N172+M172)/F172</f>
        <v>1.6119689714892711E-2</v>
      </c>
      <c r="P172" s="143"/>
    </row>
    <row r="173" spans="1:16" ht="18" customHeight="1" x14ac:dyDescent="0.25">
      <c r="B173" s="315"/>
      <c r="C173" s="316"/>
      <c r="D173" s="317"/>
      <c r="E173" s="317"/>
      <c r="F173" s="317"/>
      <c r="G173" s="315"/>
      <c r="H173" s="316"/>
      <c r="I173" s="317"/>
      <c r="J173" s="317"/>
      <c r="K173" s="317"/>
      <c r="L173" s="315"/>
      <c r="M173" s="317"/>
      <c r="N173" s="317"/>
      <c r="O173" s="318"/>
      <c r="P173" s="143"/>
    </row>
    <row r="174" spans="1:16" ht="18" customHeight="1" x14ac:dyDescent="0.25">
      <c r="A174" s="300" t="s">
        <v>41</v>
      </c>
      <c r="B174" s="301">
        <v>42184</v>
      </c>
      <c r="C174" s="302">
        <v>10</v>
      </c>
      <c r="D174" s="303">
        <v>66</v>
      </c>
      <c r="E174" s="303"/>
      <c r="F174" s="303">
        <f>C174*D174</f>
        <v>660</v>
      </c>
      <c r="G174" s="301">
        <v>42219</v>
      </c>
      <c r="H174" s="302">
        <v>10</v>
      </c>
      <c r="I174" s="303">
        <v>70.45</v>
      </c>
      <c r="J174" s="303">
        <v>0.01</v>
      </c>
      <c r="K174" s="303">
        <f>H174*I174-J174</f>
        <v>704.49</v>
      </c>
      <c r="L174" s="304"/>
      <c r="M174" s="303"/>
      <c r="N174" s="303"/>
      <c r="O174" s="305"/>
      <c r="P174" s="143"/>
    </row>
    <row r="175" spans="1:16" ht="18" customHeight="1" x14ac:dyDescent="0.25">
      <c r="A175" s="300"/>
      <c r="B175" s="306"/>
      <c r="C175" s="307">
        <f>SUM(C174)</f>
        <v>10</v>
      </c>
      <c r="D175" s="308"/>
      <c r="E175" s="308"/>
      <c r="F175" s="308">
        <f>SUM(F174)</f>
        <v>660</v>
      </c>
      <c r="G175" s="309"/>
      <c r="H175" s="307">
        <f>SUM(H174)</f>
        <v>10</v>
      </c>
      <c r="I175" s="308"/>
      <c r="J175" s="308"/>
      <c r="K175" s="308">
        <f>SUM(K174)</f>
        <v>704.49</v>
      </c>
      <c r="L175" s="309"/>
      <c r="M175" s="308"/>
      <c r="N175" s="308">
        <f>K175-F175</f>
        <v>44.490000000000009</v>
      </c>
      <c r="O175" s="310">
        <f>(N175+M175)/F175</f>
        <v>6.7409090909090918E-2</v>
      </c>
      <c r="P175" s="143" t="s">
        <v>134</v>
      </c>
    </row>
    <row r="176" spans="1:16" ht="18" customHeight="1" x14ac:dyDescent="0.25">
      <c r="A176" s="11"/>
      <c r="B176" s="11"/>
      <c r="C176" s="11"/>
      <c r="D176" s="21"/>
      <c r="E176" s="21"/>
      <c r="F176" s="21"/>
      <c r="G176" s="11"/>
      <c r="H176" s="11"/>
      <c r="I176" s="21"/>
      <c r="J176" s="21"/>
      <c r="K176" s="21"/>
      <c r="L176" s="11"/>
      <c r="M176" s="11"/>
      <c r="N176" s="11"/>
      <c r="O176" s="11"/>
    </row>
    <row r="177" spans="1:16" ht="18" customHeight="1" x14ac:dyDescent="0.25">
      <c r="A177" s="300" t="s">
        <v>35</v>
      </c>
      <c r="B177" s="301">
        <v>42166</v>
      </c>
      <c r="C177" s="302">
        <v>10</v>
      </c>
      <c r="D177" s="303">
        <v>55.7</v>
      </c>
      <c r="E177" s="303">
        <v>0</v>
      </c>
      <c r="F177" s="303">
        <f t="shared" ref="F177:F203" si="8">C177*D177+E177</f>
        <v>557</v>
      </c>
      <c r="G177" s="301">
        <v>42208</v>
      </c>
      <c r="H177" s="302">
        <v>10</v>
      </c>
      <c r="I177" s="303">
        <v>56</v>
      </c>
      <c r="J177" s="303">
        <v>0.01</v>
      </c>
      <c r="K177" s="303">
        <f t="shared" ref="K177:K200" si="9">H177*I177-J177</f>
        <v>559.99</v>
      </c>
      <c r="L177" s="304"/>
      <c r="M177" s="303"/>
      <c r="N177" s="303"/>
      <c r="O177" s="305"/>
    </row>
    <row r="178" spans="1:16" ht="18" customHeight="1" x14ac:dyDescent="0.25">
      <c r="A178" s="300"/>
      <c r="B178" s="301">
        <v>42205</v>
      </c>
      <c r="C178" s="302">
        <v>10</v>
      </c>
      <c r="D178" s="303">
        <v>52.6</v>
      </c>
      <c r="E178" s="303">
        <v>0</v>
      </c>
      <c r="F178" s="303">
        <f t="shared" si="8"/>
        <v>526</v>
      </c>
      <c r="G178" s="301">
        <v>42234</v>
      </c>
      <c r="H178" s="302">
        <v>25</v>
      </c>
      <c r="I178" s="303">
        <v>50.88</v>
      </c>
      <c r="J178" s="303">
        <v>0.02</v>
      </c>
      <c r="K178" s="303">
        <f t="shared" si="9"/>
        <v>1271.98</v>
      </c>
      <c r="L178" s="304"/>
      <c r="M178" s="303"/>
      <c r="N178" s="303"/>
      <c r="O178" s="305"/>
      <c r="P178" s="143"/>
    </row>
    <row r="179" spans="1:16" ht="18" customHeight="1" x14ac:dyDescent="0.25">
      <c r="A179" s="300"/>
      <c r="B179" s="301">
        <v>42229</v>
      </c>
      <c r="C179" s="302">
        <v>15</v>
      </c>
      <c r="D179" s="303">
        <v>50.9</v>
      </c>
      <c r="E179" s="303">
        <v>0</v>
      </c>
      <c r="F179" s="303">
        <f t="shared" si="8"/>
        <v>763.5</v>
      </c>
      <c r="G179" s="301">
        <v>42314</v>
      </c>
      <c r="H179" s="302">
        <v>150</v>
      </c>
      <c r="I179" s="303">
        <v>31.5</v>
      </c>
      <c r="J179" s="303">
        <v>0.09</v>
      </c>
      <c r="K179" s="303">
        <f t="shared" si="9"/>
        <v>4724.91</v>
      </c>
      <c r="L179" s="304"/>
      <c r="M179" s="303"/>
      <c r="N179" s="303"/>
      <c r="O179" s="305"/>
    </row>
    <row r="180" spans="1:16" ht="18" customHeight="1" x14ac:dyDescent="0.25">
      <c r="A180" s="300"/>
      <c r="B180" s="301">
        <v>42233</v>
      </c>
      <c r="C180" s="302">
        <v>15</v>
      </c>
      <c r="D180" s="303">
        <v>46.8</v>
      </c>
      <c r="E180" s="303">
        <v>0</v>
      </c>
      <c r="F180" s="303">
        <f t="shared" si="8"/>
        <v>702</v>
      </c>
      <c r="G180" s="301">
        <v>42317</v>
      </c>
      <c r="H180" s="302">
        <v>150</v>
      </c>
      <c r="I180" s="303">
        <v>31.5</v>
      </c>
      <c r="J180" s="303">
        <v>0.09</v>
      </c>
      <c r="K180" s="303">
        <f t="shared" si="9"/>
        <v>4724.91</v>
      </c>
      <c r="L180" s="304"/>
      <c r="M180" s="303"/>
      <c r="N180" s="303"/>
      <c r="O180" s="305"/>
    </row>
    <row r="181" spans="1:16" ht="18" customHeight="1" x14ac:dyDescent="0.25">
      <c r="A181" s="300"/>
      <c r="B181" s="301">
        <v>42233</v>
      </c>
      <c r="C181" s="302">
        <v>20</v>
      </c>
      <c r="D181" s="303">
        <v>47.45</v>
      </c>
      <c r="E181" s="303">
        <v>0</v>
      </c>
      <c r="F181" s="303">
        <f t="shared" si="8"/>
        <v>949</v>
      </c>
      <c r="G181" s="301">
        <v>42340</v>
      </c>
      <c r="H181" s="302">
        <v>150</v>
      </c>
      <c r="I181" s="303">
        <v>30.55</v>
      </c>
      <c r="J181" s="303">
        <v>0.08</v>
      </c>
      <c r="K181" s="303">
        <f t="shared" si="9"/>
        <v>4582.42</v>
      </c>
      <c r="L181" s="304"/>
      <c r="M181" s="303"/>
      <c r="N181" s="303"/>
      <c r="O181" s="305"/>
      <c r="P181" s="143"/>
    </row>
    <row r="182" spans="1:16" ht="18" customHeight="1" x14ac:dyDescent="0.25">
      <c r="A182" s="300"/>
      <c r="B182" s="301">
        <v>42298</v>
      </c>
      <c r="C182" s="302">
        <v>35</v>
      </c>
      <c r="D182" s="303">
        <v>44.3</v>
      </c>
      <c r="E182" s="303">
        <v>0</v>
      </c>
      <c r="F182" s="303">
        <f t="shared" si="8"/>
        <v>1550.5</v>
      </c>
      <c r="G182" s="301">
        <v>42342</v>
      </c>
      <c r="H182" s="302">
        <v>150</v>
      </c>
      <c r="I182" s="303">
        <v>30.45</v>
      </c>
      <c r="J182" s="303">
        <v>0.08</v>
      </c>
      <c r="K182" s="303">
        <f t="shared" si="9"/>
        <v>4567.42</v>
      </c>
      <c r="L182" s="304"/>
      <c r="M182" s="303"/>
      <c r="N182" s="303"/>
      <c r="O182" s="305"/>
    </row>
    <row r="183" spans="1:16" ht="18" customHeight="1" x14ac:dyDescent="0.25">
      <c r="A183" s="300"/>
      <c r="B183" s="301">
        <v>42299</v>
      </c>
      <c r="C183" s="302">
        <v>70</v>
      </c>
      <c r="D183" s="303">
        <v>41.35</v>
      </c>
      <c r="E183" s="303">
        <v>0</v>
      </c>
      <c r="F183" s="303">
        <f t="shared" si="8"/>
        <v>2894.5</v>
      </c>
      <c r="G183" s="301">
        <v>42345</v>
      </c>
      <c r="H183" s="302">
        <v>100</v>
      </c>
      <c r="I183" s="303">
        <v>34.5</v>
      </c>
      <c r="J183" s="303">
        <v>0.06</v>
      </c>
      <c r="K183" s="303">
        <f t="shared" si="9"/>
        <v>3449.94</v>
      </c>
      <c r="L183" s="304"/>
      <c r="M183" s="303"/>
      <c r="N183" s="303"/>
      <c r="O183" s="305"/>
    </row>
    <row r="184" spans="1:16" ht="18" customHeight="1" x14ac:dyDescent="0.25">
      <c r="A184" s="300"/>
      <c r="B184" s="301">
        <v>42299</v>
      </c>
      <c r="C184" s="302">
        <v>60</v>
      </c>
      <c r="D184" s="303">
        <v>40.229999999999997</v>
      </c>
      <c r="E184" s="303">
        <v>0</v>
      </c>
      <c r="F184" s="303">
        <f t="shared" si="8"/>
        <v>2413.7999999999997</v>
      </c>
      <c r="G184" s="301">
        <v>42356</v>
      </c>
      <c r="H184" s="302">
        <v>150</v>
      </c>
      <c r="I184" s="303">
        <v>43.25</v>
      </c>
      <c r="J184" s="303">
        <v>0.12</v>
      </c>
      <c r="K184" s="303">
        <f t="shared" si="9"/>
        <v>6487.38</v>
      </c>
      <c r="L184" s="304"/>
      <c r="M184" s="303"/>
      <c r="N184" s="303"/>
      <c r="O184" s="305"/>
    </row>
    <row r="185" spans="1:16" ht="18" customHeight="1" x14ac:dyDescent="0.25">
      <c r="A185" s="300"/>
      <c r="B185" s="301">
        <v>42300</v>
      </c>
      <c r="C185" s="302">
        <v>100</v>
      </c>
      <c r="D185" s="303">
        <v>39.57</v>
      </c>
      <c r="E185" s="303">
        <v>0</v>
      </c>
      <c r="F185" s="303">
        <f t="shared" si="8"/>
        <v>3957</v>
      </c>
      <c r="G185" s="301">
        <v>42359</v>
      </c>
      <c r="H185" s="302">
        <v>20</v>
      </c>
      <c r="I185" s="303">
        <v>51.05</v>
      </c>
      <c r="J185" s="303">
        <v>0.02</v>
      </c>
      <c r="K185" s="303">
        <f t="shared" si="9"/>
        <v>1020.98</v>
      </c>
      <c r="L185" s="304"/>
      <c r="M185" s="303"/>
      <c r="N185" s="303"/>
      <c r="O185" s="305"/>
    </row>
    <row r="186" spans="1:16" ht="18" customHeight="1" x14ac:dyDescent="0.25">
      <c r="A186" s="300"/>
      <c r="B186" s="301">
        <v>42304</v>
      </c>
      <c r="C186" s="302">
        <v>100</v>
      </c>
      <c r="D186" s="303">
        <v>37.950000000000003</v>
      </c>
      <c r="E186" s="303">
        <v>0</v>
      </c>
      <c r="F186" s="303">
        <f t="shared" si="8"/>
        <v>3795.0000000000005</v>
      </c>
      <c r="G186" s="301">
        <v>42361</v>
      </c>
      <c r="H186" s="302">
        <v>30</v>
      </c>
      <c r="I186" s="303">
        <v>57.95</v>
      </c>
      <c r="J186" s="303">
        <v>0.03</v>
      </c>
      <c r="K186" s="303">
        <f t="shared" si="9"/>
        <v>1738.47</v>
      </c>
      <c r="L186" s="304"/>
      <c r="M186" s="303"/>
      <c r="N186" s="303"/>
      <c r="O186" s="305"/>
    </row>
    <row r="187" spans="1:16" ht="18" customHeight="1" x14ac:dyDescent="0.25">
      <c r="A187" s="300"/>
      <c r="B187" s="301">
        <v>42311</v>
      </c>
      <c r="C187" s="302">
        <v>150</v>
      </c>
      <c r="D187" s="303">
        <v>30.5</v>
      </c>
      <c r="E187" s="303">
        <v>6.95</v>
      </c>
      <c r="F187" s="303">
        <f t="shared" si="8"/>
        <v>4581.95</v>
      </c>
      <c r="G187" s="301">
        <v>42426</v>
      </c>
      <c r="H187" s="302">
        <v>50</v>
      </c>
      <c r="I187" s="303">
        <v>19.149999999999999</v>
      </c>
      <c r="J187" s="303">
        <v>0.02</v>
      </c>
      <c r="K187" s="303">
        <f t="shared" si="9"/>
        <v>957.4799999999999</v>
      </c>
      <c r="L187" s="304"/>
      <c r="M187" s="303"/>
      <c r="N187" s="303"/>
      <c r="O187" s="305"/>
    </row>
    <row r="188" spans="1:16" ht="18" customHeight="1" x14ac:dyDescent="0.25">
      <c r="A188" s="300"/>
      <c r="B188" s="301">
        <v>42314</v>
      </c>
      <c r="C188" s="302">
        <v>150</v>
      </c>
      <c r="D188" s="303">
        <v>30.65</v>
      </c>
      <c r="E188" s="303">
        <v>0</v>
      </c>
      <c r="F188" s="303">
        <f t="shared" si="8"/>
        <v>4597.5</v>
      </c>
      <c r="G188" s="301">
        <v>42430</v>
      </c>
      <c r="H188" s="302">
        <v>75</v>
      </c>
      <c r="I188" s="303">
        <v>18.350000000000001</v>
      </c>
      <c r="J188" s="303">
        <v>0.03</v>
      </c>
      <c r="K188" s="303">
        <f t="shared" si="9"/>
        <v>1376.22</v>
      </c>
      <c r="L188" s="304"/>
      <c r="M188" s="303"/>
      <c r="N188" s="303"/>
      <c r="O188" s="305"/>
    </row>
    <row r="189" spans="1:16" ht="18" customHeight="1" x14ac:dyDescent="0.25">
      <c r="A189" s="300"/>
      <c r="B189" s="301">
        <v>42317</v>
      </c>
      <c r="C189" s="302">
        <v>150</v>
      </c>
      <c r="D189" s="303">
        <v>30.65</v>
      </c>
      <c r="E189" s="303">
        <v>0</v>
      </c>
      <c r="F189" s="303">
        <f t="shared" si="8"/>
        <v>4597.5</v>
      </c>
      <c r="G189" s="301">
        <v>42432</v>
      </c>
      <c r="H189" s="302">
        <v>50</v>
      </c>
      <c r="I189" s="303">
        <v>20.67</v>
      </c>
      <c r="J189" s="303">
        <v>0.02</v>
      </c>
      <c r="K189" s="303">
        <f t="shared" si="9"/>
        <v>1033.48</v>
      </c>
      <c r="L189" s="304"/>
      <c r="M189" s="303"/>
      <c r="N189" s="303"/>
      <c r="O189" s="305"/>
    </row>
    <row r="190" spans="1:16" ht="18" customHeight="1" x14ac:dyDescent="0.25">
      <c r="A190" s="303"/>
      <c r="B190" s="301">
        <v>42340</v>
      </c>
      <c r="C190" s="302">
        <v>150</v>
      </c>
      <c r="D190" s="303">
        <v>30.21</v>
      </c>
      <c r="E190" s="303">
        <v>0</v>
      </c>
      <c r="F190" s="303">
        <f t="shared" si="8"/>
        <v>4531.5</v>
      </c>
      <c r="G190" s="301">
        <v>42437</v>
      </c>
      <c r="H190" s="302">
        <v>25</v>
      </c>
      <c r="I190" s="303">
        <v>26.85</v>
      </c>
      <c r="J190" s="303">
        <v>0.01</v>
      </c>
      <c r="K190" s="303">
        <f t="shared" si="9"/>
        <v>671.24</v>
      </c>
      <c r="L190" s="303"/>
      <c r="M190" s="303"/>
      <c r="N190" s="303"/>
      <c r="O190" s="303"/>
      <c r="P190" s="143"/>
    </row>
    <row r="191" spans="1:16" ht="18" customHeight="1" x14ac:dyDescent="0.25">
      <c r="A191" s="303"/>
      <c r="B191" s="301">
        <v>42408</v>
      </c>
      <c r="C191" s="302">
        <v>25</v>
      </c>
      <c r="D191" s="303">
        <v>26.59</v>
      </c>
      <c r="E191" s="303">
        <v>0</v>
      </c>
      <c r="F191" s="303">
        <f t="shared" si="8"/>
        <v>664.75</v>
      </c>
      <c r="G191" s="301">
        <v>42466</v>
      </c>
      <c r="H191" s="302">
        <v>30</v>
      </c>
      <c r="I191" s="303">
        <v>28.08</v>
      </c>
      <c r="J191" s="303">
        <v>0.02</v>
      </c>
      <c r="K191" s="303">
        <f t="shared" si="9"/>
        <v>842.38</v>
      </c>
      <c r="L191" s="303"/>
      <c r="M191" s="303"/>
      <c r="N191" s="303"/>
      <c r="O191" s="303"/>
    </row>
    <row r="192" spans="1:16" ht="18" customHeight="1" x14ac:dyDescent="0.25">
      <c r="A192" s="303"/>
      <c r="B192" s="301">
        <v>42423</v>
      </c>
      <c r="C192" s="302">
        <v>50</v>
      </c>
      <c r="D192" s="303">
        <v>18.149999999999999</v>
      </c>
      <c r="E192" s="303">
        <v>0</v>
      </c>
      <c r="F192" s="303">
        <f t="shared" si="8"/>
        <v>907.49999999999989</v>
      </c>
      <c r="G192" s="301">
        <v>42471</v>
      </c>
      <c r="H192" s="302">
        <v>30</v>
      </c>
      <c r="I192" s="303">
        <v>29.37</v>
      </c>
      <c r="J192" s="303">
        <v>0.02</v>
      </c>
      <c r="K192" s="303">
        <f t="shared" si="9"/>
        <v>881.08</v>
      </c>
      <c r="L192" s="303"/>
      <c r="M192" s="303"/>
      <c r="N192" s="303"/>
      <c r="O192" s="303"/>
    </row>
    <row r="193" spans="1:16" ht="18" customHeight="1" x14ac:dyDescent="0.25">
      <c r="A193" s="303"/>
      <c r="B193" s="301">
        <v>42426</v>
      </c>
      <c r="C193" s="302">
        <v>50</v>
      </c>
      <c r="D193" s="303">
        <v>18.7</v>
      </c>
      <c r="E193" s="303">
        <v>0</v>
      </c>
      <c r="F193" s="303">
        <f t="shared" si="8"/>
        <v>935</v>
      </c>
      <c r="G193" s="301">
        <v>42480</v>
      </c>
      <c r="H193" s="302">
        <v>100</v>
      </c>
      <c r="I193" s="303">
        <v>31.79</v>
      </c>
      <c r="J193" s="303">
        <v>7.0000000000000007E-2</v>
      </c>
      <c r="K193" s="303">
        <f t="shared" si="9"/>
        <v>3178.93</v>
      </c>
      <c r="L193" s="303"/>
      <c r="M193" s="303"/>
      <c r="N193" s="303"/>
      <c r="O193" s="303"/>
    </row>
    <row r="194" spans="1:16" ht="18" customHeight="1" x14ac:dyDescent="0.25">
      <c r="A194" s="303"/>
      <c r="B194" s="301">
        <v>42430</v>
      </c>
      <c r="C194" s="302">
        <v>75</v>
      </c>
      <c r="D194" s="303">
        <v>17.989999999999998</v>
      </c>
      <c r="E194" s="303">
        <v>0</v>
      </c>
      <c r="F194" s="303">
        <f t="shared" si="8"/>
        <v>1349.2499999999998</v>
      </c>
      <c r="G194" s="301">
        <v>42486</v>
      </c>
      <c r="H194" s="302">
        <v>60</v>
      </c>
      <c r="I194" s="303">
        <v>32.5</v>
      </c>
      <c r="J194" s="303">
        <v>0.04</v>
      </c>
      <c r="K194" s="303">
        <f t="shared" si="9"/>
        <v>1949.96</v>
      </c>
      <c r="L194" s="303"/>
      <c r="M194" s="303"/>
      <c r="N194" s="303"/>
      <c r="O194" s="303"/>
    </row>
    <row r="195" spans="1:16" ht="18" customHeight="1" x14ac:dyDescent="0.25">
      <c r="A195" s="303"/>
      <c r="B195" s="301">
        <v>42451</v>
      </c>
      <c r="C195" s="302">
        <v>30</v>
      </c>
      <c r="D195" s="303">
        <v>25.08</v>
      </c>
      <c r="E195" s="303">
        <v>0</v>
      </c>
      <c r="F195" s="303">
        <f t="shared" si="8"/>
        <v>752.4</v>
      </c>
      <c r="G195" s="301">
        <v>42500</v>
      </c>
      <c r="H195" s="302">
        <v>200</v>
      </c>
      <c r="I195" s="303">
        <v>18.649999999999999</v>
      </c>
      <c r="J195" s="303">
        <v>0.08</v>
      </c>
      <c r="K195" s="303">
        <f t="shared" si="9"/>
        <v>3729.9199999999996</v>
      </c>
      <c r="L195" s="303"/>
      <c r="M195" s="303"/>
      <c r="N195" s="303"/>
      <c r="O195" s="303"/>
    </row>
    <row r="196" spans="1:16" ht="18" customHeight="1" x14ac:dyDescent="0.25">
      <c r="A196" s="303"/>
      <c r="B196" s="301">
        <v>42471</v>
      </c>
      <c r="C196" s="302">
        <v>30</v>
      </c>
      <c r="D196" s="303">
        <v>28.67</v>
      </c>
      <c r="E196" s="303">
        <v>0</v>
      </c>
      <c r="F196" s="303">
        <f t="shared" si="8"/>
        <v>860.1</v>
      </c>
      <c r="G196" s="301">
        <v>42510</v>
      </c>
      <c r="H196" s="302">
        <v>130</v>
      </c>
      <c r="I196" s="303">
        <v>21.35</v>
      </c>
      <c r="J196" s="303">
        <v>0.06</v>
      </c>
      <c r="K196" s="303">
        <f t="shared" si="9"/>
        <v>2775.44</v>
      </c>
      <c r="L196" s="303"/>
      <c r="M196" s="303"/>
      <c r="N196" s="303"/>
      <c r="O196" s="303"/>
    </row>
    <row r="197" spans="1:16" ht="18" customHeight="1" x14ac:dyDescent="0.25">
      <c r="A197" s="303"/>
      <c r="B197" s="301">
        <v>42485</v>
      </c>
      <c r="C197" s="302">
        <v>100</v>
      </c>
      <c r="D197" s="303">
        <v>31.25</v>
      </c>
      <c r="E197" s="303">
        <v>0</v>
      </c>
      <c r="F197" s="303">
        <f t="shared" si="8"/>
        <v>3125</v>
      </c>
      <c r="G197" s="301">
        <v>42513</v>
      </c>
      <c r="H197" s="302">
        <v>70</v>
      </c>
      <c r="I197" s="303">
        <v>23.68</v>
      </c>
      <c r="J197" s="303">
        <v>0.04</v>
      </c>
      <c r="K197" s="303">
        <f t="shared" si="9"/>
        <v>1657.56</v>
      </c>
      <c r="L197" s="303"/>
      <c r="M197" s="303"/>
      <c r="N197" s="303"/>
      <c r="O197" s="303"/>
      <c r="P197" s="143"/>
    </row>
    <row r="198" spans="1:16" ht="18" customHeight="1" x14ac:dyDescent="0.25">
      <c r="A198" s="303"/>
      <c r="B198" s="301">
        <v>42489</v>
      </c>
      <c r="C198" s="302">
        <v>60</v>
      </c>
      <c r="D198" s="303">
        <v>30.51</v>
      </c>
      <c r="E198" s="303">
        <v>0</v>
      </c>
      <c r="F198" s="303">
        <f t="shared" si="8"/>
        <v>1830.6000000000001</v>
      </c>
      <c r="G198" s="301">
        <v>42513</v>
      </c>
      <c r="H198" s="302">
        <v>40</v>
      </c>
      <c r="I198" s="303">
        <v>23.55</v>
      </c>
      <c r="J198" s="303">
        <v>0.02</v>
      </c>
      <c r="K198" s="303">
        <f t="shared" si="9"/>
        <v>941.98</v>
      </c>
      <c r="L198" s="303"/>
      <c r="M198" s="303"/>
      <c r="N198" s="303"/>
      <c r="O198" s="303"/>
    </row>
    <row r="199" spans="1:16" ht="18" customHeight="1" x14ac:dyDescent="0.25">
      <c r="A199" s="303"/>
      <c r="B199" s="301">
        <v>42493</v>
      </c>
      <c r="C199" s="302">
        <v>30</v>
      </c>
      <c r="D199" s="303">
        <v>26.75</v>
      </c>
      <c r="E199" s="303">
        <v>0</v>
      </c>
      <c r="F199" s="303">
        <f t="shared" si="8"/>
        <v>802.5</v>
      </c>
      <c r="G199" s="301">
        <v>42527</v>
      </c>
      <c r="H199" s="302">
        <v>60</v>
      </c>
      <c r="I199" s="303">
        <v>22.79</v>
      </c>
      <c r="J199" s="303">
        <v>0.03</v>
      </c>
      <c r="K199" s="303">
        <f t="shared" si="9"/>
        <v>1367.37</v>
      </c>
      <c r="L199" s="303"/>
      <c r="M199" s="303"/>
      <c r="N199" s="303"/>
      <c r="O199" s="303"/>
    </row>
    <row r="200" spans="1:16" ht="18" customHeight="1" x14ac:dyDescent="0.25">
      <c r="A200" s="303"/>
      <c r="B200" s="301">
        <v>42495</v>
      </c>
      <c r="C200" s="302">
        <v>70</v>
      </c>
      <c r="D200" s="303">
        <v>21.65</v>
      </c>
      <c r="E200" s="303">
        <v>0</v>
      </c>
      <c r="F200" s="303">
        <f t="shared" si="8"/>
        <v>1515.5</v>
      </c>
      <c r="G200" s="301">
        <v>42541</v>
      </c>
      <c r="H200" s="302">
        <v>70</v>
      </c>
      <c r="I200" s="303">
        <v>22.45</v>
      </c>
      <c r="J200" s="303">
        <v>0.03</v>
      </c>
      <c r="K200" s="303">
        <f t="shared" si="9"/>
        <v>1571.47</v>
      </c>
      <c r="L200" s="303"/>
      <c r="M200" s="303"/>
      <c r="N200" s="303"/>
      <c r="O200" s="303"/>
      <c r="P200" s="143"/>
    </row>
    <row r="201" spans="1:16" ht="18" customHeight="1" x14ac:dyDescent="0.25">
      <c r="A201" s="303"/>
      <c r="B201" s="301">
        <v>42500</v>
      </c>
      <c r="C201" s="302">
        <v>200</v>
      </c>
      <c r="D201" s="303">
        <v>18.25</v>
      </c>
      <c r="E201" s="303">
        <v>0</v>
      </c>
      <c r="F201" s="303">
        <f t="shared" si="8"/>
        <v>3650</v>
      </c>
      <c r="G201" s="303"/>
      <c r="H201" s="303"/>
      <c r="I201" s="303"/>
      <c r="J201" s="303"/>
      <c r="K201" s="303"/>
      <c r="L201" s="303"/>
      <c r="M201" s="303"/>
      <c r="N201" s="303"/>
      <c r="O201" s="303"/>
      <c r="P201" s="143"/>
    </row>
    <row r="202" spans="1:16" ht="18" customHeight="1" x14ac:dyDescent="0.25">
      <c r="A202" s="303"/>
      <c r="B202" s="301">
        <v>42500</v>
      </c>
      <c r="C202" s="302">
        <v>100</v>
      </c>
      <c r="D202" s="303">
        <v>16.510000000000002</v>
      </c>
      <c r="E202" s="303">
        <v>0</v>
      </c>
      <c r="F202" s="303">
        <f t="shared" si="8"/>
        <v>1651.0000000000002</v>
      </c>
      <c r="G202" s="303"/>
      <c r="H202" s="303"/>
      <c r="I202" s="303"/>
      <c r="J202" s="303"/>
      <c r="K202" s="303"/>
      <c r="L202" s="303"/>
      <c r="M202" s="303"/>
      <c r="N202" s="303"/>
      <c r="O202" s="303"/>
    </row>
    <row r="203" spans="1:16" ht="18" customHeight="1" x14ac:dyDescent="0.25">
      <c r="A203" s="300"/>
      <c r="B203" s="329">
        <v>42531</v>
      </c>
      <c r="C203" s="302">
        <v>70</v>
      </c>
      <c r="D203" s="327">
        <v>21.65</v>
      </c>
      <c r="E203" s="303">
        <v>0</v>
      </c>
      <c r="F203" s="327">
        <f t="shared" si="8"/>
        <v>1515.5</v>
      </c>
      <c r="G203" s="329"/>
      <c r="H203" s="326"/>
      <c r="I203" s="327"/>
      <c r="J203" s="326"/>
      <c r="K203" s="327"/>
      <c r="L203" s="325"/>
      <c r="M203" s="327"/>
      <c r="N203" s="322"/>
      <c r="O203" s="324"/>
    </row>
    <row r="204" spans="1:16" ht="18" customHeight="1" x14ac:dyDescent="0.25">
      <c r="A204" s="319"/>
      <c r="B204" s="323"/>
      <c r="C204" s="321">
        <f>SUM(C177:C203)</f>
        <v>1925</v>
      </c>
      <c r="D204" s="322"/>
      <c r="E204" s="323"/>
      <c r="F204" s="322">
        <f>SUM(F177:F203)</f>
        <v>55975.85</v>
      </c>
      <c r="G204" s="323"/>
      <c r="H204" s="321">
        <f>SUM(H177:H203)</f>
        <v>1925</v>
      </c>
      <c r="I204" s="322"/>
      <c r="J204" s="321"/>
      <c r="K204" s="322">
        <f>SUM(K177:K203)</f>
        <v>56062.910000000011</v>
      </c>
      <c r="L204" s="323"/>
      <c r="M204" s="322"/>
      <c r="N204" s="322">
        <f t="shared" ref="N204" si="10">K204-F204</f>
        <v>87.060000000012224</v>
      </c>
      <c r="O204" s="324">
        <f t="shared" ref="O204" si="11">(N204+M204)/F204</f>
        <v>1.5553135861270928E-3</v>
      </c>
      <c r="P204" s="143" t="s">
        <v>134</v>
      </c>
    </row>
    <row r="205" spans="1:16" ht="18" customHeight="1" x14ac:dyDescent="0.25">
      <c r="B205" s="315"/>
      <c r="C205" s="316"/>
      <c r="D205" s="317"/>
      <c r="E205" s="25"/>
      <c r="F205" s="317"/>
      <c r="G205" s="315"/>
      <c r="H205" s="316"/>
      <c r="I205" s="317"/>
      <c r="K205" s="317"/>
      <c r="L205" s="315"/>
      <c r="M205" s="317"/>
      <c r="N205" s="437"/>
      <c r="O205" s="438"/>
    </row>
    <row r="206" spans="1:16" ht="18" customHeight="1" x14ac:dyDescent="0.25">
      <c r="A206" s="300" t="s">
        <v>46</v>
      </c>
      <c r="B206" s="329">
        <v>42185</v>
      </c>
      <c r="C206" s="326">
        <v>20</v>
      </c>
      <c r="D206" s="327">
        <v>28.2</v>
      </c>
      <c r="E206" s="325"/>
      <c r="F206" s="327">
        <f>C206*D206</f>
        <v>564</v>
      </c>
      <c r="G206" s="329">
        <v>42187</v>
      </c>
      <c r="H206" s="326">
        <v>20</v>
      </c>
      <c r="I206" s="327">
        <v>28.75</v>
      </c>
      <c r="J206" s="326">
        <v>0.01</v>
      </c>
      <c r="K206" s="327">
        <f>H206*I206-J206</f>
        <v>574.99</v>
      </c>
      <c r="L206" s="325"/>
      <c r="M206" s="327"/>
      <c r="N206" s="322"/>
      <c r="O206" s="324"/>
      <c r="P206" s="239"/>
    </row>
    <row r="207" spans="1:16" ht="18" customHeight="1" x14ac:dyDescent="0.25">
      <c r="A207" s="319"/>
      <c r="B207" s="323"/>
      <c r="C207" s="321">
        <f>SUM(C206)</f>
        <v>20</v>
      </c>
      <c r="D207" s="322"/>
      <c r="E207" s="323"/>
      <c r="F207" s="322">
        <f>SUM(F206)</f>
        <v>564</v>
      </c>
      <c r="G207" s="323"/>
      <c r="H207" s="321">
        <f>SUM(H206)</f>
        <v>20</v>
      </c>
      <c r="I207" s="322"/>
      <c r="J207" s="321"/>
      <c r="K207" s="322">
        <f>SUM(K206)</f>
        <v>574.99</v>
      </c>
      <c r="L207" s="323"/>
      <c r="M207" s="322"/>
      <c r="N207" s="322">
        <f>K207-F207</f>
        <v>10.990000000000009</v>
      </c>
      <c r="O207" s="324">
        <f>(N207+M207)/F207</f>
        <v>1.9485815602836895E-2</v>
      </c>
    </row>
    <row r="208" spans="1:16" ht="18" customHeight="1" x14ac:dyDescent="0.25">
      <c r="B208" s="315"/>
      <c r="C208" s="316"/>
      <c r="D208" s="317"/>
      <c r="E208" s="317"/>
      <c r="F208" s="317"/>
      <c r="G208" s="315"/>
      <c r="H208" s="316"/>
      <c r="I208" s="317"/>
      <c r="J208" s="317"/>
      <c r="K208" s="317"/>
      <c r="L208" s="315"/>
      <c r="M208" s="317"/>
      <c r="N208" s="317"/>
      <c r="O208" s="318"/>
    </row>
    <row r="209" spans="1:15" ht="18" customHeight="1" x14ac:dyDescent="0.25">
      <c r="A209" s="300" t="s">
        <v>28</v>
      </c>
      <c r="B209" s="301">
        <v>42164</v>
      </c>
      <c r="C209" s="302">
        <v>20</v>
      </c>
      <c r="D209" s="303">
        <v>29.9</v>
      </c>
      <c r="E209" s="303"/>
      <c r="F209" s="303">
        <f>C209*D209</f>
        <v>598</v>
      </c>
      <c r="G209" s="301">
        <v>42187</v>
      </c>
      <c r="H209" s="302">
        <v>40</v>
      </c>
      <c r="I209" s="303">
        <v>30.4</v>
      </c>
      <c r="J209" s="303">
        <v>0.02</v>
      </c>
      <c r="K209" s="303">
        <f>H209*I209-J209</f>
        <v>1215.98</v>
      </c>
      <c r="L209" s="304"/>
      <c r="M209" s="303"/>
      <c r="N209" s="303"/>
      <c r="O209" s="305"/>
    </row>
    <row r="210" spans="1:15" ht="18" customHeight="1" x14ac:dyDescent="0.25">
      <c r="A210" s="300"/>
      <c r="B210" s="301">
        <v>42166</v>
      </c>
      <c r="C210" s="302">
        <v>20</v>
      </c>
      <c r="D210" s="303">
        <v>29.3</v>
      </c>
      <c r="E210" s="303"/>
      <c r="F210" s="303">
        <f>C210*D210</f>
        <v>586</v>
      </c>
      <c r="G210" s="304"/>
      <c r="H210" s="302"/>
      <c r="I210" s="303"/>
      <c r="J210" s="302"/>
      <c r="K210" s="303"/>
      <c r="L210" s="304"/>
      <c r="M210" s="303"/>
      <c r="N210" s="303"/>
      <c r="O210" s="305"/>
    </row>
    <row r="211" spans="1:15" ht="18" customHeight="1" x14ac:dyDescent="0.25">
      <c r="A211" s="300"/>
      <c r="B211" s="306"/>
      <c r="C211" s="307">
        <f>SUM(C209:C210)</f>
        <v>40</v>
      </c>
      <c r="D211" s="308"/>
      <c r="E211" s="308"/>
      <c r="F211" s="308">
        <f>SUM(F209:F210)</f>
        <v>1184</v>
      </c>
      <c r="G211" s="309"/>
      <c r="H211" s="307">
        <f>SUM(H209:H210)</f>
        <v>40</v>
      </c>
      <c r="I211" s="308"/>
      <c r="J211" s="308"/>
      <c r="K211" s="308">
        <f>SUM(K209:K210)</f>
        <v>1215.98</v>
      </c>
      <c r="L211" s="309"/>
      <c r="M211" s="308"/>
      <c r="N211" s="308">
        <f>K211-F211</f>
        <v>31.980000000000018</v>
      </c>
      <c r="O211" s="310">
        <f>(N211+M211)/F211</f>
        <v>2.7010135135135151E-2</v>
      </c>
    </row>
    <row r="212" spans="1:15" ht="18" customHeight="1" x14ac:dyDescent="0.25">
      <c r="B212" s="328"/>
      <c r="C212" s="316"/>
      <c r="D212" s="317"/>
      <c r="E212" s="316"/>
      <c r="F212" s="317"/>
      <c r="G212" s="315"/>
      <c r="H212" s="316"/>
      <c r="I212" s="317"/>
      <c r="J212" s="316"/>
      <c r="K212" s="317"/>
      <c r="L212" s="315"/>
      <c r="M212" s="317"/>
      <c r="N212" s="315"/>
      <c r="O212" s="315"/>
    </row>
    <row r="213" spans="1:15" ht="18" customHeight="1" x14ac:dyDescent="0.25">
      <c r="A213" s="300" t="s">
        <v>44</v>
      </c>
      <c r="B213" s="301">
        <v>42185</v>
      </c>
      <c r="C213" s="302">
        <v>10</v>
      </c>
      <c r="D213" s="303">
        <v>71.2</v>
      </c>
      <c r="E213" s="302"/>
      <c r="F213" s="303">
        <f>C213*D213</f>
        <v>712</v>
      </c>
      <c r="G213" s="301">
        <v>42228</v>
      </c>
      <c r="H213" s="302">
        <v>10</v>
      </c>
      <c r="I213" s="303">
        <v>75.5</v>
      </c>
      <c r="J213" s="302">
        <v>0.01</v>
      </c>
      <c r="K213" s="303">
        <f>H213*I213-J213</f>
        <v>754.99</v>
      </c>
      <c r="L213" s="301">
        <v>42277</v>
      </c>
      <c r="M213" s="303">
        <v>2.83</v>
      </c>
      <c r="N213" s="304"/>
      <c r="O213" s="304"/>
    </row>
    <row r="214" spans="1:15" ht="18" customHeight="1" x14ac:dyDescent="0.25">
      <c r="A214" s="300"/>
      <c r="B214" s="301">
        <v>42220</v>
      </c>
      <c r="C214" s="302">
        <v>5</v>
      </c>
      <c r="D214" s="303">
        <v>70.650000000000006</v>
      </c>
      <c r="E214" s="303"/>
      <c r="F214" s="303">
        <f>C214*D214</f>
        <v>353.25</v>
      </c>
      <c r="G214" s="301">
        <v>42283</v>
      </c>
      <c r="H214" s="302">
        <v>5</v>
      </c>
      <c r="I214" s="303">
        <v>71.25</v>
      </c>
      <c r="J214" s="302">
        <v>0.01</v>
      </c>
      <c r="K214" s="303">
        <f>H214*I214-J214</f>
        <v>356.24</v>
      </c>
      <c r="L214" s="304"/>
      <c r="M214" s="302"/>
      <c r="N214" s="304"/>
      <c r="O214" s="304"/>
    </row>
    <row r="215" spans="1:15" ht="18" customHeight="1" x14ac:dyDescent="0.25">
      <c r="A215" s="300"/>
      <c r="B215" s="309"/>
      <c r="C215" s="307">
        <f>SUM(C213:C214)</f>
        <v>15</v>
      </c>
      <c r="D215" s="308"/>
      <c r="E215" s="308"/>
      <c r="F215" s="308">
        <f>SUM(F213:F214)</f>
        <v>1065.25</v>
      </c>
      <c r="G215" s="309"/>
      <c r="H215" s="307">
        <f>SUM(H213:H214)</f>
        <v>15</v>
      </c>
      <c r="I215" s="308"/>
      <c r="J215" s="308"/>
      <c r="K215" s="308">
        <f>SUM(K213:K214)</f>
        <v>1111.23</v>
      </c>
      <c r="L215" s="333"/>
      <c r="M215" s="308">
        <f>SUM(M213:M214)</f>
        <v>2.83</v>
      </c>
      <c r="N215" s="308">
        <f>K215-F215</f>
        <v>45.980000000000018</v>
      </c>
      <c r="O215" s="334">
        <f>(N215+M215)/F215</f>
        <v>4.5820229992959413E-2</v>
      </c>
    </row>
    <row r="216" spans="1:15" ht="18" customHeight="1" x14ac:dyDescent="0.25">
      <c r="B216" s="315"/>
      <c r="C216" s="316"/>
      <c r="D216" s="317"/>
      <c r="E216" s="25"/>
      <c r="F216" s="317"/>
      <c r="G216" s="315"/>
      <c r="H216" s="316"/>
      <c r="I216" s="317"/>
      <c r="K216" s="317"/>
      <c r="L216" s="315"/>
      <c r="M216" s="317"/>
      <c r="N216" s="317"/>
      <c r="O216" s="318"/>
    </row>
    <row r="217" spans="1:15" ht="18" customHeight="1" x14ac:dyDescent="0.25">
      <c r="A217" s="300" t="s">
        <v>0</v>
      </c>
      <c r="B217" s="301">
        <v>42144</v>
      </c>
      <c r="C217" s="302">
        <v>50</v>
      </c>
      <c r="D217" s="303">
        <v>130.16999999999999</v>
      </c>
      <c r="E217" s="304"/>
      <c r="F217" s="303">
        <f>C217*D217</f>
        <v>6508.4999999999991</v>
      </c>
      <c r="G217" s="301">
        <v>42186</v>
      </c>
      <c r="H217" s="302">
        <v>50</v>
      </c>
      <c r="I217" s="303">
        <v>133.5</v>
      </c>
      <c r="J217" s="302">
        <v>0.12</v>
      </c>
      <c r="K217" s="303">
        <f>H217*I217-J217</f>
        <v>6674.88</v>
      </c>
      <c r="L217" s="301">
        <v>42200</v>
      </c>
      <c r="M217" s="303">
        <v>7.5</v>
      </c>
      <c r="N217" s="302"/>
      <c r="O217" s="302"/>
    </row>
    <row r="218" spans="1:15" ht="18" customHeight="1" x14ac:dyDescent="0.25">
      <c r="A218" s="300"/>
      <c r="B218" s="306"/>
      <c r="C218" s="307">
        <f>SUM(C217)</f>
        <v>50</v>
      </c>
      <c r="D218" s="308"/>
      <c r="E218" s="309"/>
      <c r="F218" s="308">
        <f>SUM(F217)</f>
        <v>6508.4999999999991</v>
      </c>
      <c r="G218" s="309"/>
      <c r="H218" s="307">
        <f>SUM(H217)</f>
        <v>50</v>
      </c>
      <c r="I218" s="308"/>
      <c r="J218" s="307"/>
      <c r="K218" s="308">
        <f>SUM(K217)</f>
        <v>6674.88</v>
      </c>
      <c r="L218" s="309"/>
      <c r="M218" s="308">
        <f>SUM(M217)</f>
        <v>7.5</v>
      </c>
      <c r="N218" s="308">
        <f>K218-F218</f>
        <v>166.38000000000102</v>
      </c>
      <c r="O218" s="310">
        <f>(N218+M218)/F218</f>
        <v>2.6715833141276953E-2</v>
      </c>
    </row>
    <row r="219" spans="1:15" ht="18" customHeight="1" x14ac:dyDescent="0.25">
      <c r="B219" s="315"/>
      <c r="C219" s="316"/>
      <c r="D219" s="317"/>
      <c r="E219" s="317"/>
      <c r="F219" s="317"/>
      <c r="G219" s="315"/>
      <c r="H219" s="316"/>
      <c r="I219" s="317"/>
      <c r="J219" s="317"/>
      <c r="K219" s="317"/>
      <c r="L219" s="315"/>
      <c r="M219" s="317"/>
      <c r="N219" s="317"/>
      <c r="O219" s="318"/>
    </row>
    <row r="220" spans="1:15" ht="18" customHeight="1" x14ac:dyDescent="0.25">
      <c r="A220" s="300" t="s">
        <v>49</v>
      </c>
      <c r="B220" s="301">
        <v>42186</v>
      </c>
      <c r="C220" s="302">
        <v>100</v>
      </c>
      <c r="D220" s="303">
        <v>27.5</v>
      </c>
      <c r="E220" s="303"/>
      <c r="F220" s="303">
        <f>C220*D220</f>
        <v>2750</v>
      </c>
      <c r="G220" s="301">
        <v>42219</v>
      </c>
      <c r="H220" s="302">
        <v>100</v>
      </c>
      <c r="I220" s="303">
        <v>29.5</v>
      </c>
      <c r="J220" s="302">
        <v>0.05</v>
      </c>
      <c r="K220" s="303">
        <f>H220*I220-J220</f>
        <v>2949.95</v>
      </c>
      <c r="L220" s="301">
        <v>42216</v>
      </c>
      <c r="M220" s="303">
        <v>11</v>
      </c>
      <c r="N220" s="303"/>
      <c r="O220" s="305"/>
    </row>
    <row r="221" spans="1:15" ht="18" customHeight="1" x14ac:dyDescent="0.25">
      <c r="A221" s="300"/>
      <c r="B221" s="306"/>
      <c r="C221" s="307">
        <f>SUM(C220)</f>
        <v>100</v>
      </c>
      <c r="D221" s="308"/>
      <c r="E221" s="309"/>
      <c r="F221" s="308">
        <f>SUM(F220)</f>
        <v>2750</v>
      </c>
      <c r="G221" s="309"/>
      <c r="H221" s="307">
        <f>SUM(H220)</f>
        <v>100</v>
      </c>
      <c r="I221" s="308"/>
      <c r="J221" s="308"/>
      <c r="K221" s="308">
        <f>SUM(K220)</f>
        <v>2949.95</v>
      </c>
      <c r="L221" s="309"/>
      <c r="M221" s="308">
        <v>11</v>
      </c>
      <c r="N221" s="308">
        <f>K221-F221</f>
        <v>199.94999999999982</v>
      </c>
      <c r="O221" s="310">
        <f>(N221+M221)/F221</f>
        <v>7.6709090909090838E-2</v>
      </c>
    </row>
    <row r="222" spans="1:15" ht="18" customHeight="1" x14ac:dyDescent="0.25">
      <c r="B222" s="315"/>
      <c r="C222" s="316"/>
      <c r="D222" s="317"/>
      <c r="E222" s="25"/>
      <c r="F222" s="317"/>
      <c r="G222" s="315"/>
      <c r="H222" s="316"/>
      <c r="I222" s="317"/>
      <c r="K222" s="317"/>
      <c r="L222" s="315"/>
      <c r="M222" s="317"/>
      <c r="N222" s="317"/>
      <c r="O222" s="316"/>
    </row>
    <row r="223" spans="1:15" ht="18" customHeight="1" x14ac:dyDescent="0.25">
      <c r="A223" s="300" t="s">
        <v>13</v>
      </c>
      <c r="B223" s="301">
        <v>42151</v>
      </c>
      <c r="C223" s="302">
        <v>5</v>
      </c>
      <c r="D223" s="303">
        <v>54.2</v>
      </c>
      <c r="E223" s="304"/>
      <c r="F223" s="303">
        <f t="shared" ref="F223:F229" si="12">C223*D223</f>
        <v>271</v>
      </c>
      <c r="G223" s="301">
        <v>42181</v>
      </c>
      <c r="H223" s="302">
        <v>25</v>
      </c>
      <c r="I223" s="303">
        <v>55.4</v>
      </c>
      <c r="J223" s="302">
        <v>0.03</v>
      </c>
      <c r="K223" s="303">
        <f>H223*I223-J223</f>
        <v>1384.97</v>
      </c>
      <c r="L223" s="304"/>
      <c r="M223" s="303"/>
      <c r="N223" s="303"/>
      <c r="O223" s="305"/>
    </row>
    <row r="224" spans="1:15" ht="18" customHeight="1" x14ac:dyDescent="0.25">
      <c r="A224" s="300"/>
      <c r="B224" s="301">
        <v>42152</v>
      </c>
      <c r="C224" s="302">
        <v>20</v>
      </c>
      <c r="D224" s="303">
        <v>53.35</v>
      </c>
      <c r="E224" s="304"/>
      <c r="F224" s="303">
        <f t="shared" si="12"/>
        <v>1067</v>
      </c>
      <c r="G224" s="301">
        <v>42200</v>
      </c>
      <c r="H224" s="302">
        <v>225</v>
      </c>
      <c r="I224" s="303">
        <v>55.56</v>
      </c>
      <c r="J224" s="302">
        <v>0.23</v>
      </c>
      <c r="K224" s="303">
        <f>H224*I224-J224</f>
        <v>12500.77</v>
      </c>
      <c r="L224" s="304"/>
      <c r="M224" s="303"/>
      <c r="N224" s="303"/>
      <c r="O224" s="305"/>
    </row>
    <row r="225" spans="1:15" ht="18" customHeight="1" x14ac:dyDescent="0.25">
      <c r="A225" s="300"/>
      <c r="B225" s="301">
        <v>42153</v>
      </c>
      <c r="C225" s="302">
        <v>25</v>
      </c>
      <c r="D225" s="303">
        <v>52.35</v>
      </c>
      <c r="E225" s="304"/>
      <c r="F225" s="303">
        <f t="shared" si="12"/>
        <v>1308.75</v>
      </c>
      <c r="G225" s="304"/>
      <c r="H225" s="302"/>
      <c r="I225" s="303"/>
      <c r="J225" s="302"/>
      <c r="K225" s="303"/>
      <c r="L225" s="304"/>
      <c r="M225" s="303"/>
      <c r="N225" s="303"/>
      <c r="O225" s="305"/>
    </row>
    <row r="226" spans="1:15" ht="18" customHeight="1" x14ac:dyDescent="0.25">
      <c r="A226" s="300"/>
      <c r="B226" s="301">
        <v>42153</v>
      </c>
      <c r="C226" s="302">
        <v>25</v>
      </c>
      <c r="D226" s="303">
        <v>51.75</v>
      </c>
      <c r="E226" s="304"/>
      <c r="F226" s="303">
        <f t="shared" si="12"/>
        <v>1293.75</v>
      </c>
      <c r="G226" s="304"/>
      <c r="H226" s="302"/>
      <c r="I226" s="303"/>
      <c r="J226" s="302"/>
      <c r="K226" s="303"/>
      <c r="L226" s="304"/>
      <c r="M226" s="303"/>
      <c r="N226" s="303"/>
      <c r="O226" s="305"/>
    </row>
    <row r="227" spans="1:15" ht="18" customHeight="1" x14ac:dyDescent="0.25">
      <c r="A227" s="300"/>
      <c r="B227" s="301">
        <v>42166</v>
      </c>
      <c r="C227" s="302">
        <v>25</v>
      </c>
      <c r="D227" s="303">
        <v>52.1</v>
      </c>
      <c r="E227" s="304"/>
      <c r="F227" s="303">
        <f t="shared" si="12"/>
        <v>1302.5</v>
      </c>
      <c r="G227" s="304"/>
      <c r="H227" s="302"/>
      <c r="I227" s="303"/>
      <c r="J227" s="302"/>
      <c r="K227" s="303"/>
      <c r="L227" s="304"/>
      <c r="M227" s="303"/>
      <c r="N227" s="303"/>
      <c r="O227" s="305"/>
    </row>
    <row r="228" spans="1:15" ht="18" customHeight="1" x14ac:dyDescent="0.25">
      <c r="A228" s="300"/>
      <c r="B228" s="301">
        <v>42166</v>
      </c>
      <c r="C228" s="302">
        <v>50</v>
      </c>
      <c r="D228" s="303">
        <v>51.5</v>
      </c>
      <c r="E228" s="304"/>
      <c r="F228" s="303">
        <f t="shared" si="12"/>
        <v>2575</v>
      </c>
      <c r="G228" s="304"/>
      <c r="H228" s="302"/>
      <c r="I228" s="303"/>
      <c r="J228" s="302"/>
      <c r="K228" s="303"/>
      <c r="L228" s="304"/>
      <c r="M228" s="303"/>
      <c r="N228" s="303"/>
      <c r="O228" s="305"/>
    </row>
    <row r="229" spans="1:15" ht="18" customHeight="1" x14ac:dyDescent="0.25">
      <c r="A229" s="300"/>
      <c r="B229" s="301">
        <v>42166</v>
      </c>
      <c r="C229" s="302">
        <v>100</v>
      </c>
      <c r="D229" s="303">
        <v>51.35</v>
      </c>
      <c r="E229" s="304"/>
      <c r="F229" s="303">
        <f t="shared" si="12"/>
        <v>5135</v>
      </c>
      <c r="G229" s="304"/>
      <c r="H229" s="302"/>
      <c r="I229" s="303"/>
      <c r="J229" s="302"/>
      <c r="K229" s="303"/>
      <c r="L229" s="304"/>
      <c r="M229" s="303"/>
      <c r="N229" s="303"/>
      <c r="O229" s="305"/>
    </row>
    <row r="230" spans="1:15" ht="18" customHeight="1" x14ac:dyDescent="0.25">
      <c r="A230" s="300"/>
      <c r="B230" s="306"/>
      <c r="C230" s="307">
        <f>SUM(C223:C229)</f>
        <v>250</v>
      </c>
      <c r="D230" s="308"/>
      <c r="E230" s="309"/>
      <c r="F230" s="308">
        <f>SUM(F223:F229)</f>
        <v>12953</v>
      </c>
      <c r="G230" s="309"/>
      <c r="H230" s="307">
        <f>SUM(H223:H229)</f>
        <v>250</v>
      </c>
      <c r="I230" s="308"/>
      <c r="J230" s="307"/>
      <c r="K230" s="308">
        <f>SUM(K223:K229)</f>
        <v>13885.74</v>
      </c>
      <c r="L230" s="309"/>
      <c r="M230" s="308"/>
      <c r="N230" s="308">
        <f>K230-F230</f>
        <v>932.73999999999978</v>
      </c>
      <c r="O230" s="310">
        <f>(N230+M230)/F230</f>
        <v>7.2009573071875221E-2</v>
      </c>
    </row>
    <row r="231" spans="1:15" ht="18" customHeight="1" x14ac:dyDescent="0.25">
      <c r="B231" s="315"/>
      <c r="C231" s="316"/>
      <c r="D231" s="317"/>
      <c r="E231" s="317"/>
      <c r="F231" s="317"/>
      <c r="G231" s="315"/>
      <c r="H231" s="316"/>
      <c r="I231" s="317"/>
      <c r="J231" s="317"/>
      <c r="K231" s="317"/>
      <c r="L231" s="315"/>
      <c r="M231" s="317"/>
      <c r="N231" s="317"/>
      <c r="O231" s="318"/>
    </row>
    <row r="232" spans="1:15" ht="18" customHeight="1" x14ac:dyDescent="0.25">
      <c r="A232" s="300" t="s">
        <v>20</v>
      </c>
      <c r="B232" s="301">
        <v>42153</v>
      </c>
      <c r="C232" s="302">
        <v>50</v>
      </c>
      <c r="D232" s="303">
        <v>20.99</v>
      </c>
      <c r="E232" s="304"/>
      <c r="F232" s="303">
        <f>C232*D232</f>
        <v>1049.5</v>
      </c>
      <c r="G232" s="301">
        <v>42186</v>
      </c>
      <c r="H232" s="302">
        <v>297</v>
      </c>
      <c r="I232" s="303">
        <v>19.399999999999999</v>
      </c>
      <c r="J232" s="303">
        <v>0.11</v>
      </c>
      <c r="K232" s="303">
        <f>H232*I232-J232</f>
        <v>5761.69</v>
      </c>
      <c r="L232" s="304"/>
      <c r="M232" s="303"/>
      <c r="N232" s="303"/>
      <c r="O232" s="305"/>
    </row>
    <row r="233" spans="1:15" ht="18" customHeight="1" x14ac:dyDescent="0.25">
      <c r="A233" s="300"/>
      <c r="B233" s="301">
        <v>42185</v>
      </c>
      <c r="C233" s="302">
        <v>100</v>
      </c>
      <c r="D233" s="303">
        <v>20.6</v>
      </c>
      <c r="E233" s="303"/>
      <c r="F233" s="303">
        <f>C233*D233</f>
        <v>2060</v>
      </c>
      <c r="G233" s="301">
        <v>42186</v>
      </c>
      <c r="H233" s="302">
        <v>300</v>
      </c>
      <c r="I233" s="303">
        <v>20.28</v>
      </c>
      <c r="J233" s="303">
        <v>0.11</v>
      </c>
      <c r="K233" s="303">
        <f>H233*I233-J233</f>
        <v>6083.89</v>
      </c>
      <c r="L233" s="304"/>
      <c r="M233" s="303"/>
      <c r="N233" s="303"/>
      <c r="O233" s="305"/>
    </row>
    <row r="234" spans="1:15" ht="18" customHeight="1" x14ac:dyDescent="0.25">
      <c r="A234" s="300"/>
      <c r="B234" s="301">
        <v>42186</v>
      </c>
      <c r="C234" s="302">
        <v>150</v>
      </c>
      <c r="D234" s="303">
        <v>19.95</v>
      </c>
      <c r="E234" s="303"/>
      <c r="F234" s="303">
        <f>C234*D234</f>
        <v>2992.5</v>
      </c>
      <c r="G234" s="301">
        <v>42186</v>
      </c>
      <c r="H234" s="302">
        <v>300</v>
      </c>
      <c r="I234" s="303">
        <v>19.75</v>
      </c>
      <c r="J234" s="303">
        <v>0.11</v>
      </c>
      <c r="K234" s="303">
        <f>H234*I234-J234</f>
        <v>5924.89</v>
      </c>
      <c r="L234" s="304"/>
      <c r="M234" s="303"/>
      <c r="N234" s="303"/>
      <c r="O234" s="305"/>
    </row>
    <row r="235" spans="1:15" ht="18" customHeight="1" x14ac:dyDescent="0.25">
      <c r="A235" s="300"/>
      <c r="B235" s="301">
        <v>42186</v>
      </c>
      <c r="C235" s="302">
        <v>300</v>
      </c>
      <c r="D235" s="303">
        <v>19.7</v>
      </c>
      <c r="E235" s="304"/>
      <c r="F235" s="303">
        <f>C235*D235</f>
        <v>5910</v>
      </c>
      <c r="G235" s="304"/>
      <c r="H235" s="302"/>
      <c r="I235" s="303"/>
      <c r="J235" s="303"/>
      <c r="K235" s="303"/>
      <c r="L235" s="304"/>
      <c r="M235" s="303"/>
      <c r="N235" s="303"/>
      <c r="O235" s="305"/>
    </row>
    <row r="236" spans="1:15" ht="18" customHeight="1" x14ac:dyDescent="0.25">
      <c r="A236" s="300"/>
      <c r="B236" s="301">
        <v>42186</v>
      </c>
      <c r="C236" s="302">
        <v>297</v>
      </c>
      <c r="D236" s="303">
        <v>19.13</v>
      </c>
      <c r="E236" s="303"/>
      <c r="F236" s="303">
        <f>C236*D236</f>
        <v>5681.61</v>
      </c>
      <c r="G236" s="304"/>
      <c r="H236" s="302"/>
      <c r="I236" s="303"/>
      <c r="J236" s="303"/>
      <c r="K236" s="303"/>
      <c r="L236" s="304"/>
      <c r="M236" s="303"/>
      <c r="N236" s="303"/>
      <c r="O236" s="305"/>
    </row>
    <row r="237" spans="1:15" ht="18" customHeight="1" x14ac:dyDescent="0.25">
      <c r="A237" s="300"/>
      <c r="B237" s="306"/>
      <c r="C237" s="307">
        <f>SUM(C232:C236)</f>
        <v>897</v>
      </c>
      <c r="D237" s="308"/>
      <c r="E237" s="308"/>
      <c r="F237" s="308">
        <f>SUM(F232:F236)</f>
        <v>17693.61</v>
      </c>
      <c r="G237" s="309"/>
      <c r="H237" s="307">
        <f>SUM(H232:H236)</f>
        <v>897</v>
      </c>
      <c r="I237" s="308"/>
      <c r="J237" s="308"/>
      <c r="K237" s="308">
        <f>SUM(K232:K236)</f>
        <v>17770.47</v>
      </c>
      <c r="L237" s="309"/>
      <c r="M237" s="308"/>
      <c r="N237" s="308">
        <f>K237-F237</f>
        <v>76.860000000000582</v>
      </c>
      <c r="O237" s="310">
        <f>(N237+M237)/F237</f>
        <v>4.3439411177255841E-3</v>
      </c>
    </row>
    <row r="238" spans="1:15" ht="18" customHeight="1" x14ac:dyDescent="0.25">
      <c r="B238" s="315"/>
      <c r="C238" s="316"/>
      <c r="D238" s="317"/>
      <c r="E238" s="25"/>
      <c r="F238" s="317"/>
      <c r="G238" s="315"/>
      <c r="H238" s="316"/>
      <c r="I238" s="317"/>
      <c r="K238" s="317"/>
      <c r="L238" s="315"/>
      <c r="M238" s="317"/>
      <c r="N238" s="317"/>
      <c r="O238" s="318"/>
    </row>
    <row r="239" spans="1:15" ht="18" customHeight="1" x14ac:dyDescent="0.25">
      <c r="A239" s="300" t="s">
        <v>31</v>
      </c>
      <c r="B239" s="301">
        <v>42165</v>
      </c>
      <c r="C239" s="302">
        <v>1</v>
      </c>
      <c r="D239" s="303">
        <v>73.03</v>
      </c>
      <c r="E239" s="304"/>
      <c r="F239" s="303">
        <f>C239*D239</f>
        <v>73.03</v>
      </c>
      <c r="G239" s="301">
        <v>42195</v>
      </c>
      <c r="H239" s="302">
        <v>1</v>
      </c>
      <c r="I239" s="303">
        <v>73.5</v>
      </c>
      <c r="J239" s="302">
        <v>0.01</v>
      </c>
      <c r="K239" s="303">
        <f>H239*I239-J239</f>
        <v>73.489999999999995</v>
      </c>
      <c r="L239" s="304"/>
      <c r="M239" s="303"/>
      <c r="N239" s="303"/>
      <c r="O239" s="305"/>
    </row>
    <row r="240" spans="1:15" ht="18" customHeight="1" x14ac:dyDescent="0.25">
      <c r="A240" s="300"/>
      <c r="B240" s="306"/>
      <c r="C240" s="307">
        <f>SUM(C239)</f>
        <v>1</v>
      </c>
      <c r="D240" s="308"/>
      <c r="E240" s="309"/>
      <c r="F240" s="308">
        <f>SUM(F239)</f>
        <v>73.03</v>
      </c>
      <c r="G240" s="309"/>
      <c r="H240" s="307">
        <f>SUM(H239)</f>
        <v>1</v>
      </c>
      <c r="I240" s="308"/>
      <c r="J240" s="307"/>
      <c r="K240" s="308">
        <f>SUM(K239)</f>
        <v>73.489999999999995</v>
      </c>
      <c r="L240" s="309"/>
      <c r="M240" s="308"/>
      <c r="N240" s="308">
        <f>K240-F240</f>
        <v>0.45999999999999375</v>
      </c>
      <c r="O240" s="310">
        <f>(N240+M240)/F240</f>
        <v>6.2987813227439919E-3</v>
      </c>
    </row>
    <row r="241" spans="1:21" ht="18" customHeight="1" x14ac:dyDescent="0.25">
      <c r="A241" s="146"/>
      <c r="B241" s="147"/>
      <c r="C241" s="148"/>
      <c r="D241" s="149"/>
      <c r="E241" s="25"/>
      <c r="F241" s="149"/>
      <c r="G241" s="150"/>
      <c r="H241" s="148"/>
      <c r="I241" s="149"/>
      <c r="K241" s="149"/>
      <c r="L241" s="150"/>
      <c r="M241" s="149"/>
      <c r="N241" s="149"/>
      <c r="O241" s="151"/>
    </row>
    <row r="242" spans="1:21" ht="18" customHeight="1" x14ac:dyDescent="0.25">
      <c r="M242" s="26" t="s">
        <v>38</v>
      </c>
      <c r="N242" s="144">
        <f>0.5*(SUM(M2:M241))</f>
        <v>810.01</v>
      </c>
      <c r="Q242" s="454" t="s">
        <v>229</v>
      </c>
      <c r="R242" s="453"/>
      <c r="S242" s="429" t="s">
        <v>222</v>
      </c>
      <c r="T242" s="427"/>
    </row>
    <row r="243" spans="1:21" ht="18" customHeight="1" x14ac:dyDescent="0.25">
      <c r="M243" s="29" t="s">
        <v>131</v>
      </c>
      <c r="N243" s="145">
        <f>SUM(N1:N241)</f>
        <v>-3929.4599999999336</v>
      </c>
      <c r="Q243" s="364">
        <v>42449</v>
      </c>
      <c r="R243" s="453">
        <v>0.02</v>
      </c>
      <c r="S243" s="427">
        <v>2015</v>
      </c>
      <c r="T243" s="427">
        <v>1003.28</v>
      </c>
    </row>
    <row r="244" spans="1:21" ht="18" customHeight="1" x14ac:dyDescent="0.25">
      <c r="M244" s="26" t="s">
        <v>153</v>
      </c>
      <c r="N244" s="546">
        <f>T267</f>
        <v>1009.6300000000002</v>
      </c>
      <c r="Q244" s="364">
        <v>42451</v>
      </c>
      <c r="R244" s="453">
        <v>0.01</v>
      </c>
      <c r="S244" s="476">
        <v>42278</v>
      </c>
      <c r="T244" s="427">
        <v>0.19</v>
      </c>
    </row>
    <row r="245" spans="1:21" ht="18" customHeight="1" x14ac:dyDescent="0.25">
      <c r="M245" s="26" t="s">
        <v>130</v>
      </c>
      <c r="N245" s="145">
        <f>SUM(ACTIVE!L:L)</f>
        <v>32327.418000001857</v>
      </c>
      <c r="Q245" s="494"/>
      <c r="R245" s="453"/>
      <c r="S245" s="476">
        <v>42309</v>
      </c>
      <c r="T245" s="427">
        <v>0.26</v>
      </c>
    </row>
    <row r="246" spans="1:21" ht="18" customHeight="1" x14ac:dyDescent="0.25">
      <c r="Q246" s="363"/>
      <c r="R246" s="453"/>
      <c r="S246" s="476">
        <v>42339</v>
      </c>
      <c r="T246" s="427">
        <v>0.23</v>
      </c>
    </row>
    <row r="247" spans="1:21" ht="18" customHeight="1" x14ac:dyDescent="0.25">
      <c r="M247" s="26" t="s">
        <v>144</v>
      </c>
      <c r="N247" s="145">
        <f>SUM(N242:N245)</f>
        <v>30217.598000001923</v>
      </c>
      <c r="Q247" s="363"/>
      <c r="R247" s="453"/>
      <c r="S247" s="476">
        <v>42370</v>
      </c>
      <c r="T247" s="427">
        <v>0.08</v>
      </c>
    </row>
    <row r="248" spans="1:21" ht="18" customHeight="1" x14ac:dyDescent="0.25">
      <c r="M248" s="26" t="s">
        <v>145</v>
      </c>
      <c r="N248" s="145">
        <f>Balance!X2</f>
        <v>30217.570000000007</v>
      </c>
      <c r="Q248" s="363"/>
      <c r="R248" s="453"/>
      <c r="S248" s="476">
        <v>42401</v>
      </c>
      <c r="T248" s="427">
        <v>0.57999999999999996</v>
      </c>
    </row>
    <row r="249" spans="1:21" ht="18" customHeight="1" x14ac:dyDescent="0.25">
      <c r="M249" s="26" t="s">
        <v>195</v>
      </c>
      <c r="N249" s="547">
        <f>R267</f>
        <v>0.03</v>
      </c>
      <c r="O249" s="351"/>
      <c r="Q249" s="363"/>
      <c r="R249" s="453"/>
      <c r="S249" s="476">
        <v>42430</v>
      </c>
      <c r="T249" s="427">
        <v>0.68</v>
      </c>
    </row>
    <row r="250" spans="1:21" ht="18" customHeight="1" x14ac:dyDescent="0.25">
      <c r="Q250" s="363"/>
      <c r="R250" s="453"/>
      <c r="S250" s="476">
        <v>42461</v>
      </c>
      <c r="T250" s="427">
        <v>0.37</v>
      </c>
    </row>
    <row r="251" spans="1:21" ht="18" customHeight="1" x14ac:dyDescent="0.25">
      <c r="M251" s="26" t="s">
        <v>132</v>
      </c>
      <c r="N251" s="548">
        <f>N247-N249-N248</f>
        <v>-1.9999980831926223E-3</v>
      </c>
      <c r="Q251" s="363"/>
      <c r="R251" s="453"/>
      <c r="S251" s="476">
        <v>42491</v>
      </c>
      <c r="T251" s="427">
        <v>0.13</v>
      </c>
    </row>
    <row r="252" spans="1:21" ht="18" customHeight="1" x14ac:dyDescent="0.25">
      <c r="Q252" s="363"/>
      <c r="R252" s="453"/>
      <c r="S252" s="476">
        <v>42552</v>
      </c>
      <c r="T252" s="427">
        <v>0.64</v>
      </c>
    </row>
    <row r="253" spans="1:21" ht="18" customHeight="1" x14ac:dyDescent="0.25">
      <c r="Q253" s="363"/>
      <c r="R253" s="453"/>
      <c r="S253" s="476">
        <v>42580</v>
      </c>
      <c r="T253" s="427">
        <v>-0.66</v>
      </c>
      <c r="U253" s="25" t="s">
        <v>268</v>
      </c>
    </row>
    <row r="254" spans="1:21" ht="18" customHeight="1" x14ac:dyDescent="0.25">
      <c r="Q254" s="363"/>
      <c r="R254" s="453"/>
      <c r="S254" s="476">
        <v>42582</v>
      </c>
      <c r="T254" s="427">
        <v>0.26</v>
      </c>
    </row>
    <row r="255" spans="1:21" ht="18" customHeight="1" x14ac:dyDescent="0.25">
      <c r="Q255" s="363"/>
      <c r="R255" s="453"/>
      <c r="S255" s="476">
        <v>42608</v>
      </c>
      <c r="T255" s="427">
        <v>0.44</v>
      </c>
    </row>
    <row r="256" spans="1:21" ht="18" customHeight="1" x14ac:dyDescent="0.25">
      <c r="Q256" s="363"/>
      <c r="R256" s="453"/>
      <c r="S256" s="476">
        <v>42614</v>
      </c>
      <c r="T256" s="427">
        <v>0.23</v>
      </c>
    </row>
    <row r="257" spans="17:20" ht="18" customHeight="1" x14ac:dyDescent="0.25">
      <c r="Q257" s="363"/>
      <c r="R257" s="453"/>
      <c r="S257" s="476">
        <v>42639</v>
      </c>
      <c r="T257" s="427">
        <v>0.56999999999999995</v>
      </c>
    </row>
    <row r="258" spans="17:20" ht="18" customHeight="1" x14ac:dyDescent="0.25">
      <c r="Q258" s="363"/>
      <c r="R258" s="453"/>
      <c r="S258" s="476">
        <v>42644</v>
      </c>
      <c r="T258" s="427">
        <v>0.14000000000000001</v>
      </c>
    </row>
    <row r="259" spans="17:20" ht="18" customHeight="1" x14ac:dyDescent="0.25">
      <c r="Q259" s="363"/>
      <c r="R259" s="453"/>
      <c r="S259" s="476">
        <v>42674</v>
      </c>
      <c r="T259" s="427">
        <v>0.45</v>
      </c>
    </row>
    <row r="260" spans="17:20" ht="18" customHeight="1" x14ac:dyDescent="0.25">
      <c r="Q260" s="363"/>
      <c r="R260" s="453"/>
      <c r="S260" s="476">
        <v>42704</v>
      </c>
      <c r="T260" s="427">
        <v>0.43</v>
      </c>
    </row>
    <row r="261" spans="17:20" ht="18" customHeight="1" x14ac:dyDescent="0.25">
      <c r="Q261" s="363"/>
      <c r="R261" s="453"/>
      <c r="S261" s="476">
        <v>43099</v>
      </c>
      <c r="T261" s="427">
        <v>0.64</v>
      </c>
    </row>
    <row r="262" spans="17:20" ht="18" customHeight="1" x14ac:dyDescent="0.25">
      <c r="Q262" s="363"/>
      <c r="R262" s="453"/>
      <c r="S262" s="476">
        <v>42760</v>
      </c>
      <c r="T262" s="427">
        <v>0.56999999999999995</v>
      </c>
    </row>
    <row r="263" spans="17:20" ht="18" customHeight="1" x14ac:dyDescent="0.25">
      <c r="Q263" s="363"/>
      <c r="R263" s="453"/>
      <c r="S263" s="476">
        <v>42767</v>
      </c>
      <c r="T263" s="427">
        <v>0.12</v>
      </c>
    </row>
    <row r="264" spans="17:20" ht="18" customHeight="1" x14ac:dyDescent="0.25">
      <c r="Q264" s="363"/>
      <c r="R264" s="453"/>
      <c r="S264" s="476"/>
      <c r="T264" s="427"/>
    </row>
    <row r="265" spans="17:20" ht="18" customHeight="1" x14ac:dyDescent="0.25">
      <c r="Q265" s="363"/>
      <c r="R265" s="453"/>
      <c r="S265" s="476"/>
      <c r="T265" s="427"/>
    </row>
    <row r="266" spans="17:20" ht="18" customHeight="1" x14ac:dyDescent="0.25">
      <c r="Q266" s="363"/>
      <c r="R266" s="453"/>
      <c r="S266" s="476"/>
      <c r="T266" s="427"/>
    </row>
    <row r="267" spans="17:20" ht="18" customHeight="1" x14ac:dyDescent="0.25">
      <c r="Q267" s="363" t="s">
        <v>81</v>
      </c>
      <c r="R267" s="453">
        <f>SUM(R243:R262)</f>
        <v>0.03</v>
      </c>
      <c r="S267" s="428" t="s">
        <v>81</v>
      </c>
      <c r="T267" s="427">
        <f>SUM(T243:T266)</f>
        <v>1009.6300000000002</v>
      </c>
    </row>
    <row r="274" spans="1:1" ht="18" customHeight="1" x14ac:dyDescent="0.25">
      <c r="A274" s="516"/>
    </row>
    <row r="275" spans="1:1" ht="18" customHeight="1" x14ac:dyDescent="0.25">
      <c r="A275" s="517"/>
    </row>
    <row r="276" spans="1:1" ht="18" customHeight="1" x14ac:dyDescent="0.25">
      <c r="A276" s="517"/>
    </row>
    <row r="277" spans="1:1" ht="18" customHeight="1" x14ac:dyDescent="0.25">
      <c r="A277" s="516"/>
    </row>
    <row r="278" spans="1:1" ht="18" customHeight="1" x14ac:dyDescent="0.25">
      <c r="A278" s="517"/>
    </row>
    <row r="279" spans="1:1" ht="18" customHeight="1" x14ac:dyDescent="0.25">
      <c r="A279" s="517"/>
    </row>
    <row r="280" spans="1:1" ht="18" customHeight="1" x14ac:dyDescent="0.25">
      <c r="A280" s="516"/>
    </row>
    <row r="281" spans="1:1" ht="18" customHeight="1" x14ac:dyDescent="0.25">
      <c r="A281" s="517"/>
    </row>
    <row r="282" spans="1:1" ht="18" customHeight="1" x14ac:dyDescent="0.25">
      <c r="A282" s="517"/>
    </row>
    <row r="283" spans="1:1" ht="18" customHeight="1" x14ac:dyDescent="0.25">
      <c r="A283" s="517"/>
    </row>
  </sheetData>
  <mergeCells count="3">
    <mergeCell ref="B12:B13"/>
    <mergeCell ref="B14:B15"/>
    <mergeCell ref="B163:B164"/>
  </mergeCells>
  <conditionalFormatting sqref="Q13">
    <cfRule type="expression" dxfId="1083" priority="5">
      <formula>#REF!&gt;0</formula>
    </cfRule>
    <cfRule type="expression" dxfId="1082" priority="6">
      <formula>#REF!&lt;0</formula>
    </cfRule>
  </conditionalFormatting>
  <pageMargins left="0.7" right="0.7" top="0.75" bottom="0.75" header="0.3" footer="0.3"/>
  <pageSetup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P352"/>
  <sheetViews>
    <sheetView topLeftCell="G1" zoomScaleNormal="100" workbookViewId="0">
      <pane ySplit="1" topLeftCell="A335" activePane="bottomLeft" state="frozen"/>
      <selection pane="bottomLeft" activeCell="Z356" sqref="Z356"/>
    </sheetView>
  </sheetViews>
  <sheetFormatPr defaultColWidth="9.140625" defaultRowHeight="20.100000000000001" customHeight="1" x14ac:dyDescent="0.25"/>
  <cols>
    <col min="1" max="1" width="14.42578125" style="170" customWidth="1"/>
    <col min="2" max="2" width="11.28515625" style="181" bestFit="1" customWidth="1"/>
    <col min="3" max="3" width="9.5703125" style="170" bestFit="1" customWidth="1"/>
    <col min="4" max="4" width="12.5703125" style="182" bestFit="1" customWidth="1"/>
    <col min="5" max="5" width="13.7109375" style="182" bestFit="1" customWidth="1"/>
    <col min="6" max="6" width="12.5703125" style="182" bestFit="1" customWidth="1"/>
    <col min="7" max="7" width="12.85546875" style="182" bestFit="1" customWidth="1"/>
    <col min="8" max="8" width="13.5703125" style="182" bestFit="1" customWidth="1"/>
    <col min="9" max="9" width="14.28515625" style="228" bestFit="1" customWidth="1"/>
    <col min="10" max="10" width="12.85546875" style="170" bestFit="1" customWidth="1"/>
    <col min="11" max="11" width="10.28515625" style="170" bestFit="1" customWidth="1"/>
    <col min="12" max="12" width="12.140625" style="170" bestFit="1" customWidth="1"/>
    <col min="13" max="13" width="11.42578125" style="218" bestFit="1" customWidth="1"/>
    <col min="14" max="14" width="8.7109375" style="190" bestFit="1" customWidth="1"/>
    <col min="15" max="15" width="10.7109375" style="217" bestFit="1" customWidth="1"/>
    <col min="16" max="16" width="11.5703125" style="342" bestFit="1" customWidth="1"/>
    <col min="17" max="17" width="13.85546875" style="342" bestFit="1" customWidth="1"/>
    <col min="18" max="18" width="10.7109375" style="342" bestFit="1" customWidth="1"/>
    <col min="19" max="19" width="12.5703125" style="342" bestFit="1" customWidth="1"/>
    <col min="20" max="20" width="12" style="342" customWidth="1"/>
    <col min="21" max="21" width="9" style="190" bestFit="1" customWidth="1"/>
    <col min="22" max="22" width="8" style="190" bestFit="1" customWidth="1"/>
    <col min="23" max="23" width="8.28515625" style="218" bestFit="1" customWidth="1"/>
    <col min="24" max="24" width="11.42578125" style="170" bestFit="1" customWidth="1"/>
    <col min="25" max="25" width="9.140625" style="170"/>
    <col min="26" max="26" width="11.42578125" style="170" bestFit="1" customWidth="1"/>
    <col min="27" max="16384" width="9.140625" style="170"/>
  </cols>
  <sheetData>
    <row r="1" spans="1:42" ht="20.100000000000001" customHeight="1" x14ac:dyDescent="0.25">
      <c r="A1" s="346"/>
      <c r="B1" s="347" t="s">
        <v>86</v>
      </c>
      <c r="C1" s="346" t="s">
        <v>136</v>
      </c>
      <c r="D1" s="348" t="s">
        <v>138</v>
      </c>
      <c r="E1" s="348" t="s">
        <v>141</v>
      </c>
      <c r="F1" s="348" t="s">
        <v>154</v>
      </c>
      <c r="G1" s="348" t="s">
        <v>300</v>
      </c>
      <c r="H1" s="348" t="s">
        <v>299</v>
      </c>
      <c r="I1" s="346" t="s">
        <v>85</v>
      </c>
      <c r="J1" s="346" t="s">
        <v>87</v>
      </c>
      <c r="K1" s="346" t="s">
        <v>135</v>
      </c>
      <c r="L1" s="346" t="s">
        <v>137</v>
      </c>
      <c r="M1" s="349" t="s">
        <v>96</v>
      </c>
      <c r="N1" s="349" t="s">
        <v>76</v>
      </c>
      <c r="O1" s="346" t="s">
        <v>150</v>
      </c>
      <c r="P1" s="350" t="s">
        <v>191</v>
      </c>
      <c r="Q1" s="350" t="s">
        <v>192</v>
      </c>
      <c r="R1" s="350" t="s">
        <v>193</v>
      </c>
      <c r="S1" s="350" t="s">
        <v>220</v>
      </c>
      <c r="T1" s="350" t="s">
        <v>221</v>
      </c>
      <c r="U1" s="349" t="s">
        <v>227</v>
      </c>
      <c r="V1" s="349" t="s">
        <v>228</v>
      </c>
      <c r="W1" s="349" t="s">
        <v>301</v>
      </c>
      <c r="X1" s="219" t="s">
        <v>151</v>
      </c>
      <c r="Y1" s="168"/>
      <c r="Z1" s="169"/>
      <c r="AA1" s="168"/>
      <c r="AB1" s="169"/>
      <c r="AC1" s="169"/>
      <c r="AD1" s="167"/>
      <c r="AE1" s="167"/>
      <c r="AF1" s="167"/>
      <c r="AG1" s="167"/>
    </row>
    <row r="2" spans="1:42" ht="20.100000000000001" customHeight="1" x14ac:dyDescent="0.25">
      <c r="A2" s="167"/>
      <c r="B2" s="171">
        <v>42233</v>
      </c>
      <c r="C2" s="203">
        <v>2102.44</v>
      </c>
      <c r="D2" s="204"/>
      <c r="E2" s="204"/>
      <c r="F2" s="221">
        <v>5091.7</v>
      </c>
      <c r="G2" s="204"/>
      <c r="H2" s="204"/>
      <c r="I2" s="225">
        <v>322588.21000000002</v>
      </c>
      <c r="J2" s="173">
        <v>360000</v>
      </c>
      <c r="K2" s="174"/>
      <c r="L2" s="174"/>
      <c r="M2" s="172">
        <f t="shared" ref="M2:M29" si="0">I2-J2</f>
        <v>-37411.789999999979</v>
      </c>
      <c r="N2" s="188">
        <f t="shared" ref="N2:N29" si="1">M2/J2</f>
        <v>-0.10392163888888883</v>
      </c>
      <c r="O2" s="172" t="b">
        <f>L2&gt;D2</f>
        <v>0</v>
      </c>
      <c r="P2" s="188">
        <f>COUNTIF(O$2:O2, TRUE)/(COUNTIF(O$2:O2,FALSE) + COUNTIF(O$2:O2, TRUE))</f>
        <v>0</v>
      </c>
      <c r="Q2" s="343"/>
      <c r="R2" s="343"/>
      <c r="S2" s="343"/>
      <c r="T2" s="343"/>
      <c r="U2" s="188"/>
      <c r="V2" s="188"/>
      <c r="W2" s="172" t="e">
        <f>N2/V2</f>
        <v>#DIV/0!</v>
      </c>
      <c r="X2" s="341">
        <f>LOOKUP(2,1/(M:M&lt;&gt;""),M:M)</f>
        <v>30217.570000000007</v>
      </c>
      <c r="Y2" s="168"/>
      <c r="Z2" s="169"/>
      <c r="AA2" s="168"/>
      <c r="AB2" s="169"/>
      <c r="AC2" s="169"/>
      <c r="AD2" s="167"/>
      <c r="AE2" s="167"/>
      <c r="AF2" s="167"/>
      <c r="AG2" s="167"/>
    </row>
    <row r="3" spans="1:42" ht="20.100000000000001" customHeight="1" x14ac:dyDescent="0.25">
      <c r="A3" s="167"/>
      <c r="B3" s="171">
        <v>42234</v>
      </c>
      <c r="C3" s="205">
        <v>2096.92</v>
      </c>
      <c r="D3" s="175">
        <f>(C3-C2)/C2</f>
        <v>-2.6255208234242031E-3</v>
      </c>
      <c r="E3" s="206">
        <f>(C3-$C$2)/$C$2</f>
        <v>-2.6255208234242031E-3</v>
      </c>
      <c r="F3" s="222">
        <v>5059.3500000000004</v>
      </c>
      <c r="G3" s="175">
        <f t="shared" ref="G3:G66" si="2">(F3-F2)/F2</f>
        <v>-6.3534772276448836E-3</v>
      </c>
      <c r="H3" s="206">
        <f>(F3-F$2)/F$2</f>
        <v>-6.3534772276448836E-3</v>
      </c>
      <c r="I3" s="225">
        <v>319994.03000000003</v>
      </c>
      <c r="J3" s="173">
        <v>360000</v>
      </c>
      <c r="K3" s="173">
        <f t="shared" ref="K3:K28" si="3">I3-I2-J3+J2</f>
        <v>-2594.179999999993</v>
      </c>
      <c r="L3" s="175">
        <f>K3/I2</f>
        <v>-8.0417694124654861E-3</v>
      </c>
      <c r="M3" s="172">
        <f t="shared" si="0"/>
        <v>-40005.969999999972</v>
      </c>
      <c r="N3" s="188">
        <f t="shared" si="1"/>
        <v>-0.11112769444444437</v>
      </c>
      <c r="O3" s="172" t="b">
        <f>L3&gt;D3</f>
        <v>0</v>
      </c>
      <c r="P3" s="188">
        <f>COUNTIF(O$2:O3, TRUE)/(COUNTIF(O$2:O3,FALSE) + COUNTIF(O$2:O3, TRUE))</f>
        <v>0</v>
      </c>
      <c r="Q3" s="343"/>
      <c r="R3" s="343"/>
      <c r="S3" s="343"/>
      <c r="T3" s="343"/>
      <c r="U3" s="188"/>
      <c r="V3" s="188"/>
      <c r="W3" s="172" t="e">
        <f t="shared" ref="W3:W66" si="4">N3/V3</f>
        <v>#DIV/0!</v>
      </c>
      <c r="Y3" s="168"/>
      <c r="Z3" s="169"/>
      <c r="AA3" s="168"/>
      <c r="AB3" s="169"/>
      <c r="AC3" s="169"/>
      <c r="AD3" s="167"/>
      <c r="AE3" s="167"/>
      <c r="AF3" s="167"/>
      <c r="AG3" s="167"/>
    </row>
    <row r="4" spans="1:42" ht="20.100000000000001" customHeight="1" x14ac:dyDescent="0.25">
      <c r="A4" s="167"/>
      <c r="B4" s="171">
        <v>42235</v>
      </c>
      <c r="C4" s="205">
        <v>2079.61</v>
      </c>
      <c r="D4" s="175">
        <f t="shared" ref="D4:D67" si="5">(C4-C3)/C3</f>
        <v>-8.254964424012334E-3</v>
      </c>
      <c r="E4" s="206">
        <f t="shared" ref="E4:E43" si="6">(C4-$C$2)/$C$2</f>
        <v>-1.0858811666444668E-2</v>
      </c>
      <c r="F4" s="222">
        <v>5019.05</v>
      </c>
      <c r="G4" s="175">
        <f t="shared" si="2"/>
        <v>-7.9654501072272486E-3</v>
      </c>
      <c r="H4" s="206">
        <f t="shared" ref="H4:H66" si="7">(F4-F$2)/F$2</f>
        <v>-1.4268319029007923E-2</v>
      </c>
      <c r="I4" s="225">
        <v>311839.78000000003</v>
      </c>
      <c r="J4" s="173">
        <v>360000</v>
      </c>
      <c r="K4" s="173">
        <f t="shared" si="3"/>
        <v>-8154.25</v>
      </c>
      <c r="L4" s="175">
        <f t="shared" ref="L4:L67" si="8">K4/I3</f>
        <v>-2.5482506658014836E-2</v>
      </c>
      <c r="M4" s="172">
        <f t="shared" si="0"/>
        <v>-48160.219999999972</v>
      </c>
      <c r="N4" s="188">
        <f t="shared" si="1"/>
        <v>-0.13377838888888882</v>
      </c>
      <c r="O4" s="172" t="b">
        <f>L4&gt;D4</f>
        <v>0</v>
      </c>
      <c r="P4" s="188">
        <f>COUNTIF(O$2:O4, TRUE)/(COUNTIF(O$2:O4,FALSE) + COUNTIF(O$2:O4, TRUE))</f>
        <v>0</v>
      </c>
      <c r="Q4" s="343"/>
      <c r="R4" s="343"/>
      <c r="S4" s="343"/>
      <c r="T4" s="343"/>
      <c r="U4" s="188">
        <f>STDEV(D$2:D4)*SQRT(252)</f>
        <v>6.3190347694703594E-2</v>
      </c>
      <c r="V4" s="188">
        <f>STDEV(L$2:L4)*SQRT(252)</f>
        <v>0.19577179003677936</v>
      </c>
      <c r="W4" s="172">
        <f t="shared" si="4"/>
        <v>-0.68333843636897873</v>
      </c>
      <c r="X4" s="167"/>
      <c r="Y4" s="168"/>
      <c r="Z4" s="169"/>
      <c r="AA4" s="168"/>
      <c r="AB4" s="169"/>
      <c r="AC4" s="169"/>
      <c r="AD4" s="167"/>
      <c r="AE4" s="167"/>
      <c r="AF4" s="167"/>
      <c r="AG4" s="167"/>
    </row>
    <row r="5" spans="1:42" ht="20.100000000000001" customHeight="1" x14ac:dyDescent="0.25">
      <c r="A5" s="167"/>
      <c r="B5" s="171">
        <v>42236</v>
      </c>
      <c r="C5" s="205">
        <v>2035.73</v>
      </c>
      <c r="D5" s="175">
        <f t="shared" si="5"/>
        <v>-2.1100110116800797E-2</v>
      </c>
      <c r="E5" s="206">
        <f t="shared" si="6"/>
        <v>-3.1729799661345884E-2</v>
      </c>
      <c r="F5" s="222">
        <v>4877.49</v>
      </c>
      <c r="G5" s="175">
        <f t="shared" si="2"/>
        <v>-2.8204540699933334E-2</v>
      </c>
      <c r="H5" s="206">
        <f t="shared" si="7"/>
        <v>-4.2070428344167965E-2</v>
      </c>
      <c r="I5" s="225">
        <v>301697.40999999997</v>
      </c>
      <c r="J5" s="173">
        <v>360000</v>
      </c>
      <c r="K5" s="173">
        <f t="shared" si="3"/>
        <v>-10142.370000000054</v>
      </c>
      <c r="L5" s="175">
        <f t="shared" si="8"/>
        <v>-3.2524298214936055E-2</v>
      </c>
      <c r="M5" s="172">
        <f t="shared" si="0"/>
        <v>-58302.590000000026</v>
      </c>
      <c r="N5" s="188">
        <f t="shared" si="1"/>
        <v>-0.16195163888888897</v>
      </c>
      <c r="O5" s="172" t="b">
        <f>L5&gt;D5</f>
        <v>0</v>
      </c>
      <c r="P5" s="188">
        <f>COUNTIF(O$2:O5, TRUE)/(COUNTIF(O$2:O5,FALSE) + COUNTIF(O$2:O5, TRUE))</f>
        <v>0</v>
      </c>
      <c r="Q5" s="343"/>
      <c r="R5" s="343"/>
      <c r="S5" s="343"/>
      <c r="T5" s="343"/>
      <c r="U5" s="188">
        <f>STDEV(D$2:D5)*SQRT(252)</f>
        <v>0.15031949910961184</v>
      </c>
      <c r="V5" s="188">
        <f>STDEV(L$2:L5)*SQRT(252)</f>
        <v>0.20008182112239786</v>
      </c>
      <c r="W5" s="172">
        <f t="shared" si="4"/>
        <v>-0.80942705329444609</v>
      </c>
      <c r="X5" s="167"/>
      <c r="Y5" s="168"/>
      <c r="Z5" s="169"/>
      <c r="AA5" s="168"/>
      <c r="AB5" s="169"/>
      <c r="AC5" s="169"/>
      <c r="AD5" s="167"/>
      <c r="AE5" s="167"/>
      <c r="AF5" s="167"/>
      <c r="AG5" s="167"/>
    </row>
    <row r="6" spans="1:42" ht="20.100000000000001" customHeight="1" x14ac:dyDescent="0.25">
      <c r="A6" s="167"/>
      <c r="B6" s="171">
        <v>42237</v>
      </c>
      <c r="C6" s="205">
        <v>1970.89</v>
      </c>
      <c r="D6" s="175">
        <f t="shared" si="5"/>
        <v>-3.1850982202944356E-2</v>
      </c>
      <c r="E6" s="206">
        <f t="shared" si="6"/>
        <v>-6.2570156579973724E-2</v>
      </c>
      <c r="F6" s="222">
        <v>4706.04</v>
      </c>
      <c r="G6" s="175">
        <f t="shared" si="2"/>
        <v>-3.5151276578732057E-2</v>
      </c>
      <c r="H6" s="206">
        <f t="shared" si="7"/>
        <v>-7.5742875660388453E-2</v>
      </c>
      <c r="I6" s="225">
        <v>295093.56</v>
      </c>
      <c r="J6" s="173">
        <v>360000</v>
      </c>
      <c r="K6" s="173">
        <f t="shared" si="3"/>
        <v>-6603.8499999999767</v>
      </c>
      <c r="L6" s="175">
        <f t="shared" si="8"/>
        <v>-2.1888984728108792E-2</v>
      </c>
      <c r="M6" s="172">
        <f t="shared" si="0"/>
        <v>-64906.44</v>
      </c>
      <c r="N6" s="188">
        <f t="shared" si="1"/>
        <v>-0.18029566666666666</v>
      </c>
      <c r="O6" s="172" t="b">
        <f>L6&gt;D6</f>
        <v>1</v>
      </c>
      <c r="P6" s="188">
        <f>COUNTIF(O$2:O6, TRUE)/(COUNTIF(O$2:O6,FALSE) + COUNTIF(O$2:O6, TRUE))</f>
        <v>0.2</v>
      </c>
      <c r="Q6" s="343"/>
      <c r="R6" s="343"/>
      <c r="S6" s="343"/>
      <c r="T6" s="343"/>
      <c r="U6" s="188">
        <f>STDEV(D$2:D6)*SQRT(252)</f>
        <v>0.20821641331654633</v>
      </c>
      <c r="V6" s="188">
        <f>STDEV(L$2:L6)*SQRT(252)</f>
        <v>0.16336924292253127</v>
      </c>
      <c r="W6" s="172">
        <f t="shared" si="4"/>
        <v>-1.1036083869970665</v>
      </c>
      <c r="X6" s="167"/>
      <c r="Y6" s="168"/>
      <c r="Z6" s="169"/>
      <c r="AA6" s="168"/>
      <c r="AB6" s="169"/>
      <c r="AC6" s="169"/>
      <c r="AD6" s="167"/>
      <c r="AE6" s="167"/>
      <c r="AF6" s="167"/>
      <c r="AG6" s="167"/>
    </row>
    <row r="7" spans="1:42" ht="20.100000000000001" customHeight="1" x14ac:dyDescent="0.25">
      <c r="A7" s="167"/>
      <c r="B7" s="176">
        <v>42240</v>
      </c>
      <c r="C7" s="207">
        <v>1893.21</v>
      </c>
      <c r="D7" s="175">
        <f t="shared" si="5"/>
        <v>-3.9413665907280494E-2</v>
      </c>
      <c r="E7" s="208">
        <f t="shared" si="6"/>
        <v>-9.95177032400449E-2</v>
      </c>
      <c r="F7" s="223">
        <v>4526.25</v>
      </c>
      <c r="G7" s="175">
        <f t="shared" si="2"/>
        <v>-3.8204095162812035E-2</v>
      </c>
      <c r="H7" s="208">
        <f t="shared" si="7"/>
        <v>-0.11105328279356597</v>
      </c>
      <c r="I7" s="226">
        <v>283095.28999999998</v>
      </c>
      <c r="J7" s="177">
        <v>360000</v>
      </c>
      <c r="K7" s="177">
        <f t="shared" si="3"/>
        <v>-11998.270000000019</v>
      </c>
      <c r="L7" s="175">
        <f t="shared" si="8"/>
        <v>-4.0659206524195309E-2</v>
      </c>
      <c r="M7" s="178">
        <f t="shared" si="0"/>
        <v>-76904.710000000021</v>
      </c>
      <c r="N7" s="189">
        <f t="shared" si="1"/>
        <v>-0.2136241944444445</v>
      </c>
      <c r="O7" s="178" t="b">
        <f t="shared" ref="O7:O58" si="9">L7&gt;D7</f>
        <v>0</v>
      </c>
      <c r="P7" s="189">
        <f>COUNTIF(O$2:O7, TRUE)/(COUNTIF(O$2:O7,FALSE) + COUNTIF(O$2:O7, TRUE))</f>
        <v>0.16666666666666666</v>
      </c>
      <c r="Q7" s="344"/>
      <c r="R7" s="344"/>
      <c r="S7" s="344"/>
      <c r="T7" s="344"/>
      <c r="U7" s="189">
        <f>STDEV(D$2:D7)*SQRT(252)</f>
        <v>0.24544711494961968</v>
      </c>
      <c r="V7" s="189">
        <f>STDEV(L$2:L7)*SQRT(252)</f>
        <v>0.19389190476539761</v>
      </c>
      <c r="W7" s="178">
        <f t="shared" si="4"/>
        <v>-1.1017695385628516</v>
      </c>
      <c r="X7" s="167"/>
      <c r="Y7" s="168"/>
      <c r="Z7" s="169"/>
      <c r="AA7" s="168"/>
      <c r="AB7" s="169"/>
      <c r="AC7" s="169"/>
      <c r="AD7" s="167"/>
      <c r="AE7" s="167"/>
      <c r="AF7" s="167"/>
      <c r="AG7" s="167"/>
    </row>
    <row r="8" spans="1:42" ht="20.100000000000001" customHeight="1" x14ac:dyDescent="0.25">
      <c r="A8" s="167"/>
      <c r="B8" s="176">
        <v>42241</v>
      </c>
      <c r="C8" s="207">
        <v>1867.61</v>
      </c>
      <c r="D8" s="175">
        <f t="shared" si="5"/>
        <v>-1.3522007595565277E-2</v>
      </c>
      <c r="E8" s="208">
        <f t="shared" si="6"/>
        <v>-0.11169403169650509</v>
      </c>
      <c r="F8" s="223">
        <v>4506.49</v>
      </c>
      <c r="G8" s="175">
        <f t="shared" si="2"/>
        <v>-4.3656448494891397E-3</v>
      </c>
      <c r="H8" s="208">
        <f t="shared" si="7"/>
        <v>-0.11493410845100852</v>
      </c>
      <c r="I8" s="226">
        <v>276943.21000000002</v>
      </c>
      <c r="J8" s="177">
        <v>360000</v>
      </c>
      <c r="K8" s="177">
        <f t="shared" si="3"/>
        <v>-6152.0799999999581</v>
      </c>
      <c r="L8" s="175">
        <f t="shared" si="8"/>
        <v>-2.1731481297339698E-2</v>
      </c>
      <c r="M8" s="178">
        <f t="shared" si="0"/>
        <v>-83056.789999999979</v>
      </c>
      <c r="N8" s="189">
        <f t="shared" si="1"/>
        <v>-0.2307133055555555</v>
      </c>
      <c r="O8" s="178" t="b">
        <f t="shared" si="9"/>
        <v>0</v>
      </c>
      <c r="P8" s="189">
        <f>COUNTIF(O$2:O8, TRUE)/(COUNTIF(O$2:O8,FALSE) + COUNTIF(O$2:O8, TRUE))</f>
        <v>0.14285714285714285</v>
      </c>
      <c r="Q8" s="344"/>
      <c r="R8" s="344"/>
      <c r="S8" s="344"/>
      <c r="T8" s="344"/>
      <c r="U8" s="189">
        <f>STDEV(D$2:D8)*SQRT(252)</f>
        <v>0.22434082778798065</v>
      </c>
      <c r="V8" s="189">
        <f>STDEV(L$2:L8)*SQRT(252)</f>
        <v>0.17533735395795544</v>
      </c>
      <c r="W8" s="178">
        <f t="shared" si="4"/>
        <v>-1.3158251812724333</v>
      </c>
      <c r="X8" s="167"/>
      <c r="Y8" s="168"/>
      <c r="Z8" s="169"/>
      <c r="AA8" s="168"/>
      <c r="AB8" s="169"/>
      <c r="AC8" s="169"/>
      <c r="AD8" s="167"/>
      <c r="AE8" s="167"/>
      <c r="AF8" s="167"/>
      <c r="AG8" s="167"/>
      <c r="AP8" s="588"/>
    </row>
    <row r="9" spans="1:42" ht="20.100000000000001" customHeight="1" x14ac:dyDescent="0.25">
      <c r="A9" s="167"/>
      <c r="B9" s="176">
        <v>42242</v>
      </c>
      <c r="C9" s="207">
        <v>1940.51</v>
      </c>
      <c r="D9" s="175">
        <f t="shared" si="5"/>
        <v>3.9033845395987435E-2</v>
      </c>
      <c r="E9" s="208">
        <f t="shared" si="6"/>
        <v>-7.7020033865413548E-2</v>
      </c>
      <c r="F9" s="223">
        <v>4697.54</v>
      </c>
      <c r="G9" s="175">
        <f t="shared" si="2"/>
        <v>4.239441339046579E-2</v>
      </c>
      <c r="H9" s="208">
        <f t="shared" si="7"/>
        <v>-7.741225916687941E-2</v>
      </c>
      <c r="I9" s="226">
        <v>284832.2</v>
      </c>
      <c r="J9" s="177">
        <v>360000</v>
      </c>
      <c r="K9" s="177">
        <f t="shared" si="3"/>
        <v>7888.9899999999907</v>
      </c>
      <c r="L9" s="175">
        <f t="shared" si="8"/>
        <v>2.8485948436865412E-2</v>
      </c>
      <c r="M9" s="178">
        <f t="shared" si="0"/>
        <v>-75167.799999999988</v>
      </c>
      <c r="N9" s="189">
        <f t="shared" si="1"/>
        <v>-0.2087994444444444</v>
      </c>
      <c r="O9" s="178" t="b">
        <f t="shared" si="9"/>
        <v>0</v>
      </c>
      <c r="P9" s="189">
        <f>COUNTIF(O$2:O9, TRUE)/(COUNTIF(O$2:O9,FALSE) + COUNTIF(O$2:O9, TRUE))</f>
        <v>0.125</v>
      </c>
      <c r="Q9" s="344"/>
      <c r="R9" s="344"/>
      <c r="S9" s="344"/>
      <c r="T9" s="344"/>
      <c r="U9" s="189">
        <f>STDEV(D$2:D9)*SQRT(252)</f>
        <v>0.40635063731985605</v>
      </c>
      <c r="V9" s="189">
        <f>STDEV(L$2:L9)*SQRT(252)</f>
        <v>0.35891083910893234</v>
      </c>
      <c r="W9" s="178">
        <f t="shared" si="4"/>
        <v>-0.58175853636192942</v>
      </c>
      <c r="X9" s="167"/>
      <c r="Y9" s="168"/>
      <c r="Z9" s="169"/>
      <c r="AA9" s="168"/>
      <c r="AB9" s="169"/>
      <c r="AC9" s="169"/>
      <c r="AD9" s="167"/>
      <c r="AE9" s="167"/>
      <c r="AF9" s="167"/>
      <c r="AG9" s="167"/>
    </row>
    <row r="10" spans="1:42" ht="20.100000000000001" customHeight="1" x14ac:dyDescent="0.25">
      <c r="A10" s="167"/>
      <c r="B10" s="176">
        <v>42243</v>
      </c>
      <c r="C10" s="207">
        <v>1987.66</v>
      </c>
      <c r="D10" s="175">
        <f t="shared" si="5"/>
        <v>2.429773616214299E-2</v>
      </c>
      <c r="E10" s="208">
        <f t="shared" si="6"/>
        <v>-5.4593710165331696E-2</v>
      </c>
      <c r="F10" s="223">
        <v>4812.71</v>
      </c>
      <c r="G10" s="175">
        <f t="shared" si="2"/>
        <v>2.4517087667161978E-2</v>
      </c>
      <c r="H10" s="208">
        <f t="shared" si="7"/>
        <v>-5.4793094644224875E-2</v>
      </c>
      <c r="I10" s="226">
        <v>300742.98</v>
      </c>
      <c r="J10" s="177">
        <v>360000</v>
      </c>
      <c r="K10" s="177">
        <f t="shared" si="3"/>
        <v>15910.77999999997</v>
      </c>
      <c r="L10" s="175">
        <f t="shared" si="8"/>
        <v>5.5860187155806013E-2</v>
      </c>
      <c r="M10" s="178">
        <f t="shared" si="0"/>
        <v>-59257.020000000019</v>
      </c>
      <c r="N10" s="189">
        <f t="shared" si="1"/>
        <v>-0.16460283333333339</v>
      </c>
      <c r="O10" s="178" t="b">
        <f t="shared" si="9"/>
        <v>1</v>
      </c>
      <c r="P10" s="189">
        <f>COUNTIF(O$2:O10, TRUE)/(COUNTIF(O$2:O10,FALSE) + COUNTIF(O$2:O10, TRUE))</f>
        <v>0.22222222222222221</v>
      </c>
      <c r="Q10" s="344"/>
      <c r="R10" s="344"/>
      <c r="S10" s="344"/>
      <c r="T10" s="344"/>
      <c r="U10" s="189">
        <f>STDEV(D$2:D10)*SQRT(252)</f>
        <v>0.42545538355052082</v>
      </c>
      <c r="V10" s="189">
        <f>STDEV(L$2:L10)*SQRT(252)</f>
        <v>0.52868202794227925</v>
      </c>
      <c r="W10" s="178">
        <f t="shared" si="4"/>
        <v>-0.31134561916923059</v>
      </c>
      <c r="X10" s="167" t="s">
        <v>124</v>
      </c>
      <c r="Y10" s="168"/>
      <c r="Z10" s="169"/>
      <c r="AA10" s="168"/>
      <c r="AB10" s="169"/>
      <c r="AC10" s="169"/>
      <c r="AD10" s="167"/>
      <c r="AE10" s="167"/>
      <c r="AF10" s="167"/>
      <c r="AG10" s="167"/>
    </row>
    <row r="11" spans="1:42" ht="20.100000000000001" customHeight="1" x14ac:dyDescent="0.25">
      <c r="A11" s="167"/>
      <c r="B11" s="176">
        <v>42244</v>
      </c>
      <c r="C11" s="207">
        <v>1988.87</v>
      </c>
      <c r="D11" s="175">
        <f t="shared" si="5"/>
        <v>6.0875602467213154E-4</v>
      </c>
      <c r="E11" s="208">
        <f t="shared" si="6"/>
        <v>-5.401818839063191E-2</v>
      </c>
      <c r="F11" s="223">
        <v>4828.32</v>
      </c>
      <c r="G11" s="175">
        <f t="shared" si="2"/>
        <v>3.2434948293164709E-3</v>
      </c>
      <c r="H11" s="208">
        <f t="shared" si="7"/>
        <v>-5.1727320934069197E-2</v>
      </c>
      <c r="I11" s="226">
        <v>307941.06</v>
      </c>
      <c r="J11" s="177">
        <v>360000</v>
      </c>
      <c r="K11" s="177">
        <f t="shared" si="3"/>
        <v>7198.0800000000163</v>
      </c>
      <c r="L11" s="175">
        <f t="shared" si="8"/>
        <v>2.3934324252556174E-2</v>
      </c>
      <c r="M11" s="178">
        <f t="shared" si="0"/>
        <v>-52058.94</v>
      </c>
      <c r="N11" s="189">
        <f t="shared" si="1"/>
        <v>-0.14460816666666668</v>
      </c>
      <c r="O11" s="178" t="b">
        <f t="shared" si="9"/>
        <v>1</v>
      </c>
      <c r="P11" s="189">
        <f>COUNTIF(O$2:O11, TRUE)/(COUNTIF(O$2:O11,FALSE) + COUNTIF(O$2:O11, TRUE))</f>
        <v>0.3</v>
      </c>
      <c r="Q11" s="344"/>
      <c r="R11" s="344"/>
      <c r="S11" s="344"/>
      <c r="T11" s="344"/>
      <c r="U11" s="189">
        <f>STDEV(D$2:D11)*SQRT(252)</f>
        <v>0.39984128605241964</v>
      </c>
      <c r="V11" s="189">
        <f>STDEV(L$2:L11)*SQRT(252)</f>
        <v>0.52303521027280186</v>
      </c>
      <c r="W11" s="178">
        <f t="shared" si="4"/>
        <v>-0.27647883703898773</v>
      </c>
      <c r="X11" s="167"/>
      <c r="Y11" s="168"/>
      <c r="Z11" s="169"/>
      <c r="AA11" s="168"/>
      <c r="AB11" s="169"/>
      <c r="AC11" s="169"/>
      <c r="AD11" s="167"/>
      <c r="AE11" s="167"/>
      <c r="AF11" s="167"/>
      <c r="AG11" s="167"/>
    </row>
    <row r="12" spans="1:42" ht="20.100000000000001" customHeight="1" x14ac:dyDescent="0.25">
      <c r="A12" s="167"/>
      <c r="B12" s="171">
        <v>42247</v>
      </c>
      <c r="C12" s="205">
        <v>1972.18</v>
      </c>
      <c r="D12" s="175">
        <f t="shared" si="5"/>
        <v>-8.391699809439445E-3</v>
      </c>
      <c r="E12" s="206">
        <f t="shared" si="6"/>
        <v>-6.1956583778847427E-2</v>
      </c>
      <c r="F12" s="222">
        <v>4776.51</v>
      </c>
      <c r="G12" s="175">
        <f t="shared" si="2"/>
        <v>-1.0730440401630277E-2</v>
      </c>
      <c r="H12" s="206">
        <f t="shared" si="7"/>
        <v>-6.1902704401280442E-2</v>
      </c>
      <c r="I12" s="491">
        <v>311200.71000000002</v>
      </c>
      <c r="J12" s="173">
        <v>360000</v>
      </c>
      <c r="K12" s="173">
        <f t="shared" si="3"/>
        <v>3259.6500000000233</v>
      </c>
      <c r="L12" s="175">
        <f t="shared" si="8"/>
        <v>1.0585304863209938E-2</v>
      </c>
      <c r="M12" s="172">
        <f t="shared" si="0"/>
        <v>-48799.289999999979</v>
      </c>
      <c r="N12" s="188">
        <f t="shared" si="1"/>
        <v>-0.13555358333333328</v>
      </c>
      <c r="O12" s="172" t="b">
        <f t="shared" si="9"/>
        <v>1</v>
      </c>
      <c r="P12" s="188">
        <f>COUNTIF(O$2:O12, TRUE)/(COUNTIF(O$2:O12,FALSE) + COUNTIF(O$2:O12, TRUE))</f>
        <v>0.36363636363636365</v>
      </c>
      <c r="Q12" s="343"/>
      <c r="R12" s="343"/>
      <c r="S12" s="343"/>
      <c r="T12" s="343"/>
      <c r="U12" s="188">
        <f>STDEV(D$2:D12)*SQRT(252)</f>
        <v>0.37718652016375942</v>
      </c>
      <c r="V12" s="188">
        <f>STDEV(L$2:L12)*SQRT(252)</f>
        <v>0.49903486890486387</v>
      </c>
      <c r="W12" s="172">
        <f t="shared" si="4"/>
        <v>-0.27163148665504422</v>
      </c>
      <c r="X12" s="167"/>
      <c r="Y12" s="168"/>
      <c r="Z12" s="169"/>
      <c r="AA12" s="168"/>
      <c r="AB12" s="169"/>
      <c r="AC12" s="169"/>
      <c r="AD12" s="167"/>
      <c r="AE12" s="167"/>
      <c r="AF12" s="167"/>
      <c r="AG12" s="167"/>
    </row>
    <row r="13" spans="1:42" ht="20.100000000000001" customHeight="1" x14ac:dyDescent="0.25">
      <c r="A13" s="167"/>
      <c r="B13" s="171">
        <v>42248</v>
      </c>
      <c r="C13" s="205">
        <v>1913.85</v>
      </c>
      <c r="D13" s="175">
        <f t="shared" si="5"/>
        <v>-2.9576407832956501E-2</v>
      </c>
      <c r="E13" s="206">
        <f t="shared" si="6"/>
        <v>-8.9700538422023995E-2</v>
      </c>
      <c r="F13" s="222">
        <v>4636.1000000000004</v>
      </c>
      <c r="G13" s="175">
        <f t="shared" si="2"/>
        <v>-2.9395939713305289E-2</v>
      </c>
      <c r="H13" s="206">
        <f t="shared" si="7"/>
        <v>-8.9478955947915134E-2</v>
      </c>
      <c r="I13" s="225">
        <v>307440.78999999998</v>
      </c>
      <c r="J13" s="173">
        <v>365000</v>
      </c>
      <c r="K13" s="173">
        <f t="shared" si="3"/>
        <v>-8759.9200000000419</v>
      </c>
      <c r="L13" s="175">
        <f t="shared" si="8"/>
        <v>-2.8148778966474854E-2</v>
      </c>
      <c r="M13" s="172">
        <f t="shared" si="0"/>
        <v>-57559.210000000021</v>
      </c>
      <c r="N13" s="188">
        <f t="shared" si="1"/>
        <v>-0.15769646575342472</v>
      </c>
      <c r="O13" s="172" t="b">
        <f t="shared" si="9"/>
        <v>1</v>
      </c>
      <c r="P13" s="188">
        <f>COUNTIF(O$2:O13, TRUE)/(COUNTIF(O$2:O13,FALSE) + COUNTIF(O$2:O13, TRUE))</f>
        <v>0.41666666666666669</v>
      </c>
      <c r="Q13" s="343"/>
      <c r="R13" s="343"/>
      <c r="S13" s="343"/>
      <c r="T13" s="343"/>
      <c r="U13" s="188">
        <f>STDEV(D$2:D13)*SQRT(252)</f>
        <v>0.37502713989732378</v>
      </c>
      <c r="V13" s="188">
        <f>STDEV(L$2:L13)*SQRT(252)</f>
        <v>0.48831680410668976</v>
      </c>
      <c r="W13" s="172">
        <f t="shared" si="4"/>
        <v>-0.32293884713205662</v>
      </c>
      <c r="X13" s="167"/>
      <c r="Y13" s="168"/>
      <c r="Z13" s="169"/>
      <c r="AA13" s="168"/>
      <c r="AB13" s="169"/>
      <c r="AC13" s="169"/>
      <c r="AD13" s="167"/>
      <c r="AE13" s="167"/>
      <c r="AF13" s="167"/>
      <c r="AG13" s="167"/>
    </row>
    <row r="14" spans="1:42" ht="20.100000000000001" customHeight="1" x14ac:dyDescent="0.25">
      <c r="A14" s="167"/>
      <c r="B14" s="171">
        <v>42249</v>
      </c>
      <c r="C14" s="205">
        <v>1948.86</v>
      </c>
      <c r="D14" s="175">
        <f t="shared" si="5"/>
        <v>1.829296966846931E-2</v>
      </c>
      <c r="E14" s="206">
        <f t="shared" si="6"/>
        <v>-7.3048457982154147E-2</v>
      </c>
      <c r="F14" s="222">
        <v>4749.9799999999996</v>
      </c>
      <c r="G14" s="175">
        <f t="shared" si="2"/>
        <v>2.4563749703414333E-2</v>
      </c>
      <c r="H14" s="206">
        <f t="shared" si="7"/>
        <v>-6.7113144922128221E-2</v>
      </c>
      <c r="I14" s="225">
        <v>326031.94</v>
      </c>
      <c r="J14" s="173">
        <v>380000</v>
      </c>
      <c r="K14" s="173">
        <f t="shared" si="3"/>
        <v>3591.1500000000233</v>
      </c>
      <c r="L14" s="175">
        <f t="shared" si="8"/>
        <v>1.1680785753900852E-2</v>
      </c>
      <c r="M14" s="172">
        <f t="shared" si="0"/>
        <v>-53968.06</v>
      </c>
      <c r="N14" s="188">
        <f t="shared" si="1"/>
        <v>-0.14202121052631578</v>
      </c>
      <c r="O14" s="172" t="b">
        <f t="shared" si="9"/>
        <v>0</v>
      </c>
      <c r="P14" s="188">
        <f>COUNTIF(O$2:O14, TRUE)/(COUNTIF(O$2:O14,FALSE) + COUNTIF(O$2:O14, TRUE))</f>
        <v>0.38461538461538464</v>
      </c>
      <c r="Q14" s="343"/>
      <c r="R14" s="343"/>
      <c r="S14" s="343"/>
      <c r="T14" s="343"/>
      <c r="U14" s="188">
        <f>STDEV(D$2:D14)*SQRT(252)</f>
        <v>0.37770238456909672</v>
      </c>
      <c r="V14" s="188">
        <f>STDEV(L$2:L14)*SQRT(252)</f>
        <v>0.47214016149480637</v>
      </c>
      <c r="W14" s="172">
        <f t="shared" si="4"/>
        <v>-0.30080307101322079</v>
      </c>
      <c r="Y14" s="168"/>
      <c r="Z14" s="169"/>
      <c r="AA14" s="168"/>
      <c r="AB14" s="169"/>
      <c r="AC14" s="169"/>
      <c r="AD14" s="167"/>
      <c r="AE14" s="167"/>
      <c r="AF14" s="167"/>
      <c r="AG14" s="167"/>
    </row>
    <row r="15" spans="1:42" ht="20.100000000000001" customHeight="1" x14ac:dyDescent="0.25">
      <c r="A15" s="167"/>
      <c r="B15" s="171">
        <v>42250</v>
      </c>
      <c r="C15" s="205">
        <v>1951.13</v>
      </c>
      <c r="D15" s="175">
        <f t="shared" si="5"/>
        <v>1.1647835144649741E-3</v>
      </c>
      <c r="E15" s="206">
        <f t="shared" si="6"/>
        <v>-7.1968760107303867E-2</v>
      </c>
      <c r="F15" s="222">
        <v>4733.5</v>
      </c>
      <c r="G15" s="175">
        <f t="shared" si="2"/>
        <v>-3.469488292582193E-3</v>
      </c>
      <c r="H15" s="206">
        <f t="shared" si="7"/>
        <v>-7.0349784944124721E-2</v>
      </c>
      <c r="I15" s="225">
        <v>328219.34000000003</v>
      </c>
      <c r="J15" s="173">
        <v>380000</v>
      </c>
      <c r="K15" s="173">
        <f t="shared" si="3"/>
        <v>2187.4000000000233</v>
      </c>
      <c r="L15" s="175">
        <f t="shared" si="8"/>
        <v>6.7091586180176802E-3</v>
      </c>
      <c r="M15" s="172">
        <f t="shared" si="0"/>
        <v>-51780.659999999974</v>
      </c>
      <c r="N15" s="188">
        <f t="shared" si="1"/>
        <v>-0.13626489473684203</v>
      </c>
      <c r="O15" s="172" t="b">
        <f t="shared" si="9"/>
        <v>1</v>
      </c>
      <c r="P15" s="188">
        <f>COUNTIF(O$2:O15, TRUE)/(COUNTIF(O$2:O15,FALSE) + COUNTIF(O$2:O15, TRUE))</f>
        <v>0.42857142857142855</v>
      </c>
      <c r="Q15" s="343"/>
      <c r="R15" s="343"/>
      <c r="S15" s="343"/>
      <c r="T15" s="343"/>
      <c r="U15" s="188">
        <f>STDEV(D$2:D15)*SQRT(252)</f>
        <v>0.3630118196770083</v>
      </c>
      <c r="V15" s="188">
        <f>STDEV(L$2:L15)*SQRT(252)</f>
        <v>0.45448950679382538</v>
      </c>
      <c r="W15" s="172">
        <f t="shared" si="4"/>
        <v>-0.29981967174141433</v>
      </c>
      <c r="X15" s="167"/>
      <c r="Y15" s="168"/>
      <c r="Z15" s="169"/>
      <c r="AA15" s="168"/>
      <c r="AB15" s="169"/>
      <c r="AC15" s="169"/>
      <c r="AD15" s="167"/>
      <c r="AE15" s="167"/>
      <c r="AF15" s="167"/>
      <c r="AG15" s="167"/>
    </row>
    <row r="16" spans="1:42" ht="20.100000000000001" customHeight="1" x14ac:dyDescent="0.25">
      <c r="A16" s="167"/>
      <c r="B16" s="171">
        <v>42251</v>
      </c>
      <c r="C16" s="205">
        <v>1921.22</v>
      </c>
      <c r="D16" s="175">
        <f t="shared" si="5"/>
        <v>-1.5329578244402004E-2</v>
      </c>
      <c r="E16" s="206">
        <f t="shared" si="6"/>
        <v>-8.6195087612488355E-2</v>
      </c>
      <c r="F16" s="222">
        <v>4683.92</v>
      </c>
      <c r="G16" s="175">
        <f t="shared" si="2"/>
        <v>-1.0474279074680454E-2</v>
      </c>
      <c r="H16" s="206">
        <f t="shared" si="7"/>
        <v>-8.0087200738456654E-2</v>
      </c>
      <c r="I16" s="225">
        <v>324929.40000000002</v>
      </c>
      <c r="J16" s="173">
        <v>380000</v>
      </c>
      <c r="K16" s="173">
        <f t="shared" si="3"/>
        <v>-3289.9400000000023</v>
      </c>
      <c r="L16" s="175">
        <f t="shared" si="8"/>
        <v>-1.0023601899875863E-2</v>
      </c>
      <c r="M16" s="172">
        <f t="shared" si="0"/>
        <v>-55070.599999999977</v>
      </c>
      <c r="N16" s="188">
        <f t="shared" si="1"/>
        <v>-0.1449226315789473</v>
      </c>
      <c r="O16" s="172" t="b">
        <f t="shared" si="9"/>
        <v>1</v>
      </c>
      <c r="P16" s="188">
        <f>COUNTIF(O$2:O16, TRUE)/(COUNTIF(O$2:O16,FALSE) + COUNTIF(O$2:O16, TRUE))</f>
        <v>0.46666666666666667</v>
      </c>
      <c r="Q16" s="343"/>
      <c r="R16" s="343"/>
      <c r="S16" s="343"/>
      <c r="T16" s="343"/>
      <c r="U16" s="188">
        <f>STDEV(D$2:D16)*SQRT(252)</f>
        <v>0.35126122417304334</v>
      </c>
      <c r="V16" s="188">
        <f>STDEV(L$2:L16)*SQRT(252)</f>
        <v>0.43762621603032426</v>
      </c>
      <c r="W16" s="172">
        <f t="shared" si="4"/>
        <v>-0.33115619282027942</v>
      </c>
      <c r="X16" s="167"/>
      <c r="Y16" s="168"/>
      <c r="Z16" s="169"/>
      <c r="AA16" s="168"/>
      <c r="AB16" s="169"/>
      <c r="AC16" s="169"/>
      <c r="AD16" s="167"/>
      <c r="AE16" s="167"/>
      <c r="AF16" s="167"/>
      <c r="AG16" s="167"/>
    </row>
    <row r="17" spans="1:33" ht="20.100000000000001" customHeight="1" x14ac:dyDescent="0.25">
      <c r="A17" s="167"/>
      <c r="B17" s="176">
        <v>42255</v>
      </c>
      <c r="C17" s="207">
        <v>1969.41</v>
      </c>
      <c r="D17" s="175">
        <f t="shared" si="5"/>
        <v>2.5083020164270647E-2</v>
      </c>
      <c r="E17" s="208">
        <f t="shared" si="6"/>
        <v>-6.3274100568862832E-2</v>
      </c>
      <c r="F17" s="223">
        <v>4811.93</v>
      </c>
      <c r="G17" s="175">
        <f t="shared" si="2"/>
        <v>2.7329672581939961E-2</v>
      </c>
      <c r="H17" s="208">
        <f t="shared" si="7"/>
        <v>-5.4946285130702821E-2</v>
      </c>
      <c r="I17" s="226">
        <v>331613.90000000002</v>
      </c>
      <c r="J17" s="177">
        <v>380000</v>
      </c>
      <c r="K17" s="177">
        <f t="shared" si="3"/>
        <v>6684.5</v>
      </c>
      <c r="L17" s="175">
        <f t="shared" si="8"/>
        <v>2.0572161214097585E-2</v>
      </c>
      <c r="M17" s="178">
        <f t="shared" si="0"/>
        <v>-48386.099999999977</v>
      </c>
      <c r="N17" s="189">
        <f t="shared" si="1"/>
        <v>-0.1273318421052631</v>
      </c>
      <c r="O17" s="178" t="b">
        <f t="shared" si="9"/>
        <v>0</v>
      </c>
      <c r="P17" s="189">
        <f>COUNTIF(O$2:O17, TRUE)/(COUNTIF(O$2:O17,FALSE) + COUNTIF(O$2:O17, TRUE))</f>
        <v>0.4375</v>
      </c>
      <c r="Q17" s="344"/>
      <c r="R17" s="344"/>
      <c r="S17" s="344"/>
      <c r="T17" s="344"/>
      <c r="U17" s="189">
        <f>STDEV(D$2:D17)*SQRT(252)</f>
        <v>0.36194228365900932</v>
      </c>
      <c r="V17" s="189">
        <f>STDEV(L$2:L17)*SQRT(252)</f>
        <v>0.43324605788841486</v>
      </c>
      <c r="W17" s="178">
        <f t="shared" si="4"/>
        <v>-0.29390190582659192</v>
      </c>
      <c r="X17" s="167"/>
      <c r="Y17" s="168"/>
      <c r="Z17" s="169"/>
      <c r="AA17" s="168"/>
      <c r="AB17" s="169"/>
      <c r="AC17" s="169"/>
      <c r="AD17" s="167"/>
      <c r="AE17" s="167"/>
      <c r="AF17" s="167"/>
      <c r="AG17" s="167"/>
    </row>
    <row r="18" spans="1:33" ht="20.100000000000001" customHeight="1" x14ac:dyDescent="0.25">
      <c r="A18" s="167"/>
      <c r="B18" s="176">
        <v>42256</v>
      </c>
      <c r="C18" s="207">
        <v>1942.04</v>
      </c>
      <c r="D18" s="175">
        <f t="shared" si="5"/>
        <v>-1.3897563229596741E-2</v>
      </c>
      <c r="E18" s="208">
        <f t="shared" si="6"/>
        <v>-7.629230798500794E-2</v>
      </c>
      <c r="F18" s="223">
        <v>4756.53</v>
      </c>
      <c r="G18" s="175">
        <f t="shared" si="2"/>
        <v>-1.1513051935502084E-2</v>
      </c>
      <c r="H18" s="208">
        <f t="shared" si="7"/>
        <v>-6.5826737631832208E-2</v>
      </c>
      <c r="I18" s="226">
        <v>321792.48</v>
      </c>
      <c r="J18" s="177">
        <v>380000</v>
      </c>
      <c r="K18" s="177">
        <f t="shared" si="3"/>
        <v>-9821.4200000000419</v>
      </c>
      <c r="L18" s="175">
        <f t="shared" si="8"/>
        <v>-2.9617033544130814E-2</v>
      </c>
      <c r="M18" s="178">
        <f t="shared" si="0"/>
        <v>-58207.520000000019</v>
      </c>
      <c r="N18" s="189">
        <f t="shared" si="1"/>
        <v>-0.15317768421052635</v>
      </c>
      <c r="O18" s="178" t="b">
        <f t="shared" si="9"/>
        <v>0</v>
      </c>
      <c r="P18" s="189">
        <f>COUNTIF(O$2:O18, TRUE)/(COUNTIF(O$2:O18,FALSE) + COUNTIF(O$2:O18, TRUE))</f>
        <v>0.41176470588235292</v>
      </c>
      <c r="Q18" s="344"/>
      <c r="R18" s="344"/>
      <c r="S18" s="344"/>
      <c r="T18" s="344"/>
      <c r="U18" s="189">
        <f>STDEV(D$2:D18)*SQRT(252)</f>
        <v>0.35182224095506454</v>
      </c>
      <c r="V18" s="189">
        <f>STDEV(L$2:L18)*SQRT(252)</f>
        <v>0.43262248943141224</v>
      </c>
      <c r="W18" s="178">
        <f t="shared" si="4"/>
        <v>-0.35406777953648449</v>
      </c>
      <c r="X18" s="167"/>
      <c r="Y18" s="168"/>
      <c r="Z18" s="169"/>
      <c r="AA18" s="168"/>
      <c r="AB18" s="169"/>
      <c r="AC18" s="169"/>
      <c r="AD18" s="167"/>
      <c r="AE18" s="167"/>
      <c r="AF18" s="167"/>
      <c r="AG18" s="167"/>
    </row>
    <row r="19" spans="1:33" ht="20.100000000000001" customHeight="1" x14ac:dyDescent="0.25">
      <c r="A19" s="167"/>
      <c r="B19" s="176">
        <v>42257</v>
      </c>
      <c r="C19" s="207">
        <v>1952.29</v>
      </c>
      <c r="D19" s="175">
        <f t="shared" si="5"/>
        <v>5.2779551399559227E-3</v>
      </c>
      <c r="E19" s="208">
        <f t="shared" si="6"/>
        <v>-7.1417020224120581E-2</v>
      </c>
      <c r="F19" s="223">
        <v>4796.25</v>
      </c>
      <c r="G19" s="175">
        <f t="shared" si="2"/>
        <v>8.3506253508335397E-3</v>
      </c>
      <c r="H19" s="208">
        <f t="shared" si="7"/>
        <v>-5.8025806705029721E-2</v>
      </c>
      <c r="I19" s="226">
        <v>323389.99</v>
      </c>
      <c r="J19" s="177">
        <v>380000</v>
      </c>
      <c r="K19" s="177">
        <f t="shared" si="3"/>
        <v>1597.5100000000093</v>
      </c>
      <c r="L19" s="175">
        <f t="shared" si="8"/>
        <v>4.9644106040017139E-3</v>
      </c>
      <c r="M19" s="178">
        <f t="shared" si="0"/>
        <v>-56610.010000000009</v>
      </c>
      <c r="N19" s="189">
        <f t="shared" si="1"/>
        <v>-0.14897371052631581</v>
      </c>
      <c r="O19" s="178" t="b">
        <f t="shared" si="9"/>
        <v>0</v>
      </c>
      <c r="P19" s="189">
        <f>COUNTIF(O$2:O19, TRUE)/(COUNTIF(O$2:O19,FALSE) + COUNTIF(O$2:O19, TRUE))</f>
        <v>0.3888888888888889</v>
      </c>
      <c r="Q19" s="344"/>
      <c r="R19" s="344"/>
      <c r="S19" s="344"/>
      <c r="T19" s="344"/>
      <c r="U19" s="189">
        <f>STDEV(D$2:D19)*SQRT(252)</f>
        <v>0.34281735693264087</v>
      </c>
      <c r="V19" s="189">
        <f>STDEV(L$2:L19)*SQRT(252)</f>
        <v>0.42023205119752755</v>
      </c>
      <c r="W19" s="178">
        <f t="shared" si="4"/>
        <v>-0.35450344661190919</v>
      </c>
      <c r="X19" s="167"/>
      <c r="Y19" s="168"/>
      <c r="Z19" s="169"/>
      <c r="AA19" s="168"/>
      <c r="AB19" s="169"/>
      <c r="AC19" s="169"/>
      <c r="AD19" s="167"/>
      <c r="AE19" s="167"/>
      <c r="AF19" s="167"/>
      <c r="AG19" s="167"/>
    </row>
    <row r="20" spans="1:33" ht="20.100000000000001" customHeight="1" x14ac:dyDescent="0.25">
      <c r="A20" s="167"/>
      <c r="B20" s="176">
        <v>42258</v>
      </c>
      <c r="C20" s="207">
        <v>1961.05</v>
      </c>
      <c r="D20" s="175">
        <f t="shared" si="5"/>
        <v>4.4870382986134183E-3</v>
      </c>
      <c r="E20" s="208">
        <f t="shared" si="6"/>
        <v>-6.7250432830425644E-2</v>
      </c>
      <c r="F20" s="223">
        <v>4822.34</v>
      </c>
      <c r="G20" s="175">
        <f t="shared" si="2"/>
        <v>5.4396664060464206E-3</v>
      </c>
      <c r="H20" s="208">
        <f t="shared" si="7"/>
        <v>-5.2901781330400396E-2</v>
      </c>
      <c r="I20" s="226">
        <v>323039.64</v>
      </c>
      <c r="J20" s="177">
        <v>380000</v>
      </c>
      <c r="K20" s="177">
        <f t="shared" si="3"/>
        <v>-350.34999999997672</v>
      </c>
      <c r="L20" s="175">
        <f t="shared" si="8"/>
        <v>-1.0833668661172126E-3</v>
      </c>
      <c r="M20" s="178">
        <f t="shared" si="0"/>
        <v>-56960.359999999986</v>
      </c>
      <c r="N20" s="189">
        <f t="shared" si="1"/>
        <v>-0.14989568421052629</v>
      </c>
      <c r="O20" s="178" t="b">
        <f t="shared" si="9"/>
        <v>0</v>
      </c>
      <c r="P20" s="189">
        <f>COUNTIF(O$2:O20, TRUE)/(COUNTIF(O$2:O20,FALSE) + COUNTIF(O$2:O20, TRUE))</f>
        <v>0.36842105263157893</v>
      </c>
      <c r="Q20" s="344"/>
      <c r="R20" s="344"/>
      <c r="S20" s="344"/>
      <c r="T20" s="344"/>
      <c r="U20" s="189">
        <f>STDEV(D$2:D20)*SQRT(252)</f>
        <v>0.33414073790213511</v>
      </c>
      <c r="V20" s="189">
        <f>STDEV(L$2:L20)*SQRT(252)</f>
        <v>0.40776589668846686</v>
      </c>
      <c r="W20" s="178">
        <f t="shared" si="4"/>
        <v>-0.36760230668590366</v>
      </c>
      <c r="X20" s="167"/>
      <c r="Y20" s="168"/>
      <c r="Z20" s="169"/>
      <c r="AA20" s="168"/>
      <c r="AB20" s="169"/>
      <c r="AC20" s="169"/>
      <c r="AD20" s="167"/>
      <c r="AE20" s="167"/>
      <c r="AF20" s="167"/>
      <c r="AG20" s="167"/>
    </row>
    <row r="21" spans="1:33" ht="20.100000000000001" customHeight="1" x14ac:dyDescent="0.25">
      <c r="A21" s="167"/>
      <c r="B21" s="171">
        <v>42261</v>
      </c>
      <c r="C21" s="205">
        <v>1953.03</v>
      </c>
      <c r="D21" s="175">
        <f t="shared" si="5"/>
        <v>-4.0896458529869114E-3</v>
      </c>
      <c r="E21" s="206">
        <f t="shared" si="6"/>
        <v>-7.1065048229676034E-2</v>
      </c>
      <c r="F21" s="222">
        <v>4805.76</v>
      </c>
      <c r="G21" s="175">
        <f t="shared" si="2"/>
        <v>-3.4381648743141147E-3</v>
      </c>
      <c r="H21" s="206">
        <f t="shared" si="7"/>
        <v>-5.6158061158355678E-2</v>
      </c>
      <c r="I21" s="225">
        <v>326015.75</v>
      </c>
      <c r="J21" s="173">
        <v>380000</v>
      </c>
      <c r="K21" s="173">
        <f t="shared" si="3"/>
        <v>2976.109999999986</v>
      </c>
      <c r="L21" s="175">
        <f t="shared" si="8"/>
        <v>9.2128322084558591E-3</v>
      </c>
      <c r="M21" s="172">
        <f t="shared" si="0"/>
        <v>-53984.25</v>
      </c>
      <c r="N21" s="188">
        <f t="shared" si="1"/>
        <v>-0.14206381578947369</v>
      </c>
      <c r="O21" s="172" t="b">
        <f t="shared" si="9"/>
        <v>1</v>
      </c>
      <c r="P21" s="188">
        <f>COUNTIF(O$2:O21, TRUE)/(COUNTIF(O$2:O21,FALSE) + COUNTIF(O$2:O21, TRUE))</f>
        <v>0.4</v>
      </c>
      <c r="Q21" s="343"/>
      <c r="R21" s="343"/>
      <c r="S21" s="343"/>
      <c r="T21" s="343"/>
      <c r="U21" s="188">
        <f>STDEV(D$2:D21)*SQRT(252)</f>
        <v>0.3247303591191491</v>
      </c>
      <c r="V21" s="188">
        <f>STDEV(L$2:L21)*SQRT(252)</f>
        <v>0.39882009643497413</v>
      </c>
      <c r="W21" s="172">
        <f t="shared" si="4"/>
        <v>-0.35621027390387933</v>
      </c>
      <c r="X21" s="167"/>
      <c r="Y21" s="168"/>
      <c r="Z21" s="169"/>
      <c r="AA21" s="168"/>
      <c r="AB21" s="169"/>
      <c r="AC21" s="169"/>
      <c r="AD21" s="167"/>
      <c r="AE21" s="167"/>
      <c r="AF21" s="167"/>
      <c r="AG21" s="167"/>
    </row>
    <row r="22" spans="1:33" ht="20.100000000000001" customHeight="1" x14ac:dyDescent="0.25">
      <c r="A22" s="179"/>
      <c r="B22" s="171">
        <v>42262</v>
      </c>
      <c r="C22" s="205">
        <v>1978.09</v>
      </c>
      <c r="D22" s="175">
        <f t="shared" si="5"/>
        <v>1.2831344116577803E-2</v>
      </c>
      <c r="E22" s="206">
        <f t="shared" si="6"/>
        <v>-5.9145564201594399E-2</v>
      </c>
      <c r="F22" s="222">
        <v>4860.5200000000004</v>
      </c>
      <c r="G22" s="175">
        <f t="shared" si="2"/>
        <v>1.1394659741643406E-2</v>
      </c>
      <c r="H22" s="206">
        <f t="shared" si="7"/>
        <v>-4.540330341536214E-2</v>
      </c>
      <c r="I22" s="225">
        <v>328528.74</v>
      </c>
      <c r="J22" s="173">
        <v>380000</v>
      </c>
      <c r="K22" s="173">
        <f t="shared" si="3"/>
        <v>2512.9899999999907</v>
      </c>
      <c r="L22" s="175">
        <f t="shared" si="8"/>
        <v>7.7081858775227595E-3</v>
      </c>
      <c r="M22" s="172">
        <f t="shared" si="0"/>
        <v>-51471.260000000009</v>
      </c>
      <c r="N22" s="188">
        <f t="shared" si="1"/>
        <v>-0.13545068421052633</v>
      </c>
      <c r="O22" s="172" t="b">
        <f t="shared" si="9"/>
        <v>0</v>
      </c>
      <c r="P22" s="188">
        <f>COUNTIF(O$2:O22, TRUE)/(COUNTIF(O$2:O22,FALSE) + COUNTIF(O$2:O22, TRUE))</f>
        <v>0.38095238095238093</v>
      </c>
      <c r="Q22" s="343"/>
      <c r="R22" s="343"/>
      <c r="S22" s="343"/>
      <c r="T22" s="343"/>
      <c r="U22" s="188">
        <f>STDEV(D$2:D22)*SQRT(252)</f>
        <v>0.32145355759875488</v>
      </c>
      <c r="V22" s="188">
        <f>STDEV(L$2:L22)*SQRT(252)</f>
        <v>0.38986525703766828</v>
      </c>
      <c r="W22" s="172">
        <f t="shared" si="4"/>
        <v>-0.34742948176436061</v>
      </c>
      <c r="X22" s="167"/>
      <c r="Y22" s="168"/>
      <c r="Z22" s="169"/>
      <c r="AA22" s="168"/>
      <c r="AB22" s="169"/>
      <c r="AC22" s="169"/>
      <c r="AD22" s="167"/>
      <c r="AE22" s="167"/>
      <c r="AF22" s="167"/>
      <c r="AG22" s="167"/>
    </row>
    <row r="23" spans="1:33" ht="20.100000000000001" customHeight="1" x14ac:dyDescent="0.25">
      <c r="A23" s="179"/>
      <c r="B23" s="171">
        <v>42263</v>
      </c>
      <c r="C23" s="205">
        <v>1995.31</v>
      </c>
      <c r="D23" s="175">
        <f t="shared" si="5"/>
        <v>8.7053672987579076E-3</v>
      </c>
      <c r="E23" s="206">
        <f t="shared" si="6"/>
        <v>-5.0955080763303642E-2</v>
      </c>
      <c r="F23" s="222">
        <v>4889.24</v>
      </c>
      <c r="G23" s="175">
        <f t="shared" si="2"/>
        <v>5.908832799782604E-3</v>
      </c>
      <c r="H23" s="206">
        <f t="shared" si="7"/>
        <v>-3.9762751144018706E-2</v>
      </c>
      <c r="I23" s="225">
        <v>333204.93</v>
      </c>
      <c r="J23" s="173">
        <v>380000</v>
      </c>
      <c r="K23" s="173">
        <f t="shared" si="3"/>
        <v>4676.1900000000023</v>
      </c>
      <c r="L23" s="175">
        <f t="shared" si="8"/>
        <v>1.4233731879895812E-2</v>
      </c>
      <c r="M23" s="172">
        <f t="shared" si="0"/>
        <v>-46795.070000000007</v>
      </c>
      <c r="N23" s="188">
        <f t="shared" si="1"/>
        <v>-0.1231449210526316</v>
      </c>
      <c r="O23" s="172" t="b">
        <f t="shared" si="9"/>
        <v>1</v>
      </c>
      <c r="P23" s="188">
        <f>COUNTIF(O$2:O23, TRUE)/(COUNTIF(O$2:O23,FALSE) + COUNTIF(O$2:O23, TRUE))</f>
        <v>0.40909090909090912</v>
      </c>
      <c r="Q23" s="343"/>
      <c r="R23" s="343"/>
      <c r="S23" s="343"/>
      <c r="T23" s="343"/>
      <c r="U23" s="188">
        <f>STDEV(D$2:D23)*SQRT(252)</f>
        <v>0.31586031332458192</v>
      </c>
      <c r="V23" s="188">
        <f>STDEV(L$2:L23)*SQRT(252)</f>
        <v>0.38411926521956707</v>
      </c>
      <c r="W23" s="172">
        <f t="shared" si="4"/>
        <v>-0.32059032754381772</v>
      </c>
      <c r="X23" s="167"/>
      <c r="Y23" s="168"/>
      <c r="Z23" s="169"/>
      <c r="AA23" s="168"/>
      <c r="AB23" s="169"/>
      <c r="AC23" s="169"/>
      <c r="AD23" s="167"/>
      <c r="AE23" s="167"/>
      <c r="AF23" s="167"/>
      <c r="AG23" s="167"/>
    </row>
    <row r="24" spans="1:33" ht="20.100000000000001" customHeight="1" x14ac:dyDescent="0.25">
      <c r="A24" s="179"/>
      <c r="B24" s="171">
        <v>42264</v>
      </c>
      <c r="C24" s="205">
        <v>1990.2</v>
      </c>
      <c r="D24" s="175">
        <f t="shared" si="5"/>
        <v>-2.5610055580335385E-3</v>
      </c>
      <c r="E24" s="206">
        <f t="shared" si="6"/>
        <v>-5.3385590076292309E-2</v>
      </c>
      <c r="F24" s="222">
        <v>4893.95</v>
      </c>
      <c r="G24" s="175">
        <f t="shared" si="2"/>
        <v>9.6333990558860607E-4</v>
      </c>
      <c r="H24" s="206">
        <f t="shared" si="7"/>
        <v>-3.8837716283363119E-2</v>
      </c>
      <c r="I24" s="225">
        <v>333913.03999999998</v>
      </c>
      <c r="J24" s="173">
        <v>380000</v>
      </c>
      <c r="K24" s="173">
        <f t="shared" si="3"/>
        <v>708.10999999998603</v>
      </c>
      <c r="L24" s="175">
        <f t="shared" si="8"/>
        <v>2.1251486285031439E-3</v>
      </c>
      <c r="M24" s="172">
        <f t="shared" si="0"/>
        <v>-46086.960000000021</v>
      </c>
      <c r="N24" s="188">
        <f t="shared" si="1"/>
        <v>-0.12128147368421058</v>
      </c>
      <c r="O24" s="172" t="b">
        <f t="shared" si="9"/>
        <v>1</v>
      </c>
      <c r="P24" s="188">
        <f>COUNTIF(O$2:O24, TRUE)/(COUNTIF(O$2:O24,FALSE) + COUNTIF(O$2:O24, TRUE))</f>
        <v>0.43478260869565216</v>
      </c>
      <c r="Q24" s="343"/>
      <c r="R24" s="343"/>
      <c r="S24" s="343"/>
      <c r="T24" s="343"/>
      <c r="U24" s="188">
        <f>STDEV(D$2:D24)*SQRT(252)</f>
        <v>0.30824938276419228</v>
      </c>
      <c r="V24" s="188">
        <f>STDEV(L$2:L24)*SQRT(252)</f>
        <v>0.37503116894241934</v>
      </c>
      <c r="W24" s="172">
        <f t="shared" si="4"/>
        <v>-0.32339038386121877</v>
      </c>
      <c r="X24" s="167"/>
      <c r="Y24" s="168"/>
      <c r="Z24" s="169"/>
      <c r="AA24" s="168"/>
      <c r="AB24" s="169"/>
      <c r="AC24" s="169"/>
      <c r="AD24" s="167"/>
      <c r="AE24" s="167"/>
      <c r="AF24" s="167"/>
      <c r="AG24" s="167"/>
    </row>
    <row r="25" spans="1:33" ht="20.100000000000001" customHeight="1" x14ac:dyDescent="0.25">
      <c r="A25" s="179"/>
      <c r="B25" s="171">
        <v>42265</v>
      </c>
      <c r="C25" s="205">
        <v>1958.08</v>
      </c>
      <c r="D25" s="175">
        <f t="shared" si="5"/>
        <v>-1.6139081499346859E-2</v>
      </c>
      <c r="E25" s="206">
        <f t="shared" si="6"/>
        <v>-6.866307718650716E-2</v>
      </c>
      <c r="F25" s="222">
        <v>4827.2299999999996</v>
      </c>
      <c r="G25" s="175">
        <f t="shared" si="2"/>
        <v>-1.3633159308942726E-2</v>
      </c>
      <c r="H25" s="206">
        <f t="shared" si="7"/>
        <v>-5.1941394819019243E-2</v>
      </c>
      <c r="I25" s="225">
        <v>334619.5</v>
      </c>
      <c r="J25" s="173">
        <v>390000</v>
      </c>
      <c r="K25" s="173">
        <f t="shared" si="3"/>
        <v>-9293.539999999979</v>
      </c>
      <c r="L25" s="175">
        <f t="shared" si="8"/>
        <v>-2.7832216435752195E-2</v>
      </c>
      <c r="M25" s="172">
        <f t="shared" si="0"/>
        <v>-55380.5</v>
      </c>
      <c r="N25" s="188">
        <f t="shared" si="1"/>
        <v>-0.14200128205128204</v>
      </c>
      <c r="O25" s="172" t="b">
        <f t="shared" si="9"/>
        <v>0</v>
      </c>
      <c r="P25" s="188">
        <f>COUNTIF(O$2:O25, TRUE)/(COUNTIF(O$2:O25,FALSE) + COUNTIF(O$2:O25, TRUE))</f>
        <v>0.41666666666666669</v>
      </c>
      <c r="Q25" s="343"/>
      <c r="R25" s="343"/>
      <c r="S25" s="343"/>
      <c r="T25" s="343"/>
      <c r="U25" s="188">
        <f>STDEV(D$2:D25)*SQRT(252)</f>
        <v>0.30462094080099172</v>
      </c>
      <c r="V25" s="188">
        <f>STDEV(L$2:L25)*SQRT(252)</f>
        <v>0.37697940519041084</v>
      </c>
      <c r="W25" s="172">
        <f t="shared" si="4"/>
        <v>-0.37668180302729731</v>
      </c>
      <c r="X25" s="167"/>
      <c r="Y25" s="168"/>
      <c r="Z25" s="169"/>
      <c r="AA25" s="168"/>
      <c r="AB25" s="169"/>
      <c r="AC25" s="169"/>
      <c r="AD25" s="167"/>
      <c r="AE25" s="167"/>
      <c r="AF25" s="167"/>
      <c r="AG25" s="167"/>
    </row>
    <row r="26" spans="1:33" ht="20.100000000000001" customHeight="1" x14ac:dyDescent="0.25">
      <c r="A26" s="179"/>
      <c r="B26" s="176">
        <v>42268</v>
      </c>
      <c r="C26" s="207">
        <v>1966.97</v>
      </c>
      <c r="D26" s="175">
        <f t="shared" si="5"/>
        <v>4.5401617911423947E-3</v>
      </c>
      <c r="E26" s="208">
        <f t="shared" si="6"/>
        <v>-6.4434656874869212E-2</v>
      </c>
      <c r="F26" s="223">
        <v>4828.95</v>
      </c>
      <c r="G26" s="175">
        <f t="shared" si="2"/>
        <v>3.5631200502156618E-4</v>
      </c>
      <c r="H26" s="208">
        <f t="shared" si="7"/>
        <v>-5.1603590156529253E-2</v>
      </c>
      <c r="I26" s="226">
        <v>336797.05</v>
      </c>
      <c r="J26" s="177">
        <v>390000</v>
      </c>
      <c r="K26" s="177">
        <f t="shared" si="3"/>
        <v>2177.5499999999884</v>
      </c>
      <c r="L26" s="175">
        <f t="shared" si="8"/>
        <v>6.5075406543850202E-3</v>
      </c>
      <c r="M26" s="178">
        <f t="shared" si="0"/>
        <v>-53202.950000000012</v>
      </c>
      <c r="N26" s="189">
        <f t="shared" si="1"/>
        <v>-0.13641782051282053</v>
      </c>
      <c r="O26" s="178" t="b">
        <f t="shared" si="9"/>
        <v>1</v>
      </c>
      <c r="P26" s="189">
        <f>COUNTIF(O$2:O26, TRUE)/(COUNTIF(O$2:O26,FALSE) + COUNTIF(O$2:O26, TRUE))</f>
        <v>0.44</v>
      </c>
      <c r="Q26" s="344"/>
      <c r="R26" s="344"/>
      <c r="S26" s="344"/>
      <c r="T26" s="344"/>
      <c r="U26" s="189">
        <f>STDEV(D$2:D26)*SQRT(252)</f>
        <v>0.29890210628506431</v>
      </c>
      <c r="V26" s="189">
        <f>STDEV(L$2:L26)*SQRT(252)</f>
        <v>0.36977509623053162</v>
      </c>
      <c r="W26" s="178">
        <f t="shared" si="4"/>
        <v>-0.36892106013481385</v>
      </c>
      <c r="X26" s="167"/>
      <c r="Y26" s="168"/>
      <c r="Z26" s="169"/>
      <c r="AA26" s="168"/>
      <c r="AB26" s="169"/>
      <c r="AC26" s="169"/>
      <c r="AD26" s="167"/>
      <c r="AE26" s="167"/>
      <c r="AF26" s="167"/>
      <c r="AG26" s="167"/>
    </row>
    <row r="27" spans="1:33" ht="20.100000000000001" customHeight="1" x14ac:dyDescent="0.25">
      <c r="A27" s="179"/>
      <c r="B27" s="176">
        <v>42269</v>
      </c>
      <c r="C27" s="207">
        <v>1942.74</v>
      </c>
      <c r="D27" s="175">
        <f t="shared" si="5"/>
        <v>-1.2318439020422282E-2</v>
      </c>
      <c r="E27" s="208">
        <f t="shared" si="6"/>
        <v>-7.5959361503776579E-2</v>
      </c>
      <c r="F27" s="223">
        <v>4756.72</v>
      </c>
      <c r="G27" s="175">
        <f t="shared" si="2"/>
        <v>-1.4957703020325239E-2</v>
      </c>
      <c r="H27" s="208">
        <f t="shared" si="7"/>
        <v>-6.578942200051055E-2</v>
      </c>
      <c r="I27" s="226">
        <v>328628.18</v>
      </c>
      <c r="J27" s="177">
        <v>390000</v>
      </c>
      <c r="K27" s="177">
        <f t="shared" si="3"/>
        <v>-8168.8699999999953</v>
      </c>
      <c r="L27" s="175">
        <f t="shared" si="8"/>
        <v>-2.4254577051669533E-2</v>
      </c>
      <c r="M27" s="178">
        <f t="shared" si="0"/>
        <v>-61371.820000000007</v>
      </c>
      <c r="N27" s="189">
        <f t="shared" si="1"/>
        <v>-0.15736364102564104</v>
      </c>
      <c r="O27" s="178" t="b">
        <f t="shared" si="9"/>
        <v>0</v>
      </c>
      <c r="P27" s="189">
        <f>COUNTIF(O$2:O27, TRUE)/(COUNTIF(O$2:O27,FALSE) + COUNTIF(O$2:O27, TRUE))</f>
        <v>0.42307692307692307</v>
      </c>
      <c r="Q27" s="344"/>
      <c r="R27" s="344"/>
      <c r="S27" s="344"/>
      <c r="T27" s="344"/>
      <c r="U27" s="189">
        <f>STDEV(D$2:D27)*SQRT(252)</f>
        <v>0.29423063039577757</v>
      </c>
      <c r="V27" s="189">
        <f>STDEV(L$2:L27)*SQRT(252)</f>
        <v>0.36891081336097858</v>
      </c>
      <c r="W27" s="178">
        <f t="shared" si="4"/>
        <v>-0.42656283124902872</v>
      </c>
      <c r="X27" s="167"/>
      <c r="Y27" s="168"/>
      <c r="Z27" s="169"/>
      <c r="AA27" s="168"/>
      <c r="AB27" s="169"/>
      <c r="AC27" s="169"/>
      <c r="AD27" s="167"/>
      <c r="AE27" s="167"/>
      <c r="AF27" s="167"/>
      <c r="AG27" s="167"/>
    </row>
    <row r="28" spans="1:33" ht="20.100000000000001" customHeight="1" x14ac:dyDescent="0.25">
      <c r="A28" s="179"/>
      <c r="B28" s="176">
        <v>42270</v>
      </c>
      <c r="C28" s="207">
        <v>1938.76</v>
      </c>
      <c r="D28" s="175">
        <f t="shared" si="5"/>
        <v>-2.0486529334857047E-3</v>
      </c>
      <c r="E28" s="208">
        <f t="shared" si="6"/>
        <v>-7.7852400068491881E-2</v>
      </c>
      <c r="F28" s="223">
        <v>4752.74</v>
      </c>
      <c r="G28" s="175">
        <f t="shared" si="2"/>
        <v>-8.3671101094882037E-4</v>
      </c>
      <c r="H28" s="208">
        <f t="shared" si="7"/>
        <v>-6.6571086277667585E-2</v>
      </c>
      <c r="I28" s="226">
        <v>321819.21000000002</v>
      </c>
      <c r="J28" s="177">
        <v>390000</v>
      </c>
      <c r="K28" s="177">
        <f t="shared" si="3"/>
        <v>-6808.9699999999721</v>
      </c>
      <c r="L28" s="175">
        <f t="shared" si="8"/>
        <v>-2.0719373487690471E-2</v>
      </c>
      <c r="M28" s="178">
        <f t="shared" si="0"/>
        <v>-68180.789999999979</v>
      </c>
      <c r="N28" s="189">
        <f t="shared" si="1"/>
        <v>-0.17482253846153842</v>
      </c>
      <c r="O28" s="178" t="b">
        <f t="shared" si="9"/>
        <v>0</v>
      </c>
      <c r="P28" s="189">
        <f>COUNTIF(O$2:O28, TRUE)/(COUNTIF(O$2:O28,FALSE) + COUNTIF(O$2:O28, TRUE))</f>
        <v>0.40740740740740738</v>
      </c>
      <c r="Q28" s="344"/>
      <c r="R28" s="344"/>
      <c r="S28" s="344"/>
      <c r="T28" s="344"/>
      <c r="U28" s="189">
        <f>STDEV(D$2:D28)*SQRT(252)</f>
        <v>0.288300857286579</v>
      </c>
      <c r="V28" s="189">
        <f>STDEV(L$2:L28)*SQRT(252)</f>
        <v>0.36576166417456935</v>
      </c>
      <c r="W28" s="178">
        <f t="shared" si="4"/>
        <v>-0.47796845756393919</v>
      </c>
      <c r="X28" s="168"/>
      <c r="Y28" s="169"/>
      <c r="Z28" s="169"/>
      <c r="AA28" s="167"/>
      <c r="AB28" s="167"/>
      <c r="AC28" s="167"/>
      <c r="AD28" s="167"/>
    </row>
    <row r="29" spans="1:33" ht="20.100000000000001" customHeight="1" x14ac:dyDescent="0.25">
      <c r="A29" s="179"/>
      <c r="B29" s="176">
        <v>42271</v>
      </c>
      <c r="C29" s="207">
        <v>1932.24</v>
      </c>
      <c r="D29" s="175">
        <f t="shared" si="5"/>
        <v>-3.3629742722152212E-3</v>
      </c>
      <c r="E29" s="208">
        <f t="shared" si="6"/>
        <v>-8.0953558722246549E-2</v>
      </c>
      <c r="F29" s="223">
        <v>4734.4799999999996</v>
      </c>
      <c r="G29" s="175">
        <f t="shared" si="2"/>
        <v>-3.8419943022341258E-3</v>
      </c>
      <c r="H29" s="208">
        <f t="shared" si="7"/>
        <v>-7.0157314845729374E-2</v>
      </c>
      <c r="I29" s="227">
        <v>323446.15999999997</v>
      </c>
      <c r="J29" s="177">
        <v>390000</v>
      </c>
      <c r="K29" s="177">
        <f t="shared" ref="K29:K49" si="10">I29-I28-J29+J28</f>
        <v>1626.9499999999534</v>
      </c>
      <c r="L29" s="175">
        <f t="shared" si="8"/>
        <v>5.0554781984579267E-3</v>
      </c>
      <c r="M29" s="178">
        <f t="shared" si="0"/>
        <v>-66553.840000000026</v>
      </c>
      <c r="N29" s="189">
        <f t="shared" si="1"/>
        <v>-0.17065087179487187</v>
      </c>
      <c r="O29" s="178" t="b">
        <f t="shared" si="9"/>
        <v>1</v>
      </c>
      <c r="P29" s="189">
        <f>COUNTIF(O$2:O29, TRUE)/(COUNTIF(O$2:O29,FALSE) + COUNTIF(O$2:O29, TRUE))</f>
        <v>0.42857142857142855</v>
      </c>
      <c r="Q29" s="344"/>
      <c r="R29" s="344"/>
      <c r="S29" s="344"/>
      <c r="T29" s="344"/>
      <c r="U29" s="189">
        <f>STDEV(D$2:D29)*SQRT(252)</f>
        <v>0.28270501442194107</v>
      </c>
      <c r="V29" s="189">
        <f>STDEV(L$2:L29)*SQRT(252)</f>
        <v>0.35959656379312804</v>
      </c>
      <c r="W29" s="178">
        <f t="shared" si="4"/>
        <v>-0.47456202026737232</v>
      </c>
      <c r="X29" s="168"/>
      <c r="Y29" s="169"/>
      <c r="Z29" s="169"/>
      <c r="AA29" s="167"/>
      <c r="AB29" s="167"/>
      <c r="AC29" s="167"/>
      <c r="AD29" s="167"/>
    </row>
    <row r="30" spans="1:33" ht="20.100000000000001" customHeight="1" x14ac:dyDescent="0.25">
      <c r="A30" s="179"/>
      <c r="B30" s="176">
        <v>42272</v>
      </c>
      <c r="C30" s="207">
        <v>1931.34</v>
      </c>
      <c r="D30" s="175">
        <f t="shared" si="5"/>
        <v>-4.6578064836670961E-4</v>
      </c>
      <c r="E30" s="208">
        <f t="shared" si="6"/>
        <v>-8.1381632769544021E-2</v>
      </c>
      <c r="F30" s="223">
        <v>4686.5</v>
      </c>
      <c r="G30" s="175">
        <f t="shared" si="2"/>
        <v>-1.0134164681232061E-2</v>
      </c>
      <c r="H30" s="208">
        <f t="shared" si="7"/>
        <v>-7.9580493744721773E-2</v>
      </c>
      <c r="I30" s="226">
        <v>320711.92</v>
      </c>
      <c r="J30" s="177">
        <v>390000</v>
      </c>
      <c r="K30" s="177">
        <f t="shared" si="10"/>
        <v>-2734.2399999999907</v>
      </c>
      <c r="L30" s="175">
        <f t="shared" si="8"/>
        <v>-8.4534625484500754E-3</v>
      </c>
      <c r="M30" s="178">
        <f t="shared" ref="M30:M61" si="11">I30-J30</f>
        <v>-69288.080000000016</v>
      </c>
      <c r="N30" s="189">
        <f t="shared" ref="N30:N61" si="12">M30/J30</f>
        <v>-0.17766174358974363</v>
      </c>
      <c r="O30" s="178" t="b">
        <f t="shared" si="9"/>
        <v>0</v>
      </c>
      <c r="P30" s="189">
        <f>COUNTIF(O$2:O30, TRUE)/(COUNTIF(O$2:O30,FALSE) + COUNTIF(O$2:O30, TRUE))</f>
        <v>0.41379310344827586</v>
      </c>
      <c r="Q30" s="344"/>
      <c r="R30" s="344"/>
      <c r="S30" s="344"/>
      <c r="T30" s="344"/>
      <c r="U30" s="189">
        <f>STDEV(D$2:D30)*SQRT(252)</f>
        <v>0.27752195461786261</v>
      </c>
      <c r="V30" s="189">
        <f>STDEV(L$2:L30)*SQRT(252)</f>
        <v>0.35323644241397795</v>
      </c>
      <c r="W30" s="178">
        <f t="shared" si="4"/>
        <v>-0.50295417532693776</v>
      </c>
      <c r="X30" s="168"/>
      <c r="Y30" s="169"/>
      <c r="Z30" s="169"/>
      <c r="AA30" s="167"/>
      <c r="AB30" s="167"/>
      <c r="AC30" s="167"/>
      <c r="AD30" s="167"/>
    </row>
    <row r="31" spans="1:33" ht="20.100000000000001" customHeight="1" x14ac:dyDescent="0.25">
      <c r="A31" s="179"/>
      <c r="B31" s="171">
        <v>42275</v>
      </c>
      <c r="C31" s="205">
        <v>1881.77</v>
      </c>
      <c r="D31" s="175">
        <f t="shared" si="5"/>
        <v>-2.5666117824929811E-2</v>
      </c>
      <c r="E31" s="206">
        <f t="shared" si="6"/>
        <v>-0.10495900001902554</v>
      </c>
      <c r="F31" s="222">
        <v>4543.97</v>
      </c>
      <c r="G31" s="175">
        <f t="shared" si="2"/>
        <v>-3.041288808279094E-2</v>
      </c>
      <c r="H31" s="206">
        <f t="shared" si="7"/>
        <v>-0.10757310917768124</v>
      </c>
      <c r="I31" s="225">
        <v>308867.92</v>
      </c>
      <c r="J31" s="173">
        <v>390000</v>
      </c>
      <c r="K31" s="173">
        <f t="shared" si="10"/>
        <v>-11844</v>
      </c>
      <c r="L31" s="175">
        <f t="shared" si="8"/>
        <v>-3.693033922780295E-2</v>
      </c>
      <c r="M31" s="172">
        <f t="shared" si="11"/>
        <v>-81132.080000000016</v>
      </c>
      <c r="N31" s="188">
        <f t="shared" si="12"/>
        <v>-0.20803097435897441</v>
      </c>
      <c r="O31" s="172" t="b">
        <f t="shared" si="9"/>
        <v>0</v>
      </c>
      <c r="P31" s="188">
        <f>COUNTIF(O$2:O31, TRUE)/(COUNTIF(O$2:O31,FALSE) + COUNTIF(O$2:O31, TRUE))</f>
        <v>0.4</v>
      </c>
      <c r="Q31" s="343"/>
      <c r="R31" s="343"/>
      <c r="S31" s="343"/>
      <c r="T31" s="343"/>
      <c r="U31" s="188">
        <f>STDEV(D$2:D31)*SQRT(252)</f>
        <v>0.28067725027853285</v>
      </c>
      <c r="V31" s="188">
        <f>STDEV(L$2:L31)*SQRT(252)</f>
        <v>0.36074758156117998</v>
      </c>
      <c r="W31" s="172">
        <f t="shared" si="4"/>
        <v>-0.57666630350976855</v>
      </c>
      <c r="X31" s="168"/>
      <c r="Y31" s="169"/>
      <c r="Z31" s="169"/>
      <c r="AA31" s="167"/>
      <c r="AB31" s="167"/>
      <c r="AC31" s="167"/>
      <c r="AD31" s="167"/>
    </row>
    <row r="32" spans="1:33" ht="20.100000000000001" customHeight="1" x14ac:dyDescent="0.25">
      <c r="A32" s="179"/>
      <c r="B32" s="171">
        <v>42276</v>
      </c>
      <c r="C32" s="205">
        <v>1884.09</v>
      </c>
      <c r="D32" s="175">
        <f t="shared" si="5"/>
        <v>1.2328818080849075E-3</v>
      </c>
      <c r="E32" s="206">
        <f t="shared" si="6"/>
        <v>-0.10385552025265887</v>
      </c>
      <c r="F32" s="222">
        <v>4517.32</v>
      </c>
      <c r="G32" s="175">
        <f t="shared" si="2"/>
        <v>-5.8649154813963439E-3</v>
      </c>
      <c r="H32" s="206">
        <f t="shared" si="7"/>
        <v>-0.11280711746567947</v>
      </c>
      <c r="I32" s="225">
        <v>312033</v>
      </c>
      <c r="J32" s="173">
        <v>390000</v>
      </c>
      <c r="K32" s="173">
        <f t="shared" si="10"/>
        <v>3165.0800000000163</v>
      </c>
      <c r="L32" s="175">
        <f t="shared" si="8"/>
        <v>1.0247357511262472E-2</v>
      </c>
      <c r="M32" s="172">
        <f t="shared" si="11"/>
        <v>-77967</v>
      </c>
      <c r="N32" s="188">
        <f t="shared" si="12"/>
        <v>-0.19991538461538461</v>
      </c>
      <c r="O32" s="172" t="b">
        <f t="shared" si="9"/>
        <v>1</v>
      </c>
      <c r="P32" s="188">
        <f>COUNTIF(O$2:O32, TRUE)/(COUNTIF(O$2:O32,FALSE) + COUNTIF(O$2:O32, TRUE))</f>
        <v>0.41935483870967744</v>
      </c>
      <c r="Q32" s="343"/>
      <c r="R32" s="343"/>
      <c r="S32" s="343"/>
      <c r="T32" s="343"/>
      <c r="U32" s="188">
        <f>STDEV(D$2:D32)*SQRT(252)</f>
        <v>0.27616064910345123</v>
      </c>
      <c r="V32" s="188">
        <f>STDEV(L$2:L32)*SQRT(252)</f>
        <v>0.35703191736213136</v>
      </c>
      <c r="W32" s="172">
        <f t="shared" si="4"/>
        <v>-0.55993701093287374</v>
      </c>
      <c r="X32" s="168"/>
      <c r="Y32" s="169"/>
      <c r="Z32" s="169"/>
      <c r="AA32" s="167"/>
      <c r="AB32" s="167"/>
      <c r="AC32" s="167"/>
      <c r="AD32" s="167"/>
    </row>
    <row r="33" spans="1:30" ht="20.100000000000001" customHeight="1" x14ac:dyDescent="0.25">
      <c r="A33" s="179"/>
      <c r="B33" s="171">
        <v>42277</v>
      </c>
      <c r="C33" s="205">
        <v>1920.03</v>
      </c>
      <c r="D33" s="175">
        <f t="shared" si="5"/>
        <v>1.9075521869974393E-2</v>
      </c>
      <c r="E33" s="206">
        <f t="shared" si="6"/>
        <v>-8.6761096630581652E-2</v>
      </c>
      <c r="F33" s="222">
        <v>4620.16</v>
      </c>
      <c r="G33" s="175">
        <f t="shared" si="2"/>
        <v>2.2765710642593431E-2</v>
      </c>
      <c r="H33" s="206">
        <f t="shared" si="7"/>
        <v>-9.2609541017734748E-2</v>
      </c>
      <c r="I33" s="492">
        <v>320653.48</v>
      </c>
      <c r="J33" s="173">
        <v>390000</v>
      </c>
      <c r="K33" s="173">
        <f t="shared" si="10"/>
        <v>8620.4799999999814</v>
      </c>
      <c r="L33" s="175">
        <f t="shared" si="8"/>
        <v>2.762682152208254E-2</v>
      </c>
      <c r="M33" s="172">
        <f t="shared" si="11"/>
        <v>-69346.520000000019</v>
      </c>
      <c r="N33" s="188">
        <f t="shared" si="12"/>
        <v>-0.17781158974358979</v>
      </c>
      <c r="O33" s="172" t="b">
        <f t="shared" si="9"/>
        <v>1</v>
      </c>
      <c r="P33" s="188">
        <f>COUNTIF(O$2:O33, TRUE)/(COUNTIF(O$2:O33,FALSE) + COUNTIF(O$2:O33, TRUE))</f>
        <v>0.4375</v>
      </c>
      <c r="Q33" s="343"/>
      <c r="R33" s="343"/>
      <c r="S33" s="343"/>
      <c r="T33" s="343"/>
      <c r="U33" s="188">
        <f>STDEV(D$2:D33)*SQRT(252)</f>
        <v>0.27904525871697899</v>
      </c>
      <c r="V33" s="188">
        <f>STDEV(L$2:L33)*SQRT(252)</f>
        <v>0.36241608593546876</v>
      </c>
      <c r="W33" s="172">
        <f t="shared" si="4"/>
        <v>-0.49062830443803934</v>
      </c>
      <c r="X33" s="168"/>
      <c r="Y33" s="169"/>
      <c r="Z33" s="169"/>
      <c r="AA33" s="167"/>
      <c r="AB33" s="167"/>
      <c r="AC33" s="167"/>
      <c r="AD33" s="167"/>
    </row>
    <row r="34" spans="1:30" ht="20.100000000000001" customHeight="1" x14ac:dyDescent="0.25">
      <c r="B34" s="171">
        <v>42278</v>
      </c>
      <c r="C34" s="205">
        <v>1923.82</v>
      </c>
      <c r="D34" s="175">
        <f t="shared" si="5"/>
        <v>1.9739274907162718E-3</v>
      </c>
      <c r="E34" s="206">
        <f t="shared" si="6"/>
        <v>-8.4958429253629175E-2</v>
      </c>
      <c r="F34" s="222">
        <v>4627.08</v>
      </c>
      <c r="G34" s="175">
        <f t="shared" si="2"/>
        <v>1.497783626541088E-3</v>
      </c>
      <c r="H34" s="206">
        <f t="shared" si="7"/>
        <v>-9.1250466445391504E-2</v>
      </c>
      <c r="I34" s="225">
        <v>321963.56</v>
      </c>
      <c r="J34" s="173">
        <v>390000</v>
      </c>
      <c r="K34" s="173">
        <f t="shared" si="10"/>
        <v>1310.0800000000163</v>
      </c>
      <c r="L34" s="175">
        <f t="shared" si="8"/>
        <v>4.0856565785595605E-3</v>
      </c>
      <c r="M34" s="172">
        <f t="shared" si="11"/>
        <v>-68036.44</v>
      </c>
      <c r="N34" s="188">
        <f t="shared" si="12"/>
        <v>-0.17445241025641026</v>
      </c>
      <c r="O34" s="172" t="b">
        <f t="shared" si="9"/>
        <v>1</v>
      </c>
      <c r="P34" s="188">
        <f>COUNTIF(O$2:O34, TRUE)/(COUNTIF(O$2:O34,FALSE) + COUNTIF(O$2:O34, TRUE))</f>
        <v>0.45454545454545453</v>
      </c>
      <c r="Q34" s="343"/>
      <c r="R34" s="343"/>
      <c r="S34" s="343"/>
      <c r="T34" s="343"/>
      <c r="U34" s="188">
        <f>STDEV(D$2:D34)*SQRT(252)</f>
        <v>0.27483074679675301</v>
      </c>
      <c r="V34" s="188">
        <f>STDEV(L$2:L34)*SQRT(252)</f>
        <v>0.35707118458821713</v>
      </c>
      <c r="W34" s="172">
        <f t="shared" si="4"/>
        <v>-0.48856479544153886</v>
      </c>
    </row>
    <row r="35" spans="1:30" ht="20.100000000000001" customHeight="1" x14ac:dyDescent="0.25">
      <c r="B35" s="171">
        <v>42279</v>
      </c>
      <c r="C35" s="205">
        <v>1951.36</v>
      </c>
      <c r="D35" s="175">
        <f t="shared" si="5"/>
        <v>1.4315268580220584E-2</v>
      </c>
      <c r="E35" s="206">
        <f t="shared" si="6"/>
        <v>-7.1859363406327953E-2</v>
      </c>
      <c r="F35" s="222">
        <v>4707.78</v>
      </c>
      <c r="G35" s="175">
        <f t="shared" si="2"/>
        <v>1.7440805000129633E-2</v>
      </c>
      <c r="H35" s="206">
        <f t="shared" si="7"/>
        <v>-7.5401143036706808E-2</v>
      </c>
      <c r="I35" s="225">
        <v>336327.01</v>
      </c>
      <c r="J35" s="173">
        <v>390000</v>
      </c>
      <c r="K35" s="173">
        <f t="shared" si="10"/>
        <v>14363.450000000012</v>
      </c>
      <c r="L35" s="175">
        <f t="shared" si="8"/>
        <v>4.4612036219254164E-2</v>
      </c>
      <c r="M35" s="172">
        <f t="shared" si="11"/>
        <v>-53672.989999999991</v>
      </c>
      <c r="N35" s="188">
        <f t="shared" si="12"/>
        <v>-0.13762305128205127</v>
      </c>
      <c r="O35" s="172" t="b">
        <f t="shared" si="9"/>
        <v>1</v>
      </c>
      <c r="P35" s="188">
        <f>COUNTIF(O$2:O35, TRUE)/(COUNTIF(O$2:O35,FALSE) + COUNTIF(O$2:O35, TRUE))</f>
        <v>0.47058823529411764</v>
      </c>
      <c r="Q35" s="343"/>
      <c r="R35" s="343"/>
      <c r="S35" s="343"/>
      <c r="T35" s="343"/>
      <c r="U35" s="188">
        <f>STDEV(D$2:D35)*SQRT(252)</f>
        <v>0.27452334333609368</v>
      </c>
      <c r="V35" s="188">
        <f>STDEV(L$2:L35)*SQRT(252)</f>
        <v>0.37502060427916972</v>
      </c>
      <c r="W35" s="172">
        <f t="shared" si="4"/>
        <v>-0.36697464009098302</v>
      </c>
    </row>
    <row r="36" spans="1:30" ht="20.100000000000001" customHeight="1" x14ac:dyDescent="0.25">
      <c r="B36" s="176">
        <v>42282</v>
      </c>
      <c r="C36" s="207">
        <v>1987.05</v>
      </c>
      <c r="D36" s="175">
        <f t="shared" si="5"/>
        <v>1.8289808133814395E-2</v>
      </c>
      <c r="E36" s="208">
        <f t="shared" si="6"/>
        <v>-5.4883849241833343E-2</v>
      </c>
      <c r="F36" s="223">
        <v>4781.26</v>
      </c>
      <c r="G36" s="175">
        <f t="shared" si="2"/>
        <v>1.5608205990934257E-2</v>
      </c>
      <c r="H36" s="208">
        <f t="shared" si="7"/>
        <v>-6.0969813618241372E-2</v>
      </c>
      <c r="I36" s="226">
        <v>348049.53</v>
      </c>
      <c r="J36" s="177">
        <v>390000</v>
      </c>
      <c r="K36" s="177">
        <f t="shared" si="10"/>
        <v>11722.520000000019</v>
      </c>
      <c r="L36" s="175">
        <f t="shared" si="8"/>
        <v>3.4854530416691835E-2</v>
      </c>
      <c r="M36" s="178">
        <f t="shared" si="11"/>
        <v>-41950.469999999972</v>
      </c>
      <c r="N36" s="189">
        <f t="shared" si="12"/>
        <v>-0.10756530769230763</v>
      </c>
      <c r="O36" s="178" t="b">
        <f t="shared" si="9"/>
        <v>1</v>
      </c>
      <c r="P36" s="189">
        <f>COUNTIF(O$2:O36, TRUE)/(COUNTIF(O$2:O36,FALSE) + COUNTIF(O$2:O36, TRUE))</f>
        <v>0.48571428571428571</v>
      </c>
      <c r="Q36" s="344"/>
      <c r="R36" s="344"/>
      <c r="S36" s="344"/>
      <c r="T36" s="344"/>
      <c r="U36" s="189">
        <f>STDEV(D$2:D36)*SQRT(252)</f>
        <v>0.27597887919090974</v>
      </c>
      <c r="V36" s="189">
        <f>STDEV(L$2:L36)*SQRT(252)</f>
        <v>0.38219304301343621</v>
      </c>
      <c r="W36" s="178">
        <f t="shared" si="4"/>
        <v>-0.28144234872565721</v>
      </c>
    </row>
    <row r="37" spans="1:30" ht="20.100000000000001" customHeight="1" x14ac:dyDescent="0.25">
      <c r="B37" s="176">
        <v>42283</v>
      </c>
      <c r="C37" s="207">
        <v>1979.92</v>
      </c>
      <c r="D37" s="175">
        <f t="shared" si="5"/>
        <v>-3.5882338139452364E-3</v>
      </c>
      <c r="E37" s="208">
        <f t="shared" si="6"/>
        <v>-5.8275146972089562E-2</v>
      </c>
      <c r="F37" s="223">
        <v>4748.3599999999997</v>
      </c>
      <c r="G37" s="175">
        <f t="shared" si="2"/>
        <v>-6.8810313599345242E-3</v>
      </c>
      <c r="H37" s="208">
        <f t="shared" si="7"/>
        <v>-6.7431309778659423E-2</v>
      </c>
      <c r="I37" s="226">
        <v>349442.62</v>
      </c>
      <c r="J37" s="177">
        <v>390000</v>
      </c>
      <c r="K37" s="177">
        <f t="shared" si="10"/>
        <v>1393.0899999999674</v>
      </c>
      <c r="L37" s="175">
        <f t="shared" si="8"/>
        <v>4.0025625088474254E-3</v>
      </c>
      <c r="M37" s="178">
        <f t="shared" si="11"/>
        <v>-40557.380000000005</v>
      </c>
      <c r="N37" s="189">
        <f t="shared" si="12"/>
        <v>-0.10399328205128207</v>
      </c>
      <c r="O37" s="178" t="b">
        <f t="shared" si="9"/>
        <v>1</v>
      </c>
      <c r="P37" s="189">
        <f>COUNTIF(O$2:O37, TRUE)/(COUNTIF(O$2:O37,FALSE) + COUNTIF(O$2:O37, TRUE))</f>
        <v>0.5</v>
      </c>
      <c r="Q37" s="344"/>
      <c r="R37" s="344"/>
      <c r="S37" s="344"/>
      <c r="T37" s="344"/>
      <c r="U37" s="189">
        <f>STDEV(D$2:D37)*SQRT(252)</f>
        <v>0.27194715501453054</v>
      </c>
      <c r="V37" s="189">
        <f>STDEV(L$2:L37)*SQRT(252)</f>
        <v>0.37670306697854899</v>
      </c>
      <c r="W37" s="178">
        <f t="shared" si="4"/>
        <v>-0.27606168138048071</v>
      </c>
    </row>
    <row r="38" spans="1:30" ht="20.100000000000001" customHeight="1" x14ac:dyDescent="0.25">
      <c r="B38" s="176">
        <v>42284</v>
      </c>
      <c r="C38" s="207">
        <v>1995.83</v>
      </c>
      <c r="D38" s="175">
        <f t="shared" si="5"/>
        <v>8.0356782092205013E-3</v>
      </c>
      <c r="E38" s="208">
        <f t="shared" si="6"/>
        <v>-5.0707749091531806E-2</v>
      </c>
      <c r="F38" s="223">
        <v>4791.1499999999996</v>
      </c>
      <c r="G38" s="175">
        <f t="shared" si="2"/>
        <v>9.0115324027664218E-3</v>
      </c>
      <c r="H38" s="208">
        <f t="shared" si="7"/>
        <v>-5.9027436808924368E-2</v>
      </c>
      <c r="I38" s="226">
        <v>351672.29</v>
      </c>
      <c r="J38" s="177">
        <v>390000</v>
      </c>
      <c r="K38" s="177">
        <f t="shared" si="10"/>
        <v>2229.6699999999837</v>
      </c>
      <c r="L38" s="175">
        <f t="shared" si="8"/>
        <v>6.3806469857625942E-3</v>
      </c>
      <c r="M38" s="178">
        <f t="shared" si="11"/>
        <v>-38327.710000000021</v>
      </c>
      <c r="N38" s="189">
        <f t="shared" si="12"/>
        <v>-9.8276179487179538E-2</v>
      </c>
      <c r="O38" s="178" t="b">
        <f t="shared" si="9"/>
        <v>0</v>
      </c>
      <c r="P38" s="189">
        <f>COUNTIF(O$2:O38, TRUE)/(COUNTIF(O$2:O38,FALSE) + COUNTIF(O$2:O38, TRUE))</f>
        <v>0.48648648648648651</v>
      </c>
      <c r="Q38" s="344"/>
      <c r="R38" s="344"/>
      <c r="S38" s="344"/>
      <c r="T38" s="344"/>
      <c r="U38" s="189">
        <f>STDEV(D$2:D38)*SQRT(252)</f>
        <v>0.26923649970087526</v>
      </c>
      <c r="V38" s="189">
        <f>STDEV(L$2:L38)*SQRT(252)</f>
        <v>0.37168118749449619</v>
      </c>
      <c r="W38" s="178">
        <f t="shared" si="4"/>
        <v>-0.26440988350704403</v>
      </c>
    </row>
    <row r="39" spans="1:30" ht="20.100000000000001" customHeight="1" x14ac:dyDescent="0.25">
      <c r="B39" s="176">
        <v>42285</v>
      </c>
      <c r="C39" s="207">
        <v>2013.43</v>
      </c>
      <c r="D39" s="175">
        <f t="shared" si="5"/>
        <v>8.8183863355096054E-3</v>
      </c>
      <c r="E39" s="208">
        <f t="shared" si="6"/>
        <v>-4.2336523277715414E-2</v>
      </c>
      <c r="F39" s="223">
        <v>4810.79</v>
      </c>
      <c r="G39" s="175">
        <f t="shared" si="2"/>
        <v>4.0992246120451934E-3</v>
      </c>
      <c r="H39" s="208">
        <f t="shared" si="7"/>
        <v>-5.5170178918632254E-2</v>
      </c>
      <c r="I39" s="226">
        <v>354527.57</v>
      </c>
      <c r="J39" s="177">
        <v>390000</v>
      </c>
      <c r="K39" s="177">
        <f t="shared" si="10"/>
        <v>2855.2800000000279</v>
      </c>
      <c r="L39" s="175">
        <f t="shared" si="8"/>
        <v>8.119149791415264E-3</v>
      </c>
      <c r="M39" s="178">
        <f t="shared" si="11"/>
        <v>-35472.429999999993</v>
      </c>
      <c r="N39" s="189">
        <f t="shared" si="12"/>
        <v>-9.0954948717948694E-2</v>
      </c>
      <c r="O39" s="178" t="b">
        <f t="shared" si="9"/>
        <v>0</v>
      </c>
      <c r="P39" s="189">
        <f>COUNTIF(O$2:O39, TRUE)/(COUNTIF(O$2:O39,FALSE) + COUNTIF(O$2:O39, TRUE))</f>
        <v>0.47368421052631576</v>
      </c>
      <c r="Q39" s="344"/>
      <c r="R39" s="344"/>
      <c r="S39" s="344"/>
      <c r="T39" s="344"/>
      <c r="U39" s="189">
        <f>STDEV(D$2:D39)*SQRT(252)</f>
        <v>0.26678199068533232</v>
      </c>
      <c r="V39" s="189">
        <f>STDEV(L$2:L39)*SQRT(252)</f>
        <v>0.36708606132795213</v>
      </c>
      <c r="W39" s="178">
        <f t="shared" si="4"/>
        <v>-0.24777554448380479</v>
      </c>
    </row>
    <row r="40" spans="1:30" ht="20.100000000000001" customHeight="1" x14ac:dyDescent="0.25">
      <c r="B40" s="176">
        <v>42286</v>
      </c>
      <c r="C40" s="207">
        <v>2014.89</v>
      </c>
      <c r="D40" s="175">
        <f t="shared" si="5"/>
        <v>7.2513074703368691E-4</v>
      </c>
      <c r="E40" s="208">
        <f t="shared" si="6"/>
        <v>-4.1642092045432906E-2</v>
      </c>
      <c r="F40" s="223">
        <v>4830.47</v>
      </c>
      <c r="G40" s="175">
        <f t="shared" si="2"/>
        <v>4.0908042130295211E-3</v>
      </c>
      <c r="H40" s="208">
        <f t="shared" si="7"/>
        <v>-5.1305065105956671E-2</v>
      </c>
      <c r="I40" s="226">
        <v>351691.92</v>
      </c>
      <c r="J40" s="177">
        <v>390000</v>
      </c>
      <c r="K40" s="177">
        <f t="shared" si="10"/>
        <v>-2835.6500000000233</v>
      </c>
      <c r="L40" s="175">
        <f t="shared" si="8"/>
        <v>-7.9983906470236527E-3</v>
      </c>
      <c r="M40" s="246">
        <f t="shared" si="11"/>
        <v>-38308.080000000016</v>
      </c>
      <c r="N40" s="189">
        <f t="shared" si="12"/>
        <v>-9.8225846153846191E-2</v>
      </c>
      <c r="O40" s="246" t="b">
        <f t="shared" si="9"/>
        <v>0</v>
      </c>
      <c r="P40" s="189">
        <f>COUNTIF(O$2:O40, TRUE)/(COUNTIF(O$2:O40,FALSE) + COUNTIF(O$2:O40, TRUE))</f>
        <v>0.46153846153846156</v>
      </c>
      <c r="Q40" s="344"/>
      <c r="R40" s="344"/>
      <c r="S40" s="344"/>
      <c r="T40" s="344"/>
      <c r="U40" s="189">
        <f>STDEV(D$2:D40)*SQRT(252)</f>
        <v>0.26319098013674441</v>
      </c>
      <c r="V40" s="189">
        <f>STDEV(L$2:L40)*SQRT(252)</f>
        <v>0.36271772022566956</v>
      </c>
      <c r="W40" s="246">
        <f t="shared" si="4"/>
        <v>-0.27080520381726514</v>
      </c>
    </row>
    <row r="41" spans="1:30" ht="20.100000000000001" customHeight="1" x14ac:dyDescent="0.25">
      <c r="B41" s="171">
        <v>42289</v>
      </c>
      <c r="C41" s="203">
        <v>2017.46</v>
      </c>
      <c r="D41" s="175">
        <f t="shared" si="5"/>
        <v>1.2755038736605652E-3</v>
      </c>
      <c r="E41" s="204">
        <f t="shared" si="6"/>
        <v>-4.0419702821483619E-2</v>
      </c>
      <c r="F41" s="221">
        <v>4838.6400000000003</v>
      </c>
      <c r="G41" s="175">
        <f t="shared" si="2"/>
        <v>1.6913468047622844E-3</v>
      </c>
      <c r="H41" s="206">
        <f t="shared" si="7"/>
        <v>-4.9700492959129462E-2</v>
      </c>
      <c r="I41" s="225">
        <v>348866.78</v>
      </c>
      <c r="J41" s="173">
        <v>390000</v>
      </c>
      <c r="K41" s="173">
        <f t="shared" si="10"/>
        <v>-2825.1399999999558</v>
      </c>
      <c r="L41" s="175">
        <f t="shared" si="8"/>
        <v>-8.0329966068027839E-3</v>
      </c>
      <c r="M41" s="180">
        <f t="shared" si="11"/>
        <v>-41133.219999999972</v>
      </c>
      <c r="N41" s="188">
        <f t="shared" si="12"/>
        <v>-0.10546979487179479</v>
      </c>
      <c r="O41" s="180" t="b">
        <f t="shared" si="9"/>
        <v>0</v>
      </c>
      <c r="P41" s="188">
        <f>COUNTIF(O$2:O41, TRUE)/(COUNTIF(O$2:O41,FALSE) + COUNTIF(O$2:O41, TRUE))</f>
        <v>0.45</v>
      </c>
      <c r="Q41" s="343"/>
      <c r="R41" s="343"/>
      <c r="S41" s="343"/>
      <c r="T41" s="343"/>
      <c r="U41" s="188">
        <f>STDEV(D$2:D41)*SQRT(252)</f>
        <v>0.25976838750277326</v>
      </c>
      <c r="V41" s="188">
        <f>STDEV(L$2:L41)*SQRT(252)</f>
        <v>0.35850362464103236</v>
      </c>
      <c r="W41" s="180">
        <f t="shared" si="4"/>
        <v>-0.2941945007596537</v>
      </c>
    </row>
    <row r="42" spans="1:30" ht="20.100000000000001" customHeight="1" x14ac:dyDescent="0.25">
      <c r="B42" s="171">
        <v>42290</v>
      </c>
      <c r="C42" s="203">
        <v>2003.69</v>
      </c>
      <c r="D42" s="175">
        <f t="shared" si="5"/>
        <v>-6.8254141346048899E-3</v>
      </c>
      <c r="E42" s="204">
        <f t="shared" si="6"/>
        <v>-4.6969235745134223E-2</v>
      </c>
      <c r="F42" s="221">
        <v>4796.6099999999997</v>
      </c>
      <c r="G42" s="175">
        <f t="shared" si="2"/>
        <v>-8.6863250830813317E-3</v>
      </c>
      <c r="H42" s="206">
        <f t="shared" si="7"/>
        <v>-5.7955103403578401E-2</v>
      </c>
      <c r="I42" s="225">
        <v>347508.59</v>
      </c>
      <c r="J42" s="173">
        <v>390000</v>
      </c>
      <c r="K42" s="173">
        <f t="shared" si="10"/>
        <v>-1358.1900000000023</v>
      </c>
      <c r="L42" s="175">
        <f t="shared" si="8"/>
        <v>-3.8931479804411363E-3</v>
      </c>
      <c r="M42" s="180">
        <f t="shared" si="11"/>
        <v>-42491.409999999974</v>
      </c>
      <c r="N42" s="188">
        <f t="shared" si="12"/>
        <v>-0.10895233333333326</v>
      </c>
      <c r="O42" s="180" t="b">
        <f t="shared" si="9"/>
        <v>1</v>
      </c>
      <c r="P42" s="188">
        <f>COUNTIF(O$2:O42, TRUE)/(COUNTIF(O$2:O42,FALSE) + COUNTIF(O$2:O42, TRUE))</f>
        <v>0.46341463414634149</v>
      </c>
      <c r="Q42" s="343"/>
      <c r="R42" s="343"/>
      <c r="S42" s="343"/>
      <c r="T42" s="343"/>
      <c r="U42" s="188">
        <f>STDEV(D$2:D42)*SQRT(252)</f>
        <v>0.2568435001245859</v>
      </c>
      <c r="V42" s="188">
        <f>STDEV(L$2:L42)*SQRT(252)</f>
        <v>0.35400225993009587</v>
      </c>
      <c r="W42" s="180">
        <f t="shared" si="4"/>
        <v>-0.30777298810139764</v>
      </c>
    </row>
    <row r="43" spans="1:30" ht="20.100000000000001" customHeight="1" x14ac:dyDescent="0.25">
      <c r="B43" s="171">
        <v>42291</v>
      </c>
      <c r="C43" s="209">
        <v>1994.24</v>
      </c>
      <c r="D43" s="175">
        <f t="shared" si="5"/>
        <v>-4.7162984293977837E-3</v>
      </c>
      <c r="E43" s="204">
        <f t="shared" si="6"/>
        <v>-5.1464013241757214E-2</v>
      </c>
      <c r="F43" s="221">
        <v>4782.8500000000004</v>
      </c>
      <c r="G43" s="175">
        <f t="shared" si="2"/>
        <v>-2.8686926808723888E-3</v>
      </c>
      <c r="H43" s="206">
        <f t="shared" si="7"/>
        <v>-6.0657540703497742E-2</v>
      </c>
      <c r="I43" s="225">
        <v>350349.65</v>
      </c>
      <c r="J43" s="173">
        <v>390000</v>
      </c>
      <c r="K43" s="173">
        <f t="shared" si="10"/>
        <v>2841.0599999999977</v>
      </c>
      <c r="L43" s="175">
        <f t="shared" si="8"/>
        <v>8.1755101363105796E-3</v>
      </c>
      <c r="M43" s="180">
        <f t="shared" si="11"/>
        <v>-39650.349999999977</v>
      </c>
      <c r="N43" s="188">
        <f t="shared" si="12"/>
        <v>-0.10166756410256404</v>
      </c>
      <c r="O43" s="180" t="b">
        <f t="shared" si="9"/>
        <v>1</v>
      </c>
      <c r="P43" s="188">
        <f>COUNTIF(O$2:O43, TRUE)/(COUNTIF(O$2:O43,FALSE) + COUNTIF(O$2:O43, TRUE))</f>
        <v>0.47619047619047616</v>
      </c>
      <c r="Q43" s="343"/>
      <c r="R43" s="343"/>
      <c r="S43" s="343"/>
      <c r="T43" s="343"/>
      <c r="U43" s="188">
        <f>STDEV(D$2:D43)*SQRT(252)</f>
        <v>0.25377333453127793</v>
      </c>
      <c r="V43" s="188">
        <f>STDEV(L$2:L43)*SQRT(252)</f>
        <v>0.35017187352757795</v>
      </c>
      <c r="W43" s="180">
        <f t="shared" si="4"/>
        <v>-0.29033617999749817</v>
      </c>
    </row>
    <row r="44" spans="1:30" ht="20.100000000000001" customHeight="1" x14ac:dyDescent="0.25">
      <c r="B44" s="171">
        <v>42292</v>
      </c>
      <c r="C44" s="209">
        <v>2023.86</v>
      </c>
      <c r="D44" s="175">
        <f t="shared" si="5"/>
        <v>1.4852775994865158E-2</v>
      </c>
      <c r="E44" s="204">
        <f>(C44-$C$2)/$C$2</f>
        <v>-3.7375620707368655E-2</v>
      </c>
      <c r="F44" s="221">
        <v>4870.1000000000004</v>
      </c>
      <c r="G44" s="175">
        <f t="shared" si="2"/>
        <v>1.8242261413174154E-2</v>
      </c>
      <c r="H44" s="206">
        <f t="shared" si="7"/>
        <v>-4.3521810004517048E-2</v>
      </c>
      <c r="I44" s="225">
        <v>353686.58</v>
      </c>
      <c r="J44" s="173">
        <v>390000</v>
      </c>
      <c r="K44" s="173">
        <f t="shared" si="10"/>
        <v>3336.929999999993</v>
      </c>
      <c r="L44" s="175">
        <f t="shared" si="8"/>
        <v>9.5245706681881745E-3</v>
      </c>
      <c r="M44" s="180">
        <f t="shared" si="11"/>
        <v>-36313.419999999984</v>
      </c>
      <c r="N44" s="188">
        <f t="shared" si="12"/>
        <v>-9.3111333333333296E-2</v>
      </c>
      <c r="O44" s="180" t="b">
        <f t="shared" si="9"/>
        <v>0</v>
      </c>
      <c r="P44" s="188">
        <f>COUNTIF(O$2:O44, TRUE)/(COUNTIF(O$2:O44,FALSE) + COUNTIF(O$2:O44, TRUE))</f>
        <v>0.46511627906976744</v>
      </c>
      <c r="Q44" s="343"/>
      <c r="R44" s="343"/>
      <c r="S44" s="343"/>
      <c r="T44" s="343"/>
      <c r="U44" s="188">
        <f>STDEV(D$2:D44)*SQRT(252)</f>
        <v>0.25371078720500778</v>
      </c>
      <c r="V44" s="188">
        <f>STDEV(L$2:L44)*SQRT(252)</f>
        <v>0.34666743153233776</v>
      </c>
      <c r="W44" s="180">
        <f t="shared" si="4"/>
        <v>-0.26858979201410127</v>
      </c>
    </row>
    <row r="45" spans="1:30" ht="20.100000000000001" customHeight="1" x14ac:dyDescent="0.25">
      <c r="B45" s="171">
        <v>42293</v>
      </c>
      <c r="C45" s="209">
        <v>2033.11</v>
      </c>
      <c r="D45" s="175">
        <f t="shared" si="5"/>
        <v>4.5704742422894868E-3</v>
      </c>
      <c r="E45" s="204">
        <f t="shared" ref="E45:E53" si="13">(C45-$C$2)/$C$2</f>
        <v>-3.2975970776811775E-2</v>
      </c>
      <c r="F45" s="221">
        <v>4886.6899999999996</v>
      </c>
      <c r="G45" s="175">
        <f t="shared" si="2"/>
        <v>3.4065008932053211E-3</v>
      </c>
      <c r="H45" s="206">
        <f t="shared" si="7"/>
        <v>-4.0263566195966029E-2</v>
      </c>
      <c r="I45" s="225">
        <v>351968.34</v>
      </c>
      <c r="J45" s="173">
        <v>390000</v>
      </c>
      <c r="K45" s="173">
        <f t="shared" si="10"/>
        <v>-1718.2399999999907</v>
      </c>
      <c r="L45" s="175">
        <f t="shared" si="8"/>
        <v>-4.8580865013311799E-3</v>
      </c>
      <c r="M45" s="180">
        <f t="shared" si="11"/>
        <v>-38031.659999999974</v>
      </c>
      <c r="N45" s="188">
        <f t="shared" si="12"/>
        <v>-9.7517076923076859E-2</v>
      </c>
      <c r="O45" s="180" t="b">
        <f t="shared" si="9"/>
        <v>0</v>
      </c>
      <c r="P45" s="188">
        <f>COUNTIF(O$2:O45, TRUE)/(COUNTIF(O$2:O45,FALSE) + COUNTIF(O$2:O45, TRUE))</f>
        <v>0.45454545454545453</v>
      </c>
      <c r="Q45" s="343"/>
      <c r="R45" s="343"/>
      <c r="S45" s="343"/>
      <c r="T45" s="343"/>
      <c r="U45" s="188">
        <f>STDEV(D$2:D45)*SQRT(252)</f>
        <v>0.25100684114352073</v>
      </c>
      <c r="V45" s="188">
        <f>STDEV(L$2:L45)*SQRT(252)</f>
        <v>0.34273345139982825</v>
      </c>
      <c r="W45" s="180">
        <f t="shared" si="4"/>
        <v>-0.28452745573794236</v>
      </c>
    </row>
    <row r="46" spans="1:30" ht="20.100000000000001" customHeight="1" x14ac:dyDescent="0.25">
      <c r="B46" s="186">
        <v>42296</v>
      </c>
      <c r="C46" s="210">
        <v>2033.66</v>
      </c>
      <c r="D46" s="175">
        <f t="shared" si="5"/>
        <v>2.7052151629778119E-4</v>
      </c>
      <c r="E46" s="211">
        <f t="shared" si="13"/>
        <v>-3.2714369970129928E-2</v>
      </c>
      <c r="F46" s="224">
        <v>4905.47</v>
      </c>
      <c r="G46" s="175">
        <f t="shared" si="2"/>
        <v>3.843092154403217E-3</v>
      </c>
      <c r="H46" s="208">
        <f t="shared" si="7"/>
        <v>-3.657521063691882E-2</v>
      </c>
      <c r="I46" s="226">
        <v>353616.79</v>
      </c>
      <c r="J46" s="177">
        <v>390000</v>
      </c>
      <c r="K46" s="177">
        <f t="shared" si="10"/>
        <v>1648.4499999999534</v>
      </c>
      <c r="L46" s="175">
        <f t="shared" si="8"/>
        <v>4.6835178414057167E-3</v>
      </c>
      <c r="M46" s="187">
        <f t="shared" si="11"/>
        <v>-36383.210000000021</v>
      </c>
      <c r="N46" s="189">
        <f t="shared" si="12"/>
        <v>-9.3290282051282106E-2</v>
      </c>
      <c r="O46" s="187" t="b">
        <f t="shared" si="9"/>
        <v>1</v>
      </c>
      <c r="P46" s="189">
        <f>COUNTIF(O$2:O46, TRUE)/(COUNTIF(O$2:O46,FALSE) + COUNTIF(O$2:O46, TRUE))</f>
        <v>0.46666666666666667</v>
      </c>
      <c r="Q46" s="344"/>
      <c r="R46" s="344"/>
      <c r="S46" s="344"/>
      <c r="T46" s="344"/>
      <c r="U46" s="189">
        <f>STDEV(D$2:D46)*SQRT(252)</f>
        <v>0.24808092074482793</v>
      </c>
      <c r="V46" s="189">
        <f>STDEV(L$2:L46)*SQRT(252)</f>
        <v>0.33890448472804552</v>
      </c>
      <c r="W46" s="187">
        <f t="shared" si="4"/>
        <v>-0.27527013142402956</v>
      </c>
    </row>
    <row r="47" spans="1:30" ht="20.100000000000001" customHeight="1" x14ac:dyDescent="0.25">
      <c r="B47" s="186">
        <v>42297</v>
      </c>
      <c r="C47" s="210">
        <v>2030.77</v>
      </c>
      <c r="D47" s="175">
        <f t="shared" si="5"/>
        <v>-1.4210831702448296E-3</v>
      </c>
      <c r="E47" s="211">
        <f t="shared" si="13"/>
        <v>-3.4088963299785044E-2</v>
      </c>
      <c r="F47" s="224">
        <v>4880.97</v>
      </c>
      <c r="G47" s="175">
        <f t="shared" si="2"/>
        <v>-4.9944245913235629E-3</v>
      </c>
      <c r="H47" s="208">
        <f t="shared" si="7"/>
        <v>-4.1386963096804522E-2</v>
      </c>
      <c r="I47" s="226">
        <v>352193</v>
      </c>
      <c r="J47" s="177">
        <v>395000</v>
      </c>
      <c r="K47" s="177">
        <f t="shared" si="10"/>
        <v>-6423.789999999979</v>
      </c>
      <c r="L47" s="175">
        <f t="shared" si="8"/>
        <v>-1.8165964348016334E-2</v>
      </c>
      <c r="M47" s="187">
        <f t="shared" si="11"/>
        <v>-42807</v>
      </c>
      <c r="N47" s="189">
        <f t="shared" si="12"/>
        <v>-0.10837215189873417</v>
      </c>
      <c r="O47" s="187" t="b">
        <f t="shared" si="9"/>
        <v>0</v>
      </c>
      <c r="P47" s="189">
        <f>COUNTIF(O$2:O47, TRUE)/(COUNTIF(O$2:O47,FALSE) + COUNTIF(O$2:O47, TRUE))</f>
        <v>0.45652173913043476</v>
      </c>
      <c r="Q47" s="344"/>
      <c r="R47" s="344"/>
      <c r="S47" s="344"/>
      <c r="T47" s="344"/>
      <c r="U47" s="189">
        <f>STDEV(D$2:D47)*SQRT(252)</f>
        <v>0.24525265348900513</v>
      </c>
      <c r="V47" s="189">
        <f>STDEV(L$2:L47)*SQRT(252)</f>
        <v>0.33783134123152347</v>
      </c>
      <c r="W47" s="187">
        <f t="shared" si="4"/>
        <v>-0.32078773835392699</v>
      </c>
    </row>
    <row r="48" spans="1:30" ht="20.100000000000001" customHeight="1" x14ac:dyDescent="0.25">
      <c r="B48" s="186">
        <v>42298</v>
      </c>
      <c r="C48" s="210">
        <v>2018.94</v>
      </c>
      <c r="D48" s="175">
        <f t="shared" si="5"/>
        <v>-5.8253765812967141E-3</v>
      </c>
      <c r="E48" s="211">
        <f t="shared" si="13"/>
        <v>-3.9715758832594511E-2</v>
      </c>
      <c r="F48" s="224">
        <v>4840.12</v>
      </c>
      <c r="G48" s="175">
        <f t="shared" si="2"/>
        <v>-8.3692380817748033E-3</v>
      </c>
      <c r="H48" s="208">
        <f t="shared" si="7"/>
        <v>-4.9409823830940537E-2</v>
      </c>
      <c r="I48" s="226">
        <v>350311.35</v>
      </c>
      <c r="J48" s="177">
        <v>400000</v>
      </c>
      <c r="K48" s="177">
        <f t="shared" si="10"/>
        <v>-6881.6500000000233</v>
      </c>
      <c r="L48" s="175">
        <f t="shared" si="8"/>
        <v>-1.9539428665532883E-2</v>
      </c>
      <c r="M48" s="187">
        <f t="shared" si="11"/>
        <v>-49688.650000000023</v>
      </c>
      <c r="N48" s="189">
        <f t="shared" si="12"/>
        <v>-0.12422162500000006</v>
      </c>
      <c r="O48" s="187" t="b">
        <f t="shared" si="9"/>
        <v>0</v>
      </c>
      <c r="P48" s="189">
        <f>COUNTIF(O$2:O48, TRUE)/(COUNTIF(O$2:O48,FALSE) + COUNTIF(O$2:O48, TRUE))</f>
        <v>0.44680851063829785</v>
      </c>
      <c r="Q48" s="344"/>
      <c r="R48" s="344"/>
      <c r="S48" s="344"/>
      <c r="T48" s="344"/>
      <c r="U48" s="189">
        <f>STDEV(D$2:D48)*SQRT(252)</f>
        <v>0.24281424638505256</v>
      </c>
      <c r="V48" s="189">
        <f>STDEV(L$2:L48)*SQRT(252)</f>
        <v>0.33709966873657005</v>
      </c>
      <c r="W48" s="187">
        <f t="shared" si="4"/>
        <v>-0.36850117790259329</v>
      </c>
    </row>
    <row r="49" spans="2:24" ht="20.100000000000001" customHeight="1" x14ac:dyDescent="0.25">
      <c r="B49" s="186">
        <v>42299</v>
      </c>
      <c r="C49" s="210">
        <v>2052.5100000000002</v>
      </c>
      <c r="D49" s="175">
        <f t="shared" si="5"/>
        <v>1.6627537222502979E-2</v>
      </c>
      <c r="E49" s="211">
        <f t="shared" si="13"/>
        <v>-2.3748596868400446E-2</v>
      </c>
      <c r="F49" s="224">
        <v>4920.05</v>
      </c>
      <c r="G49" s="175">
        <f t="shared" si="2"/>
        <v>1.6514053370577649E-2</v>
      </c>
      <c r="H49" s="208">
        <f t="shared" si="7"/>
        <v>-3.3711726928137876E-2</v>
      </c>
      <c r="I49" s="226">
        <v>353557.89</v>
      </c>
      <c r="J49" s="177">
        <v>400000</v>
      </c>
      <c r="K49" s="177">
        <f t="shared" si="10"/>
        <v>3246.5400000000373</v>
      </c>
      <c r="L49" s="175">
        <f t="shared" si="8"/>
        <v>9.2675843931406664E-3</v>
      </c>
      <c r="M49" s="187">
        <f t="shared" si="11"/>
        <v>-46442.109999999986</v>
      </c>
      <c r="N49" s="189">
        <f t="shared" si="12"/>
        <v>-0.11610527499999997</v>
      </c>
      <c r="O49" s="187" t="b">
        <f t="shared" si="9"/>
        <v>0</v>
      </c>
      <c r="P49" s="189">
        <f>COUNTIF(O$2:O49, TRUE)/(COUNTIF(O$2:O49,FALSE) + COUNTIF(O$2:O49, TRUE))</f>
        <v>0.4375</v>
      </c>
      <c r="Q49" s="344"/>
      <c r="R49" s="344"/>
      <c r="S49" s="344"/>
      <c r="T49" s="344"/>
      <c r="U49" s="189">
        <f>STDEV(D$2:D49)*SQRT(252)</f>
        <v>0.24351413133026822</v>
      </c>
      <c r="V49" s="189">
        <f>STDEV(L$2:L49)*SQRT(252)</f>
        <v>0.33420544036824928</v>
      </c>
      <c r="W49" s="187">
        <f t="shared" si="4"/>
        <v>-0.34740689700343486</v>
      </c>
    </row>
    <row r="50" spans="2:24" ht="20.100000000000001" customHeight="1" x14ac:dyDescent="0.25">
      <c r="B50" s="186">
        <v>42300</v>
      </c>
      <c r="C50" s="210">
        <v>2075.15</v>
      </c>
      <c r="D50" s="175">
        <f t="shared" si="5"/>
        <v>1.103039692863853E-2</v>
      </c>
      <c r="E50" s="211">
        <f t="shared" si="13"/>
        <v>-1.2980156389718596E-2</v>
      </c>
      <c r="F50" s="224">
        <v>5031.8599999999997</v>
      </c>
      <c r="G50" s="175">
        <f t="shared" si="2"/>
        <v>2.2725378807125839E-2</v>
      </c>
      <c r="H50" s="208">
        <f t="shared" si="7"/>
        <v>-1.1752459885696358E-2</v>
      </c>
      <c r="I50" s="226">
        <v>354948.58</v>
      </c>
      <c r="J50" s="177">
        <v>400000</v>
      </c>
      <c r="K50" s="177">
        <f t="shared" ref="K50:K55" si="14">I50-I49-J50+J49</f>
        <v>1390.6900000000023</v>
      </c>
      <c r="L50" s="175">
        <f t="shared" si="8"/>
        <v>3.93341526051081E-3</v>
      </c>
      <c r="M50" s="187">
        <f t="shared" si="11"/>
        <v>-45051.419999999984</v>
      </c>
      <c r="N50" s="189">
        <f t="shared" si="12"/>
        <v>-0.11262854999999997</v>
      </c>
      <c r="O50" s="187" t="b">
        <f t="shared" si="9"/>
        <v>0</v>
      </c>
      <c r="P50" s="189">
        <f>COUNTIF(O$2:O50, TRUE)/(COUNTIF(O$2:O50,FALSE) + COUNTIF(O$2:O50, TRUE))</f>
        <v>0.42857142857142855</v>
      </c>
      <c r="Q50" s="344"/>
      <c r="R50" s="344"/>
      <c r="S50" s="344"/>
      <c r="T50" s="344"/>
      <c r="U50" s="189">
        <f>STDEV(D$2:D50)*SQRT(252)</f>
        <v>0.2423280462112376</v>
      </c>
      <c r="V50" s="189">
        <f>STDEV(L$2:L50)*SQRT(252)</f>
        <v>0.33078274353135961</v>
      </c>
      <c r="W50" s="187">
        <f t="shared" si="4"/>
        <v>-0.34049100868323351</v>
      </c>
    </row>
    <row r="51" spans="2:24" ht="20.100000000000001" customHeight="1" x14ac:dyDescent="0.25">
      <c r="B51" s="171">
        <v>42303</v>
      </c>
      <c r="C51" s="203">
        <v>2071.1799999999998</v>
      </c>
      <c r="D51" s="175">
        <f t="shared" si="5"/>
        <v>-1.9131147145990672E-3</v>
      </c>
      <c r="E51" s="204">
        <f t="shared" si="13"/>
        <v>-1.4868438576130695E-2</v>
      </c>
      <c r="F51" s="221">
        <v>5034.7</v>
      </c>
      <c r="G51" s="175">
        <f t="shared" si="2"/>
        <v>5.644036201325446E-4</v>
      </c>
      <c r="H51" s="206">
        <f t="shared" si="7"/>
        <v>-1.1194689396468763E-2</v>
      </c>
      <c r="I51" s="225">
        <v>346950.72</v>
      </c>
      <c r="J51" s="173">
        <v>400000</v>
      </c>
      <c r="K51" s="173">
        <f t="shared" si="14"/>
        <v>-7997.8600000000442</v>
      </c>
      <c r="L51" s="175">
        <f t="shared" si="8"/>
        <v>-2.2532446812437011E-2</v>
      </c>
      <c r="M51" s="180">
        <f t="shared" si="11"/>
        <v>-53049.280000000028</v>
      </c>
      <c r="N51" s="188">
        <f t="shared" si="12"/>
        <v>-0.13262320000000008</v>
      </c>
      <c r="O51" s="180" t="b">
        <f t="shared" si="9"/>
        <v>0</v>
      </c>
      <c r="P51" s="188">
        <f>COUNTIF(O$2:O51, TRUE)/(COUNTIF(O$2:O51,FALSE) + COUNTIF(O$2:O51, TRUE))</f>
        <v>0.42</v>
      </c>
      <c r="Q51" s="343"/>
      <c r="R51" s="343"/>
      <c r="S51" s="343"/>
      <c r="T51" s="343"/>
      <c r="U51" s="188">
        <f>STDEV(D$2:D51)*SQRT(252)</f>
        <v>0.23982354896201158</v>
      </c>
      <c r="V51" s="188">
        <f>STDEV(L$2:L51)*SQRT(252)</f>
        <v>0.33116253966336157</v>
      </c>
      <c r="W51" s="180">
        <f t="shared" si="4"/>
        <v>-0.40047766312825195</v>
      </c>
    </row>
    <row r="52" spans="2:24" ht="20.100000000000001" customHeight="1" x14ac:dyDescent="0.25">
      <c r="B52" s="171">
        <v>42304</v>
      </c>
      <c r="C52" s="203">
        <v>2065.89</v>
      </c>
      <c r="D52" s="175">
        <f t="shared" si="5"/>
        <v>-2.5540995953997063E-3</v>
      </c>
      <c r="E52" s="204">
        <f t="shared" si="13"/>
        <v>-1.7384562698578881E-2</v>
      </c>
      <c r="F52" s="221">
        <v>5030.1499999999996</v>
      </c>
      <c r="G52" s="175">
        <f t="shared" si="2"/>
        <v>-9.0372812680004412E-4</v>
      </c>
      <c r="H52" s="206">
        <f t="shared" si="7"/>
        <v>-1.2088300567590428E-2</v>
      </c>
      <c r="I52" s="225">
        <v>345588.46</v>
      </c>
      <c r="J52" s="173">
        <v>400000</v>
      </c>
      <c r="K52" s="173">
        <f t="shared" si="14"/>
        <v>-1362.2599999999511</v>
      </c>
      <c r="L52" s="175">
        <f t="shared" si="8"/>
        <v>-3.9263789393489401E-3</v>
      </c>
      <c r="M52" s="180">
        <f t="shared" si="11"/>
        <v>-54411.539999999979</v>
      </c>
      <c r="N52" s="188">
        <f t="shared" si="12"/>
        <v>-0.13602884999999995</v>
      </c>
      <c r="O52" s="180" t="b">
        <f t="shared" si="9"/>
        <v>0</v>
      </c>
      <c r="P52" s="188">
        <f>COUNTIF(O$2:O52, TRUE)/(COUNTIF(O$2:O52,FALSE) + COUNTIF(O$2:O52, TRUE))</f>
        <v>0.41176470588235292</v>
      </c>
      <c r="Q52" s="343"/>
      <c r="R52" s="343"/>
      <c r="S52" s="343"/>
      <c r="T52" s="343"/>
      <c r="U52" s="188">
        <f>STDEV(D$2:D52)*SQRT(252)</f>
        <v>0.2374229026669446</v>
      </c>
      <c r="V52" s="188">
        <f>STDEV(L$2:L52)*SQRT(252)</f>
        <v>0.32784098915228843</v>
      </c>
      <c r="W52" s="180">
        <f t="shared" si="4"/>
        <v>-0.41492325395837537</v>
      </c>
    </row>
    <row r="53" spans="2:24" ht="20.100000000000001" customHeight="1" x14ac:dyDescent="0.25">
      <c r="B53" s="171">
        <v>42305</v>
      </c>
      <c r="C53" s="209">
        <v>2090.31</v>
      </c>
      <c r="D53" s="175">
        <f t="shared" si="5"/>
        <v>1.1820571279206576E-2</v>
      </c>
      <c r="E53" s="204">
        <f t="shared" si="13"/>
        <v>-5.7694868819086909E-3</v>
      </c>
      <c r="F53" s="221">
        <v>5095.6899999999996</v>
      </c>
      <c r="G53" s="175">
        <f t="shared" si="2"/>
        <v>1.3029432521892979E-2</v>
      </c>
      <c r="H53" s="206">
        <f t="shared" si="7"/>
        <v>7.836282577527706E-4</v>
      </c>
      <c r="I53" s="225">
        <v>353348</v>
      </c>
      <c r="J53" s="173">
        <v>400000</v>
      </c>
      <c r="K53" s="173">
        <f t="shared" si="14"/>
        <v>7759.539999999979</v>
      </c>
      <c r="L53" s="175">
        <f t="shared" si="8"/>
        <v>2.2453122421969698E-2</v>
      </c>
      <c r="M53" s="180">
        <f t="shared" si="11"/>
        <v>-46652</v>
      </c>
      <c r="N53" s="188">
        <f t="shared" si="12"/>
        <v>-0.11663</v>
      </c>
      <c r="O53" s="180" t="b">
        <f t="shared" si="9"/>
        <v>1</v>
      </c>
      <c r="P53" s="188">
        <f>COUNTIF(O$2:O53, TRUE)/(COUNTIF(O$2:O53,FALSE) + COUNTIF(O$2:O53, TRUE))</f>
        <v>0.42307692307692307</v>
      </c>
      <c r="Q53" s="343"/>
      <c r="R53" s="343"/>
      <c r="S53" s="343"/>
      <c r="T53" s="343"/>
      <c r="U53" s="188">
        <f>STDEV(D$2:D53)*SQRT(252)</f>
        <v>0.23656092323249167</v>
      </c>
      <c r="V53" s="188">
        <f>STDEV(L$2:L53)*SQRT(252)</f>
        <v>0.32865868284465172</v>
      </c>
      <c r="W53" s="180">
        <f t="shared" si="4"/>
        <v>-0.35486663243011873</v>
      </c>
    </row>
    <row r="54" spans="2:24" ht="20.100000000000001" customHeight="1" x14ac:dyDescent="0.25">
      <c r="B54" s="171">
        <v>42306</v>
      </c>
      <c r="C54" s="209">
        <v>2089.41</v>
      </c>
      <c r="D54" s="175">
        <f t="shared" si="5"/>
        <v>-4.3055814687777935E-4</v>
      </c>
      <c r="E54" s="204">
        <f>(C54-$C$2)/$C$2</f>
        <v>-6.1975609292061603E-3</v>
      </c>
      <c r="F54" s="221">
        <v>5074.2700000000004</v>
      </c>
      <c r="G54" s="175">
        <f t="shared" si="2"/>
        <v>-4.203552413902566E-3</v>
      </c>
      <c r="H54" s="206">
        <f t="shared" si="7"/>
        <v>-3.4232181786042742E-3</v>
      </c>
      <c r="I54" s="225">
        <v>349127.55</v>
      </c>
      <c r="J54" s="173">
        <v>400000</v>
      </c>
      <c r="K54" s="173">
        <f t="shared" si="14"/>
        <v>-4220.4500000000116</v>
      </c>
      <c r="L54" s="175">
        <f t="shared" si="8"/>
        <v>-1.1944174015418261E-2</v>
      </c>
      <c r="M54" s="180">
        <f t="shared" si="11"/>
        <v>-50872.450000000012</v>
      </c>
      <c r="N54" s="188">
        <f t="shared" si="12"/>
        <v>-0.12718112500000003</v>
      </c>
      <c r="O54" s="180" t="b">
        <f t="shared" si="9"/>
        <v>0</v>
      </c>
      <c r="P54" s="188">
        <f>COUNTIF(O$2:O54, TRUE)/(COUNTIF(O$2:O54,FALSE) + COUNTIF(O$2:O54, TRUE))</f>
        <v>0.41509433962264153</v>
      </c>
      <c r="Q54" s="343"/>
      <c r="R54" s="343"/>
      <c r="S54" s="343"/>
      <c r="T54" s="343"/>
      <c r="U54" s="188">
        <f>STDEV(D$2:D54)*SQRT(252)</f>
        <v>0.23423209631374151</v>
      </c>
      <c r="V54" s="188">
        <f>STDEV(L$2:L54)*SQRT(252)</f>
        <v>0.32641026079746971</v>
      </c>
      <c r="W54" s="180">
        <f t="shared" si="4"/>
        <v>-0.38963580583918311</v>
      </c>
    </row>
    <row r="55" spans="2:24" ht="20.100000000000001" customHeight="1" x14ac:dyDescent="0.25">
      <c r="B55" s="171">
        <v>42307</v>
      </c>
      <c r="C55" s="209">
        <v>2079.36</v>
      </c>
      <c r="D55" s="175">
        <f t="shared" si="5"/>
        <v>-4.8099702786909837E-3</v>
      </c>
      <c r="E55" s="204">
        <f>(C55-$C$2)/$C$2</f>
        <v>-1.0977721124027286E-2</v>
      </c>
      <c r="F55" s="221">
        <v>5053.75</v>
      </c>
      <c r="G55" s="175">
        <f t="shared" si="2"/>
        <v>-4.0439314423553405E-3</v>
      </c>
      <c r="H55" s="206">
        <f t="shared" si="7"/>
        <v>-7.4533063613331143E-3</v>
      </c>
      <c r="I55" s="492">
        <v>351138.5</v>
      </c>
      <c r="J55" s="173">
        <v>400000</v>
      </c>
      <c r="K55" s="173">
        <f t="shared" si="14"/>
        <v>2010.9500000000116</v>
      </c>
      <c r="L55" s="175">
        <f t="shared" si="8"/>
        <v>5.759929286588846E-3</v>
      </c>
      <c r="M55" s="180">
        <f t="shared" si="11"/>
        <v>-48861.5</v>
      </c>
      <c r="N55" s="188">
        <f t="shared" si="12"/>
        <v>-0.12215375000000001</v>
      </c>
      <c r="O55" s="180" t="b">
        <f t="shared" si="9"/>
        <v>1</v>
      </c>
      <c r="P55" s="188">
        <f>COUNTIF(O$2:O55, TRUE)/(COUNTIF(O$2:O55,FALSE) + COUNTIF(O$2:O55, TRUE))</f>
        <v>0.42592592592592593</v>
      </c>
      <c r="Q55" s="343"/>
      <c r="R55" s="343"/>
      <c r="S55" s="343"/>
      <c r="T55" s="343"/>
      <c r="U55" s="188">
        <f>STDEV(D$2:D55)*SQRT(252)</f>
        <v>0.23220468856265722</v>
      </c>
      <c r="V55" s="188">
        <f>STDEV(L$2:L55)*SQRT(252)</f>
        <v>0.32355647040832186</v>
      </c>
      <c r="W55" s="180">
        <f t="shared" si="4"/>
        <v>-0.37753456095575649</v>
      </c>
    </row>
    <row r="56" spans="2:24" ht="20.100000000000001" customHeight="1" x14ac:dyDescent="0.25">
      <c r="B56" s="176">
        <v>42310</v>
      </c>
      <c r="C56" s="213">
        <v>2104.0500000000002</v>
      </c>
      <c r="D56" s="175">
        <f t="shared" si="5"/>
        <v>1.187384579870732E-2</v>
      </c>
      <c r="E56" s="214">
        <f t="shared" ref="E56:E62" si="15">(C56-$C$2)/$C$2</f>
        <v>7.6577690683212233E-4</v>
      </c>
      <c r="F56" s="224">
        <v>5053.75</v>
      </c>
      <c r="G56" s="175">
        <f t="shared" si="2"/>
        <v>0</v>
      </c>
      <c r="H56" s="208">
        <f t="shared" si="7"/>
        <v>-7.4533063613331143E-3</v>
      </c>
      <c r="I56" s="226">
        <v>356948.81</v>
      </c>
      <c r="J56" s="177">
        <v>400000</v>
      </c>
      <c r="K56" s="177">
        <f t="shared" ref="K56:K87" si="16">I56-I55-J56+J55</f>
        <v>5810.3099999999977</v>
      </c>
      <c r="L56" s="175">
        <f t="shared" si="8"/>
        <v>1.6547060490376297E-2</v>
      </c>
      <c r="M56" s="187">
        <f t="shared" si="11"/>
        <v>-43051.19</v>
      </c>
      <c r="N56" s="189">
        <f t="shared" si="12"/>
        <v>-0.107627975</v>
      </c>
      <c r="O56" s="187" t="b">
        <f t="shared" si="9"/>
        <v>1</v>
      </c>
      <c r="P56" s="189">
        <f>COUNTIF(O$2:O56, TRUE)/(COUNTIF(O$2:O56,FALSE) + COUNTIF(O$2:O56, TRUE))</f>
        <v>0.43636363636363634</v>
      </c>
      <c r="Q56" s="344"/>
      <c r="R56" s="344"/>
      <c r="S56" s="344"/>
      <c r="T56" s="344"/>
      <c r="U56" s="189">
        <f>STDEV(D$2:D56)*SQRT(252)</f>
        <v>0.23145429539624826</v>
      </c>
      <c r="V56" s="189">
        <f>STDEV(L$2:L56)*SQRT(252)</f>
        <v>0.32260027221647702</v>
      </c>
      <c r="W56" s="187">
        <f t="shared" si="4"/>
        <v>-0.33362642337690757</v>
      </c>
    </row>
    <row r="57" spans="2:24" ht="20.100000000000001" customHeight="1" x14ac:dyDescent="0.25">
      <c r="B57" s="176">
        <v>42311</v>
      </c>
      <c r="C57" s="213">
        <v>2109.79</v>
      </c>
      <c r="D57" s="175">
        <f t="shared" si="5"/>
        <v>2.7280720515195844E-3</v>
      </c>
      <c r="E57" s="214">
        <f t="shared" si="15"/>
        <v>3.4959380529289343E-3</v>
      </c>
      <c r="F57" s="224">
        <v>5145.13</v>
      </c>
      <c r="G57" s="175">
        <f t="shared" si="2"/>
        <v>1.8081622557506824E-2</v>
      </c>
      <c r="H57" s="208">
        <f t="shared" si="7"/>
        <v>1.049354832374262E-2</v>
      </c>
      <c r="I57" s="226">
        <v>362269.44</v>
      </c>
      <c r="J57" s="177">
        <v>400000</v>
      </c>
      <c r="K57" s="177">
        <f t="shared" si="16"/>
        <v>5320.6300000000047</v>
      </c>
      <c r="L57" s="175">
        <f t="shared" si="8"/>
        <v>1.4905862832264393E-2</v>
      </c>
      <c r="M57" s="187">
        <f t="shared" si="11"/>
        <v>-37730.559999999998</v>
      </c>
      <c r="N57" s="189">
        <f t="shared" si="12"/>
        <v>-9.4326399999999991E-2</v>
      </c>
      <c r="O57" s="187" t="b">
        <f t="shared" si="9"/>
        <v>1</v>
      </c>
      <c r="P57" s="189">
        <f>COUNTIF(O$2:O57, TRUE)/(COUNTIF(O$2:O57,FALSE) + COUNTIF(O$2:O57, TRUE))</f>
        <v>0.44642857142857145</v>
      </c>
      <c r="Q57" s="344"/>
      <c r="R57" s="344"/>
      <c r="S57" s="344"/>
      <c r="T57" s="344"/>
      <c r="U57" s="189">
        <f>STDEV(D$2:D57)*SQRT(252)</f>
        <v>0.22936919812964679</v>
      </c>
      <c r="V57" s="189">
        <f>STDEV(L$2:L57)*SQRT(252)</f>
        <v>0.32122906847311467</v>
      </c>
      <c r="W57" s="187">
        <f t="shared" si="4"/>
        <v>-0.29364216771650808</v>
      </c>
    </row>
    <row r="58" spans="2:24" ht="20.100000000000001" customHeight="1" x14ac:dyDescent="0.25">
      <c r="B58" s="176">
        <v>42312</v>
      </c>
      <c r="C58" s="213">
        <v>2102.31</v>
      </c>
      <c r="D58" s="175">
        <f t="shared" si="5"/>
        <v>-3.5453765540646312E-3</v>
      </c>
      <c r="E58" s="214">
        <f t="shared" si="15"/>
        <v>-6.1832917943013417E-5</v>
      </c>
      <c r="F58" s="224">
        <v>5142.4799999999996</v>
      </c>
      <c r="G58" s="175">
        <f t="shared" si="2"/>
        <v>-5.1505015422361453E-4</v>
      </c>
      <c r="H58" s="208">
        <f t="shared" si="7"/>
        <v>9.9730934658365071E-3</v>
      </c>
      <c r="I58" s="226">
        <v>361654.42</v>
      </c>
      <c r="J58" s="177">
        <v>400000</v>
      </c>
      <c r="K58" s="177">
        <f t="shared" si="16"/>
        <v>-615.02000000001863</v>
      </c>
      <c r="L58" s="175">
        <f t="shared" si="8"/>
        <v>-1.697686672107972E-3</v>
      </c>
      <c r="M58" s="187">
        <f t="shared" si="11"/>
        <v>-38345.580000000016</v>
      </c>
      <c r="N58" s="189">
        <f t="shared" si="12"/>
        <v>-9.5863950000000045E-2</v>
      </c>
      <c r="O58" s="187" t="b">
        <f t="shared" si="9"/>
        <v>1</v>
      </c>
      <c r="P58" s="189">
        <f>COUNTIF(O$2:O58, TRUE)/(COUNTIF(O$2:O58,FALSE) + COUNTIF(O$2:O58, TRUE))</f>
        <v>0.45614035087719296</v>
      </c>
      <c r="Q58" s="344"/>
      <c r="R58" s="344"/>
      <c r="S58" s="344"/>
      <c r="T58" s="344"/>
      <c r="U58" s="189">
        <f>STDEV(D$2:D58)*SQRT(252)</f>
        <v>0.22741079678230972</v>
      </c>
      <c r="V58" s="189">
        <f>STDEV(L$2:L58)*SQRT(252)</f>
        <v>0.31831780697519846</v>
      </c>
      <c r="W58" s="187">
        <f t="shared" si="4"/>
        <v>-0.3011579870788354</v>
      </c>
    </row>
    <row r="59" spans="2:24" ht="20.100000000000001" customHeight="1" x14ac:dyDescent="0.25">
      <c r="B59" s="176">
        <v>42313</v>
      </c>
      <c r="C59" s="213">
        <v>2099.9299999999998</v>
      </c>
      <c r="D59" s="175">
        <f t="shared" si="5"/>
        <v>-1.1320880364932427E-3</v>
      </c>
      <c r="E59" s="214">
        <f t="shared" si="15"/>
        <v>-1.1938509541295915E-3</v>
      </c>
      <c r="F59" s="224">
        <v>5127.74</v>
      </c>
      <c r="G59" s="175">
        <f t="shared" si="2"/>
        <v>-2.8663213080069895E-3</v>
      </c>
      <c r="H59" s="208">
        <f t="shared" si="7"/>
        <v>7.0781860675216456E-3</v>
      </c>
      <c r="I59" s="226">
        <v>351667.44</v>
      </c>
      <c r="J59" s="177">
        <v>400000</v>
      </c>
      <c r="K59" s="177">
        <f t="shared" si="16"/>
        <v>-9986.9799999999814</v>
      </c>
      <c r="L59" s="175">
        <f t="shared" si="8"/>
        <v>-2.7614704667510995E-2</v>
      </c>
      <c r="M59" s="187">
        <f t="shared" si="11"/>
        <v>-48332.56</v>
      </c>
      <c r="N59" s="189">
        <f t="shared" si="12"/>
        <v>-0.12083139999999999</v>
      </c>
      <c r="O59" s="187" t="b">
        <f t="shared" ref="O59:O90" si="17">L59&gt;D59</f>
        <v>0</v>
      </c>
      <c r="P59" s="189">
        <f>COUNTIF(O$2:O59, TRUE)/(COUNTIF(O$2:O59,FALSE) + COUNTIF(O$2:O59, TRUE))</f>
        <v>0.44827586206896552</v>
      </c>
      <c r="Q59" s="344"/>
      <c r="R59" s="344"/>
      <c r="S59" s="344"/>
      <c r="T59" s="344"/>
      <c r="U59" s="189">
        <f>STDEV(D$2:D59)*SQRT(252)</f>
        <v>0.2253860839795564</v>
      </c>
      <c r="V59" s="189">
        <f>STDEV(L$2:L59)*SQRT(252)</f>
        <v>0.32078118980306136</v>
      </c>
      <c r="W59" s="187">
        <f t="shared" si="4"/>
        <v>-0.37667857044293201</v>
      </c>
    </row>
    <row r="60" spans="2:24" ht="20.100000000000001" customHeight="1" x14ac:dyDescent="0.25">
      <c r="B60" s="176">
        <v>42314</v>
      </c>
      <c r="C60" s="220">
        <v>2099.1999999999998</v>
      </c>
      <c r="D60" s="175">
        <f t="shared" si="5"/>
        <v>-3.4763063530689989E-4</v>
      </c>
      <c r="E60" s="214">
        <f t="shared" si="15"/>
        <v>-1.5410665702708455E-3</v>
      </c>
      <c r="F60" s="224">
        <v>5147.12</v>
      </c>
      <c r="G60" s="175">
        <f t="shared" si="2"/>
        <v>3.7794427954615699E-3</v>
      </c>
      <c r="H60" s="208">
        <f t="shared" si="7"/>
        <v>1.0884380462321047E-2</v>
      </c>
      <c r="I60" s="226">
        <v>351454.25</v>
      </c>
      <c r="J60" s="177">
        <v>400000</v>
      </c>
      <c r="K60" s="177">
        <f t="shared" si="16"/>
        <v>-213.19000000000233</v>
      </c>
      <c r="L60" s="175">
        <f t="shared" si="8"/>
        <v>-6.0622615502874632E-4</v>
      </c>
      <c r="M60" s="187">
        <f t="shared" si="11"/>
        <v>-48545.75</v>
      </c>
      <c r="N60" s="189">
        <f t="shared" si="12"/>
        <v>-0.121364375</v>
      </c>
      <c r="O60" s="187" t="b">
        <f t="shared" si="17"/>
        <v>0</v>
      </c>
      <c r="P60" s="189">
        <f>COUNTIF(O$2:O60, TRUE)/(COUNTIF(O$2:O60,FALSE) + COUNTIF(O$2:O60, TRUE))</f>
        <v>0.44067796610169491</v>
      </c>
      <c r="Q60" s="344"/>
      <c r="R60" s="344"/>
      <c r="S60" s="344"/>
      <c r="T60" s="344"/>
      <c r="U60" s="189">
        <f>STDEV(D$2:D60)*SQRT(252)</f>
        <v>0.22340202899589548</v>
      </c>
      <c r="V60" s="189">
        <f>STDEV(L$2:L60)*SQRT(252)</f>
        <v>0.31795506965896425</v>
      </c>
      <c r="W60" s="187">
        <f t="shared" si="4"/>
        <v>-0.38170290893670711</v>
      </c>
      <c r="X60" s="218"/>
    </row>
    <row r="61" spans="2:24" ht="20.100000000000001" customHeight="1" x14ac:dyDescent="0.25">
      <c r="B61" s="171">
        <v>42317</v>
      </c>
      <c r="C61" s="203">
        <v>2078.58</v>
      </c>
      <c r="D61" s="175">
        <f t="shared" si="5"/>
        <v>-9.8227896341462895E-3</v>
      </c>
      <c r="E61" s="204">
        <f t="shared" si="15"/>
        <v>-1.1348718631685149E-2</v>
      </c>
      <c r="F61" s="221">
        <v>5095.3</v>
      </c>
      <c r="G61" s="175">
        <f t="shared" si="2"/>
        <v>-1.0067766051694873E-2</v>
      </c>
      <c r="H61" s="206">
        <f t="shared" si="7"/>
        <v>7.0703301451388806E-4</v>
      </c>
      <c r="I61" s="225">
        <v>347015.14</v>
      </c>
      <c r="J61" s="173">
        <v>400000</v>
      </c>
      <c r="K61" s="173">
        <f t="shared" si="16"/>
        <v>-4439.109999999986</v>
      </c>
      <c r="L61" s="175">
        <f t="shared" si="8"/>
        <v>-1.2630690907849275E-2</v>
      </c>
      <c r="M61" s="180">
        <f t="shared" si="11"/>
        <v>-52984.859999999986</v>
      </c>
      <c r="N61" s="188">
        <f t="shared" si="12"/>
        <v>-0.13246214999999997</v>
      </c>
      <c r="O61" s="180" t="b">
        <f t="shared" si="17"/>
        <v>0</v>
      </c>
      <c r="P61" s="188">
        <f>COUNTIF(O$2:O61, TRUE)/(COUNTIF(O$2:O61,FALSE) + COUNTIF(O$2:O61, TRUE))</f>
        <v>0.43333333333333335</v>
      </c>
      <c r="Q61" s="343"/>
      <c r="R61" s="343"/>
      <c r="S61" s="343"/>
      <c r="T61" s="343"/>
      <c r="U61" s="188">
        <f>STDEV(D$2:D61)*SQRT(252)</f>
        <v>0.2224096817728117</v>
      </c>
      <c r="V61" s="188">
        <f>STDEV(L$2:L61)*SQRT(252)</f>
        <v>0.31620783635013966</v>
      </c>
      <c r="W61" s="180">
        <f t="shared" si="4"/>
        <v>-0.41890849869173857</v>
      </c>
    </row>
    <row r="62" spans="2:24" ht="20.100000000000001" customHeight="1" x14ac:dyDescent="0.25">
      <c r="B62" s="171">
        <v>42318</v>
      </c>
      <c r="C62" s="203">
        <v>2081.7199999999998</v>
      </c>
      <c r="D62" s="175">
        <f t="shared" si="5"/>
        <v>1.5106466914912454E-3</v>
      </c>
      <c r="E62" s="204">
        <f t="shared" si="15"/>
        <v>-9.8552158444475246E-3</v>
      </c>
      <c r="F62" s="221">
        <v>5083.24</v>
      </c>
      <c r="G62" s="175">
        <f t="shared" si="2"/>
        <v>-2.3668871312779228E-3</v>
      </c>
      <c r="H62" s="206">
        <f t="shared" si="7"/>
        <v>-1.6615275841074762E-3</v>
      </c>
      <c r="I62" s="225">
        <v>346488.34</v>
      </c>
      <c r="J62" s="173">
        <v>400000</v>
      </c>
      <c r="K62" s="173">
        <f t="shared" si="16"/>
        <v>-526.79999999998836</v>
      </c>
      <c r="L62" s="175">
        <f t="shared" si="8"/>
        <v>-1.5180893836504894E-3</v>
      </c>
      <c r="M62" s="180">
        <f t="shared" ref="M62:M93" si="18">I62-J62</f>
        <v>-53511.659999999974</v>
      </c>
      <c r="N62" s="188">
        <f t="shared" ref="N62:N93" si="19">M62/J62</f>
        <v>-0.13377914999999993</v>
      </c>
      <c r="O62" s="180" t="b">
        <f t="shared" si="17"/>
        <v>0</v>
      </c>
      <c r="P62" s="188">
        <f>COUNTIF(O$2:O62, TRUE)/(COUNTIF(O$2:O62,FALSE) + COUNTIF(O$2:O62, TRUE))</f>
        <v>0.42622950819672129</v>
      </c>
      <c r="Q62" s="343"/>
      <c r="R62" s="343"/>
      <c r="S62" s="343"/>
      <c r="T62" s="343"/>
      <c r="U62" s="188">
        <f>STDEV(D$2:D62)*SQRT(252)</f>
        <v>0.22054140197015909</v>
      </c>
      <c r="V62" s="188">
        <f>STDEV(L$2:L62)*SQRT(252)</f>
        <v>0.31352177036879675</v>
      </c>
      <c r="W62" s="180">
        <f t="shared" si="4"/>
        <v>-0.42669812001455287</v>
      </c>
    </row>
    <row r="63" spans="2:24" ht="20.100000000000001" customHeight="1" x14ac:dyDescent="0.25">
      <c r="B63" s="171">
        <v>42319</v>
      </c>
      <c r="C63" s="203">
        <v>2075</v>
      </c>
      <c r="D63" s="175">
        <f t="shared" si="5"/>
        <v>-3.2280998405164003E-3</v>
      </c>
      <c r="E63" s="204">
        <f t="shared" ref="E63:E84" si="20">(C63-$C$2)/$C$2</f>
        <v>-1.305150206426821E-2</v>
      </c>
      <c r="F63" s="221">
        <v>5067.0200000000004</v>
      </c>
      <c r="G63" s="175">
        <f t="shared" si="2"/>
        <v>-3.1908782587482289E-3</v>
      </c>
      <c r="H63" s="206">
        <f t="shared" si="7"/>
        <v>-4.8471041106112655E-3</v>
      </c>
      <c r="I63" s="225">
        <v>341384.62</v>
      </c>
      <c r="J63" s="173">
        <v>400000</v>
      </c>
      <c r="K63" s="173">
        <f t="shared" si="16"/>
        <v>-5103.7200000000303</v>
      </c>
      <c r="L63" s="175">
        <f t="shared" si="8"/>
        <v>-1.472984632036977E-2</v>
      </c>
      <c r="M63" s="180">
        <f t="shared" si="18"/>
        <v>-58615.380000000005</v>
      </c>
      <c r="N63" s="188">
        <f t="shared" si="19"/>
        <v>-0.14653845000000001</v>
      </c>
      <c r="O63" s="180" t="b">
        <f t="shared" si="17"/>
        <v>0</v>
      </c>
      <c r="P63" s="188">
        <f>COUNTIF(O$2:O63, TRUE)/(COUNTIF(O$2:O63,FALSE) + COUNTIF(O$2:O63, TRUE))</f>
        <v>0.41935483870967744</v>
      </c>
      <c r="Q63" s="343"/>
      <c r="R63" s="343"/>
      <c r="S63" s="343"/>
      <c r="T63" s="343"/>
      <c r="U63" s="188">
        <f>STDEV(D$2:D63)*SQRT(252)</f>
        <v>0.21879001839109452</v>
      </c>
      <c r="V63" s="188">
        <f>STDEV(L$2:L63)*SQRT(252)</f>
        <v>0.31221077177668255</v>
      </c>
      <c r="W63" s="180">
        <f t="shared" si="4"/>
        <v>-0.46935744454331552</v>
      </c>
    </row>
    <row r="64" spans="2:24" ht="20.100000000000001" customHeight="1" x14ac:dyDescent="0.25">
      <c r="B64" s="171">
        <v>42320</v>
      </c>
      <c r="C64" s="209">
        <v>2045.97</v>
      </c>
      <c r="D64" s="175">
        <f t="shared" si="5"/>
        <v>-1.3990361445783119E-2</v>
      </c>
      <c r="E64" s="204">
        <f t="shared" si="20"/>
        <v>-2.6859268278761832E-2</v>
      </c>
      <c r="F64" s="221">
        <v>5005.08</v>
      </c>
      <c r="G64" s="175">
        <f t="shared" si="2"/>
        <v>-1.222414752655417E-2</v>
      </c>
      <c r="H64" s="206">
        <f t="shared" si="7"/>
        <v>-1.7011999921440757E-2</v>
      </c>
      <c r="I64" s="225">
        <v>335500.62</v>
      </c>
      <c r="J64" s="173">
        <v>400000</v>
      </c>
      <c r="K64" s="173">
        <f t="shared" si="16"/>
        <v>-5884</v>
      </c>
      <c r="L64" s="175">
        <f t="shared" si="8"/>
        <v>-1.7235691520022196E-2</v>
      </c>
      <c r="M64" s="180">
        <f t="shared" si="18"/>
        <v>-64499.380000000005</v>
      </c>
      <c r="N64" s="188">
        <f t="shared" si="19"/>
        <v>-0.16124845000000002</v>
      </c>
      <c r="O64" s="180" t="b">
        <f t="shared" si="17"/>
        <v>0</v>
      </c>
      <c r="P64" s="188">
        <f>COUNTIF(O$2:O64, TRUE)/(COUNTIF(O$2:O64,FALSE) + COUNTIF(O$2:O64, TRUE))</f>
        <v>0.41269841269841268</v>
      </c>
      <c r="Q64" s="343"/>
      <c r="R64" s="343"/>
      <c r="S64" s="343"/>
      <c r="T64" s="343"/>
      <c r="U64" s="188">
        <f>STDEV(D$2:D64)*SQRT(252)</f>
        <v>0.21878322617502383</v>
      </c>
      <c r="V64" s="188">
        <f>STDEV(L$2:L64)*SQRT(252)</f>
        <v>0.311389828072407</v>
      </c>
      <c r="W64" s="180">
        <f t="shared" si="4"/>
        <v>-0.51783467365705071</v>
      </c>
    </row>
    <row r="65" spans="2:23" ht="20.100000000000001" customHeight="1" x14ac:dyDescent="0.25">
      <c r="B65" s="171">
        <v>42321</v>
      </c>
      <c r="C65" s="209">
        <v>2023.04</v>
      </c>
      <c r="D65" s="175">
        <f t="shared" si="5"/>
        <v>-1.1207397957936852E-2</v>
      </c>
      <c r="E65" s="204">
        <f t="shared" si="20"/>
        <v>-3.7765643728239609E-2</v>
      </c>
      <c r="F65" s="221">
        <v>4927.88</v>
      </c>
      <c r="G65" s="175">
        <f t="shared" si="2"/>
        <v>-1.5424328881855999E-2</v>
      </c>
      <c r="H65" s="206">
        <f t="shared" si="7"/>
        <v>-3.217393012157034E-2</v>
      </c>
      <c r="I65" s="225">
        <v>335955</v>
      </c>
      <c r="J65" s="173">
        <v>400000</v>
      </c>
      <c r="K65" s="173">
        <f t="shared" si="16"/>
        <v>454.38000000000466</v>
      </c>
      <c r="L65" s="175">
        <f t="shared" si="8"/>
        <v>1.3543343079366133E-3</v>
      </c>
      <c r="M65" s="180">
        <f t="shared" si="18"/>
        <v>-64045</v>
      </c>
      <c r="N65" s="188">
        <f t="shared" si="19"/>
        <v>-0.16011249999999999</v>
      </c>
      <c r="O65" s="180" t="b">
        <f t="shared" si="17"/>
        <v>1</v>
      </c>
      <c r="P65" s="188">
        <f>COUNTIF(O$2:O65, TRUE)/(COUNTIF(O$2:O65,FALSE) + COUNTIF(O$2:O65, TRUE))</f>
        <v>0.421875</v>
      </c>
      <c r="Q65" s="343"/>
      <c r="R65" s="343"/>
      <c r="S65" s="343"/>
      <c r="T65" s="343"/>
      <c r="U65" s="188">
        <f>STDEV(D$2:D65)*SQRT(252)</f>
        <v>0.21809630494176296</v>
      </c>
      <c r="V65" s="188">
        <f>STDEV(L$2:L65)*SQRT(252)</f>
        <v>0.30890912442956392</v>
      </c>
      <c r="W65" s="180">
        <f t="shared" si="4"/>
        <v>-0.51831586488636772</v>
      </c>
    </row>
    <row r="66" spans="2:23" ht="20.100000000000001" customHeight="1" x14ac:dyDescent="0.25">
      <c r="B66" s="176">
        <v>42324</v>
      </c>
      <c r="C66" s="213">
        <v>2053.19</v>
      </c>
      <c r="D66" s="175">
        <f t="shared" si="5"/>
        <v>1.4903313824739053E-2</v>
      </c>
      <c r="E66" s="214">
        <f t="shared" si="20"/>
        <v>-2.3425163143775803E-2</v>
      </c>
      <c r="F66" s="224">
        <v>4984.62</v>
      </c>
      <c r="G66" s="175">
        <f t="shared" si="2"/>
        <v>1.1514079076600847E-2</v>
      </c>
      <c r="H66" s="208">
        <f t="shared" si="7"/>
        <v>-2.1030304220594286E-2</v>
      </c>
      <c r="I66" s="226">
        <v>342834.39</v>
      </c>
      <c r="J66" s="177">
        <v>400000</v>
      </c>
      <c r="K66" s="177">
        <f t="shared" si="16"/>
        <v>6879.390000000014</v>
      </c>
      <c r="L66" s="175">
        <f t="shared" si="8"/>
        <v>2.047711747108992E-2</v>
      </c>
      <c r="M66" s="187">
        <f t="shared" si="18"/>
        <v>-57165.609999999986</v>
      </c>
      <c r="N66" s="189">
        <f t="shared" si="19"/>
        <v>-0.14291402499999997</v>
      </c>
      <c r="O66" s="187" t="b">
        <f t="shared" si="17"/>
        <v>1</v>
      </c>
      <c r="P66" s="189">
        <f>COUNTIF(O$2:O66, TRUE)/(COUNTIF(O$2:O66,FALSE) + COUNTIF(O$2:O66, TRUE))</f>
        <v>0.43076923076923079</v>
      </c>
      <c r="Q66" s="344"/>
      <c r="R66" s="344"/>
      <c r="S66" s="344"/>
      <c r="T66" s="344"/>
      <c r="U66" s="189">
        <f>STDEV(D$2:D66)*SQRT(252)</f>
        <v>0.2185117014996438</v>
      </c>
      <c r="V66" s="189">
        <f>STDEV(L$2:L66)*SQRT(252)</f>
        <v>0.30942792293284299</v>
      </c>
      <c r="W66" s="187">
        <f t="shared" si="4"/>
        <v>-0.46186531469242181</v>
      </c>
    </row>
    <row r="67" spans="2:23" ht="20.100000000000001" customHeight="1" x14ac:dyDescent="0.25">
      <c r="B67" s="176">
        <v>42325</v>
      </c>
      <c r="C67" s="213">
        <v>2050.44</v>
      </c>
      <c r="D67" s="175">
        <f t="shared" si="5"/>
        <v>-1.3393792099123801E-3</v>
      </c>
      <c r="E67" s="214">
        <f t="shared" si="20"/>
        <v>-2.4733167177184604E-2</v>
      </c>
      <c r="F67" s="224">
        <v>4986.01</v>
      </c>
      <c r="G67" s="175">
        <f t="shared" ref="G67:G131" si="21">(F67-F66)/F66</f>
        <v>2.7885776648978807E-4</v>
      </c>
      <c r="H67" s="208">
        <f t="shared" ref="H67:H84" si="22">(F67-F$2)/F$2</f>
        <v>-2.0757310917768054E-2</v>
      </c>
      <c r="I67" s="226">
        <v>341363.07</v>
      </c>
      <c r="J67" s="177">
        <v>400000</v>
      </c>
      <c r="K67" s="177">
        <f t="shared" si="16"/>
        <v>-1471.320000000007</v>
      </c>
      <c r="L67" s="175">
        <f t="shared" si="8"/>
        <v>-4.2916348036146747E-3</v>
      </c>
      <c r="M67" s="187">
        <f t="shared" si="18"/>
        <v>-58636.929999999993</v>
      </c>
      <c r="N67" s="189">
        <f t="shared" si="19"/>
        <v>-0.146592325</v>
      </c>
      <c r="O67" s="187" t="b">
        <f t="shared" si="17"/>
        <v>0</v>
      </c>
      <c r="P67" s="189">
        <f>COUNTIF(O$2:O67, TRUE)/(COUNTIF(O$2:O67,FALSE) + COUNTIF(O$2:O67, TRUE))</f>
        <v>0.42424242424242425</v>
      </c>
      <c r="Q67" s="344"/>
      <c r="R67" s="344"/>
      <c r="S67" s="344"/>
      <c r="T67" s="344"/>
      <c r="U67" s="189">
        <f>STDEV(D$2:D67)*SQRT(252)</f>
        <v>0.21680795188349017</v>
      </c>
      <c r="V67" s="189">
        <f>STDEV(L$2:L67)*SQRT(252)</f>
        <v>0.30707902780871166</v>
      </c>
      <c r="W67" s="187">
        <f t="shared" ref="W67:W130" si="23">N67/V67</f>
        <v>-0.4773765439016453</v>
      </c>
    </row>
    <row r="68" spans="2:23" ht="20.100000000000001" customHeight="1" x14ac:dyDescent="0.25">
      <c r="B68" s="176">
        <v>42326</v>
      </c>
      <c r="C68" s="213">
        <v>2083.58</v>
      </c>
      <c r="D68" s="175">
        <f t="shared" ref="D68:D132" si="24">(C68-C67)/C67</f>
        <v>1.6162384658902417E-2</v>
      </c>
      <c r="E68" s="214">
        <f t="shared" si="20"/>
        <v>-8.970529480032784E-3</v>
      </c>
      <c r="F68" s="224">
        <v>5075.2</v>
      </c>
      <c r="G68" s="175">
        <f t="shared" si="21"/>
        <v>1.7888050766043308E-2</v>
      </c>
      <c r="H68" s="208">
        <f t="shared" si="22"/>
        <v>-3.2405679831883261E-3</v>
      </c>
      <c r="I68" s="226">
        <v>349578.29</v>
      </c>
      <c r="J68" s="177">
        <v>400000</v>
      </c>
      <c r="K68" s="177">
        <f t="shared" si="16"/>
        <v>8215.2199999999721</v>
      </c>
      <c r="L68" s="175">
        <f t="shared" ref="L68:L131" si="25">K68/I67</f>
        <v>2.4065930740545461E-2</v>
      </c>
      <c r="M68" s="187">
        <f t="shared" si="18"/>
        <v>-50421.710000000021</v>
      </c>
      <c r="N68" s="189">
        <f t="shared" si="19"/>
        <v>-0.12605427500000005</v>
      </c>
      <c r="O68" s="187" t="b">
        <f t="shared" si="17"/>
        <v>1</v>
      </c>
      <c r="P68" s="189">
        <f>COUNTIF(O$2:O68, TRUE)/(COUNTIF(O$2:O68,FALSE) + COUNTIF(O$2:O68, TRUE))</f>
        <v>0.43283582089552236</v>
      </c>
      <c r="Q68" s="344"/>
      <c r="R68" s="344"/>
      <c r="S68" s="344"/>
      <c r="T68" s="344"/>
      <c r="U68" s="189">
        <f>STDEV(D$2:D68)*SQRT(252)</f>
        <v>0.21752341302178005</v>
      </c>
      <c r="V68" s="189">
        <f>STDEV(L$2:L68)*SQRT(252)</f>
        <v>0.30856663188820815</v>
      </c>
      <c r="W68" s="187">
        <f t="shared" si="23"/>
        <v>-0.40851557483269535</v>
      </c>
    </row>
    <row r="69" spans="2:23" ht="20.100000000000001" customHeight="1" x14ac:dyDescent="0.25">
      <c r="B69" s="176">
        <v>42327</v>
      </c>
      <c r="C69" s="213">
        <v>2081.2399999999998</v>
      </c>
      <c r="D69" s="175">
        <f t="shared" si="24"/>
        <v>-1.1230670288638524E-3</v>
      </c>
      <c r="E69" s="214">
        <f t="shared" si="20"/>
        <v>-1.0083522003006161E-2</v>
      </c>
      <c r="F69" s="224">
        <v>5073.63</v>
      </c>
      <c r="G69" s="175">
        <f t="shared" si="21"/>
        <v>-3.0934741488014442E-4</v>
      </c>
      <c r="H69" s="208">
        <f t="shared" si="22"/>
        <v>-3.5489129367401282E-3</v>
      </c>
      <c r="I69" s="226">
        <v>351509.95</v>
      </c>
      <c r="J69" s="177">
        <v>400000</v>
      </c>
      <c r="K69" s="177">
        <f t="shared" si="16"/>
        <v>1931.6600000000326</v>
      </c>
      <c r="L69" s="175">
        <f t="shared" si="25"/>
        <v>5.5256863920240375E-3</v>
      </c>
      <c r="M69" s="187">
        <f t="shared" si="18"/>
        <v>-48490.049999999988</v>
      </c>
      <c r="N69" s="189">
        <f t="shared" si="19"/>
        <v>-0.12122512499999998</v>
      </c>
      <c r="O69" s="187" t="b">
        <f t="shared" si="17"/>
        <v>1</v>
      </c>
      <c r="P69" s="189">
        <f>COUNTIF(O$2:O69, TRUE)/(COUNTIF(O$2:O69,FALSE) + COUNTIF(O$2:O69, TRUE))</f>
        <v>0.44117647058823528</v>
      </c>
      <c r="Q69" s="344"/>
      <c r="R69" s="344"/>
      <c r="S69" s="344"/>
      <c r="T69" s="344"/>
      <c r="U69" s="189">
        <f>STDEV(D$2:D69)*SQRT(252)</f>
        <v>0.21587936448621181</v>
      </c>
      <c r="V69" s="189">
        <f>STDEV(L$2:L69)*SQRT(252)</f>
        <v>0.30643952094821814</v>
      </c>
      <c r="W69" s="187">
        <f t="shared" si="23"/>
        <v>-0.39559233295004559</v>
      </c>
    </row>
    <row r="70" spans="2:23" ht="20.100000000000001" customHeight="1" x14ac:dyDescent="0.25">
      <c r="B70" s="176">
        <v>42328</v>
      </c>
      <c r="C70" s="220">
        <v>2089.17</v>
      </c>
      <c r="D70" s="175">
        <f t="shared" si="24"/>
        <v>3.8102285176146392E-3</v>
      </c>
      <c r="E70" s="214">
        <f t="shared" si="20"/>
        <v>-6.3117140084853699E-3</v>
      </c>
      <c r="F70" s="224">
        <v>5104.92</v>
      </c>
      <c r="G70" s="175">
        <f t="shared" si="21"/>
        <v>6.1671820767379495E-3</v>
      </c>
      <c r="H70" s="208">
        <f t="shared" si="22"/>
        <v>2.5963823477424546E-3</v>
      </c>
      <c r="I70" s="226">
        <v>349809.33</v>
      </c>
      <c r="J70" s="177">
        <v>400000</v>
      </c>
      <c r="K70" s="177">
        <f t="shared" si="16"/>
        <v>-1700.6199999999953</v>
      </c>
      <c r="L70" s="175">
        <f t="shared" si="25"/>
        <v>-4.8380422801687275E-3</v>
      </c>
      <c r="M70" s="187">
        <f t="shared" si="18"/>
        <v>-50190.669999999984</v>
      </c>
      <c r="N70" s="189">
        <f t="shared" si="19"/>
        <v>-0.12547667499999995</v>
      </c>
      <c r="O70" s="187" t="b">
        <f t="shared" si="17"/>
        <v>0</v>
      </c>
      <c r="P70" s="189">
        <f>COUNTIF(O$2:O70, TRUE)/(COUNTIF(O$2:O70,FALSE) + COUNTIF(O$2:O70, TRUE))</f>
        <v>0.43478260869565216</v>
      </c>
      <c r="Q70" s="344"/>
      <c r="R70" s="344"/>
      <c r="S70" s="344"/>
      <c r="T70" s="344"/>
      <c r="U70" s="189">
        <f>STDEV(D$2:D70)*SQRT(252)</f>
        <v>0.21439176321013317</v>
      </c>
      <c r="V70" s="189">
        <f>STDEV(L$2:L70)*SQRT(252)</f>
        <v>0.30426600271918647</v>
      </c>
      <c r="W70" s="187">
        <f t="shared" si="23"/>
        <v>-0.41239137425355088</v>
      </c>
    </row>
    <row r="71" spans="2:23" ht="20.100000000000001" customHeight="1" x14ac:dyDescent="0.25">
      <c r="B71" s="171">
        <v>42331</v>
      </c>
      <c r="C71" s="203">
        <v>2086.59</v>
      </c>
      <c r="D71" s="175">
        <f t="shared" si="24"/>
        <v>-1.2349401915592924E-3</v>
      </c>
      <c r="E71" s="204">
        <f t="shared" si="20"/>
        <v>-7.5388596107379561E-3</v>
      </c>
      <c r="F71" s="221">
        <v>5102.47</v>
      </c>
      <c r="G71" s="175">
        <f t="shared" si="21"/>
        <v>-4.7992916637279687E-4</v>
      </c>
      <c r="H71" s="206">
        <f t="shared" si="22"/>
        <v>2.1152071017539204E-3</v>
      </c>
      <c r="I71" s="225">
        <v>352380.62</v>
      </c>
      <c r="J71" s="173">
        <v>400000</v>
      </c>
      <c r="K71" s="173">
        <f t="shared" si="16"/>
        <v>2571.289999999979</v>
      </c>
      <c r="L71" s="175">
        <f t="shared" si="25"/>
        <v>7.3505472252554807E-3</v>
      </c>
      <c r="M71" s="180">
        <f t="shared" si="18"/>
        <v>-47619.380000000005</v>
      </c>
      <c r="N71" s="188">
        <f t="shared" si="19"/>
        <v>-0.11904845000000001</v>
      </c>
      <c r="O71" s="180" t="b">
        <f t="shared" si="17"/>
        <v>1</v>
      </c>
      <c r="P71" s="188">
        <f>COUNTIF(O$2:O71, TRUE)/(COUNTIF(O$2:O71,FALSE) + COUNTIF(O$2:O71, TRUE))</f>
        <v>0.44285714285714284</v>
      </c>
      <c r="Q71" s="343"/>
      <c r="R71" s="343"/>
      <c r="S71" s="343"/>
      <c r="T71" s="343"/>
      <c r="U71" s="188">
        <f>STDEV(D$2:D71)*SQRT(252)</f>
        <v>0.21282253565490999</v>
      </c>
      <c r="V71" s="188">
        <f>STDEV(L$2:L71)*SQRT(252)</f>
        <v>0.30238621984250691</v>
      </c>
      <c r="W71" s="180">
        <f t="shared" si="23"/>
        <v>-0.39369667725600893</v>
      </c>
    </row>
    <row r="72" spans="2:23" ht="20.100000000000001" customHeight="1" x14ac:dyDescent="0.25">
      <c r="B72" s="171">
        <v>42332</v>
      </c>
      <c r="C72" s="203">
        <v>2089.14</v>
      </c>
      <c r="D72" s="175">
        <f t="shared" si="24"/>
        <v>1.2220896294910485E-3</v>
      </c>
      <c r="E72" s="204">
        <f t="shared" si="20"/>
        <v>-6.3259831433953792E-3</v>
      </c>
      <c r="F72" s="221">
        <v>5102.8</v>
      </c>
      <c r="G72" s="175">
        <f t="shared" si="21"/>
        <v>6.4674559576034202E-5</v>
      </c>
      <c r="H72" s="206">
        <f t="shared" si="22"/>
        <v>2.1800184614176729E-3</v>
      </c>
      <c r="I72" s="225">
        <v>356994.69</v>
      </c>
      <c r="J72" s="173">
        <v>400000</v>
      </c>
      <c r="K72" s="173">
        <f t="shared" si="16"/>
        <v>4614.070000000007</v>
      </c>
      <c r="L72" s="175">
        <f t="shared" si="25"/>
        <v>1.309399478325456E-2</v>
      </c>
      <c r="M72" s="180">
        <f t="shared" si="18"/>
        <v>-43005.31</v>
      </c>
      <c r="N72" s="188">
        <f t="shared" si="19"/>
        <v>-0.10751327499999999</v>
      </c>
      <c r="O72" s="180" t="b">
        <f t="shared" si="17"/>
        <v>1</v>
      </c>
      <c r="P72" s="188">
        <f>COUNTIF(O$2:O72, TRUE)/(COUNTIF(O$2:O72,FALSE) + COUNTIF(O$2:O72, TRUE))</f>
        <v>0.45070422535211269</v>
      </c>
      <c r="Q72" s="343"/>
      <c r="R72" s="343"/>
      <c r="S72" s="343"/>
      <c r="T72" s="343"/>
      <c r="U72" s="188">
        <f>STDEV(D$2:D72)*SQRT(252)</f>
        <v>0.21128787806615651</v>
      </c>
      <c r="V72" s="188">
        <f>STDEV(L$2:L72)*SQRT(252)</f>
        <v>0.30126350583982381</v>
      </c>
      <c r="W72" s="180">
        <f t="shared" si="23"/>
        <v>-0.3568745397829991</v>
      </c>
    </row>
    <row r="73" spans="2:23" ht="20.100000000000001" customHeight="1" x14ac:dyDescent="0.25">
      <c r="B73" s="171">
        <v>42333</v>
      </c>
      <c r="C73" s="203">
        <v>2088.87</v>
      </c>
      <c r="D73" s="175">
        <f t="shared" si="24"/>
        <v>-1.2923978287715607E-4</v>
      </c>
      <c r="E73" s="204">
        <f t="shared" si="20"/>
        <v>-6.4544053575845989E-3</v>
      </c>
      <c r="F73" s="221">
        <v>5116.1400000000003</v>
      </c>
      <c r="G73" s="175">
        <f t="shared" si="21"/>
        <v>2.6142509994513102E-3</v>
      </c>
      <c r="H73" s="206">
        <f t="shared" si="22"/>
        <v>4.7999685763105661E-3</v>
      </c>
      <c r="I73" s="225">
        <v>357953.42</v>
      </c>
      <c r="J73" s="173">
        <v>400000</v>
      </c>
      <c r="K73" s="173">
        <f t="shared" si="16"/>
        <v>958.72999999998137</v>
      </c>
      <c r="L73" s="175">
        <f t="shared" si="25"/>
        <v>2.6855581521394098E-3</v>
      </c>
      <c r="M73" s="180">
        <f t="shared" si="18"/>
        <v>-42046.580000000016</v>
      </c>
      <c r="N73" s="188">
        <f t="shared" si="19"/>
        <v>-0.10511645000000004</v>
      </c>
      <c r="O73" s="180" t="b">
        <f t="shared" si="17"/>
        <v>1</v>
      </c>
      <c r="P73" s="188">
        <f>COUNTIF(O$2:O73, TRUE)/(COUNTIF(O$2:O73,FALSE) + COUNTIF(O$2:O73, TRUE))</f>
        <v>0.45833333333333331</v>
      </c>
      <c r="Q73" s="343"/>
      <c r="R73" s="343"/>
      <c r="S73" s="343"/>
      <c r="T73" s="343"/>
      <c r="U73" s="188">
        <f>STDEV(D$2:D73)*SQRT(252)</f>
        <v>0.20977338456133537</v>
      </c>
      <c r="V73" s="188">
        <f>STDEV(L$2:L73)*SQRT(252)</f>
        <v>0.29915075312421052</v>
      </c>
      <c r="W73" s="180">
        <f t="shared" si="23"/>
        <v>-0.35138286934666213</v>
      </c>
    </row>
    <row r="74" spans="2:23" ht="20.100000000000001" customHeight="1" x14ac:dyDescent="0.25">
      <c r="B74" s="171">
        <v>42335</v>
      </c>
      <c r="C74" s="209">
        <v>2090.11</v>
      </c>
      <c r="D74" s="175">
        <f t="shared" si="24"/>
        <v>5.9362238913873841E-4</v>
      </c>
      <c r="E74" s="204">
        <f t="shared" si="20"/>
        <v>-5.8646144479746996E-3</v>
      </c>
      <c r="F74" s="221">
        <v>5127.5200000000004</v>
      </c>
      <c r="G74" s="175">
        <f t="shared" si="21"/>
        <v>2.2243331886930592E-3</v>
      </c>
      <c r="H74" s="206">
        <f t="shared" si="22"/>
        <v>7.0349784944125967E-3</v>
      </c>
      <c r="I74" s="225">
        <v>355463.47</v>
      </c>
      <c r="J74" s="173">
        <v>400000</v>
      </c>
      <c r="K74" s="173">
        <f t="shared" si="16"/>
        <v>-2489.9500000000116</v>
      </c>
      <c r="L74" s="175">
        <f t="shared" si="25"/>
        <v>-6.9560726644265942E-3</v>
      </c>
      <c r="M74" s="180">
        <f t="shared" si="18"/>
        <v>-44536.530000000028</v>
      </c>
      <c r="N74" s="188">
        <f t="shared" si="19"/>
        <v>-0.11134132500000007</v>
      </c>
      <c r="O74" s="180" t="b">
        <f t="shared" si="17"/>
        <v>0</v>
      </c>
      <c r="P74" s="188">
        <f>COUNTIF(O$2:O74, TRUE)/(COUNTIF(O$2:O74,FALSE) + COUNTIF(O$2:O74, TRUE))</f>
        <v>0.45205479452054792</v>
      </c>
      <c r="Q74" s="343"/>
      <c r="R74" s="343"/>
      <c r="S74" s="343"/>
      <c r="T74" s="343"/>
      <c r="U74" s="188">
        <f>STDEV(D$2:D74)*SQRT(252)</f>
        <v>0.20829387869007757</v>
      </c>
      <c r="V74" s="188">
        <f>STDEV(L$2:L74)*SQRT(252)</f>
        <v>0.29731455796464418</v>
      </c>
      <c r="W74" s="180">
        <f t="shared" si="23"/>
        <v>-0.37448998717795878</v>
      </c>
    </row>
    <row r="75" spans="2:23" ht="20.100000000000001" customHeight="1" x14ac:dyDescent="0.25">
      <c r="B75" s="176">
        <v>42338</v>
      </c>
      <c r="C75" s="213">
        <v>2080.41</v>
      </c>
      <c r="D75" s="175">
        <f t="shared" si="24"/>
        <v>-4.6409040672501789E-3</v>
      </c>
      <c r="E75" s="214">
        <f t="shared" si="20"/>
        <v>-1.0478301402180418E-2</v>
      </c>
      <c r="F75" s="224">
        <v>5108.66</v>
      </c>
      <c r="G75" s="175">
        <f t="shared" si="21"/>
        <v>-3.6781914063720045E-3</v>
      </c>
      <c r="H75" s="208">
        <f t="shared" si="22"/>
        <v>3.3309110905984322E-3</v>
      </c>
      <c r="I75" s="490">
        <v>358262.29</v>
      </c>
      <c r="J75" s="177">
        <v>400000</v>
      </c>
      <c r="K75" s="177">
        <f t="shared" si="16"/>
        <v>2798.820000000007</v>
      </c>
      <c r="L75" s="175">
        <f t="shared" si="25"/>
        <v>7.8737204697855653E-3</v>
      </c>
      <c r="M75" s="187">
        <f t="shared" si="18"/>
        <v>-41737.710000000021</v>
      </c>
      <c r="N75" s="189">
        <f t="shared" si="19"/>
        <v>-0.10434427500000006</v>
      </c>
      <c r="O75" s="187" t="b">
        <f t="shared" si="17"/>
        <v>1</v>
      </c>
      <c r="P75" s="189">
        <f>COUNTIF(O$2:O75, TRUE)/(COUNTIF(O$2:O75,FALSE) + COUNTIF(O$2:O75, TRUE))</f>
        <v>0.45945945945945948</v>
      </c>
      <c r="Q75" s="344"/>
      <c r="R75" s="344"/>
      <c r="S75" s="344"/>
      <c r="T75" s="344"/>
      <c r="U75" s="189">
        <f>STDEV(D$2:D75)*SQRT(252)</f>
        <v>0.20702224585874895</v>
      </c>
      <c r="V75" s="189">
        <f>STDEV(L$2:L75)*SQRT(252)</f>
        <v>0.29562170062555598</v>
      </c>
      <c r="W75" s="187">
        <f t="shared" si="23"/>
        <v>-0.35296554609895131</v>
      </c>
    </row>
    <row r="76" spans="2:23" ht="20.100000000000001" customHeight="1" x14ac:dyDescent="0.25">
      <c r="B76" s="176">
        <v>42339</v>
      </c>
      <c r="C76" s="213">
        <v>2102.63</v>
      </c>
      <c r="D76" s="175">
        <f t="shared" si="24"/>
        <v>1.0680586999678072E-2</v>
      </c>
      <c r="E76" s="214">
        <f t="shared" si="20"/>
        <v>9.0371187762815854E-5</v>
      </c>
      <c r="F76" s="224">
        <v>5156.3</v>
      </c>
      <c r="G76" s="175">
        <f t="shared" si="21"/>
        <v>9.3253416747249435E-3</v>
      </c>
      <c r="H76" s="208">
        <f t="shared" si="22"/>
        <v>1.2687314649331337E-2</v>
      </c>
      <c r="I76" s="226">
        <v>361281.91</v>
      </c>
      <c r="J76" s="177">
        <v>400000</v>
      </c>
      <c r="K76" s="177">
        <f t="shared" si="16"/>
        <v>3019.6199999999953</v>
      </c>
      <c r="L76" s="175">
        <f t="shared" si="25"/>
        <v>8.4285175534382795E-3</v>
      </c>
      <c r="M76" s="187">
        <f t="shared" si="18"/>
        <v>-38718.090000000026</v>
      </c>
      <c r="N76" s="189">
        <f t="shared" si="19"/>
        <v>-9.6795225000000068E-2</v>
      </c>
      <c r="O76" s="187" t="b">
        <f t="shared" si="17"/>
        <v>0</v>
      </c>
      <c r="P76" s="189">
        <f>COUNTIF(O$2:O76, TRUE)/(COUNTIF(O$2:O76,FALSE) + COUNTIF(O$2:O76, TRUE))</f>
        <v>0.45333333333333331</v>
      </c>
      <c r="Q76" s="344"/>
      <c r="R76" s="344"/>
      <c r="S76" s="344"/>
      <c r="T76" s="344"/>
      <c r="U76" s="189">
        <f>STDEV(D$2:D76)*SQRT(252)</f>
        <v>0.20655260318517649</v>
      </c>
      <c r="V76" s="189">
        <f>STDEV(L$2:L76)*SQRT(252)</f>
        <v>0.29400855496408335</v>
      </c>
      <c r="W76" s="187">
        <f t="shared" si="23"/>
        <v>-0.32922587919873542</v>
      </c>
    </row>
    <row r="77" spans="2:23" ht="20.100000000000001" customHeight="1" x14ac:dyDescent="0.25">
      <c r="B77" s="176">
        <v>42340</v>
      </c>
      <c r="C77" s="213">
        <v>2079.5100000000002</v>
      </c>
      <c r="D77" s="175">
        <f t="shared" si="24"/>
        <v>-1.0995752937987135E-2</v>
      </c>
      <c r="E77" s="214">
        <f t="shared" si="20"/>
        <v>-1.0906375449477671E-2</v>
      </c>
      <c r="F77" s="224">
        <v>5123.22</v>
      </c>
      <c r="G77" s="175">
        <f t="shared" si="21"/>
        <v>-6.415452941062375E-3</v>
      </c>
      <c r="H77" s="208">
        <f t="shared" si="22"/>
        <v>6.1904668381877245E-3</v>
      </c>
      <c r="I77" s="226">
        <v>349641.2</v>
      </c>
      <c r="J77" s="177">
        <v>400000</v>
      </c>
      <c r="K77" s="177">
        <f t="shared" si="16"/>
        <v>-11640.709999999963</v>
      </c>
      <c r="L77" s="175">
        <f t="shared" si="25"/>
        <v>-3.2220572571707129E-2</v>
      </c>
      <c r="M77" s="187">
        <f t="shared" si="18"/>
        <v>-50358.799999999988</v>
      </c>
      <c r="N77" s="189">
        <f t="shared" si="19"/>
        <v>-0.12589699999999998</v>
      </c>
      <c r="O77" s="187" t="b">
        <f t="shared" si="17"/>
        <v>0</v>
      </c>
      <c r="P77" s="189">
        <f>COUNTIF(O$2:O77, TRUE)/(COUNTIF(O$2:O77,FALSE) + COUNTIF(O$2:O77, TRUE))</f>
        <v>0.44736842105263158</v>
      </c>
      <c r="Q77" s="344"/>
      <c r="R77" s="344"/>
      <c r="S77" s="344"/>
      <c r="T77" s="344"/>
      <c r="U77" s="189">
        <f>STDEV(D$2:D77)*SQRT(252)</f>
        <v>0.20615523591080137</v>
      </c>
      <c r="V77" s="189">
        <f>STDEV(L$2:L77)*SQRT(252)</f>
        <v>0.29794414920309426</v>
      </c>
      <c r="W77" s="187">
        <f t="shared" si="23"/>
        <v>-0.42255234860873886</v>
      </c>
    </row>
    <row r="78" spans="2:23" ht="20.100000000000001" customHeight="1" x14ac:dyDescent="0.25">
      <c r="B78" s="176">
        <v>42341</v>
      </c>
      <c r="C78" s="213">
        <v>2049.62</v>
      </c>
      <c r="D78" s="175">
        <f t="shared" si="24"/>
        <v>-1.4373578391063435E-2</v>
      </c>
      <c r="E78" s="214">
        <f t="shared" si="20"/>
        <v>-2.5123190198055669E-2</v>
      </c>
      <c r="F78" s="224">
        <v>5037.5200000000004</v>
      </c>
      <c r="G78" s="175">
        <f t="shared" si="21"/>
        <v>-1.6727761056523009E-2</v>
      </c>
      <c r="H78" s="208">
        <f t="shared" si="22"/>
        <v>-1.0640846868432819E-2</v>
      </c>
      <c r="I78" s="226">
        <v>344430.58</v>
      </c>
      <c r="J78" s="177">
        <v>400000</v>
      </c>
      <c r="K78" s="177">
        <f t="shared" si="16"/>
        <v>-5210.6199999999953</v>
      </c>
      <c r="L78" s="175">
        <f t="shared" si="25"/>
        <v>-1.4902763175506763E-2</v>
      </c>
      <c r="M78" s="187">
        <f t="shared" si="18"/>
        <v>-55569.419999999984</v>
      </c>
      <c r="N78" s="189">
        <f t="shared" si="19"/>
        <v>-0.13892354999999995</v>
      </c>
      <c r="O78" s="187" t="b">
        <f t="shared" si="17"/>
        <v>0</v>
      </c>
      <c r="P78" s="189">
        <f>COUNTIF(O$2:O78, TRUE)/(COUNTIF(O$2:O78,FALSE) + COUNTIF(O$2:O78, TRUE))</f>
        <v>0.44155844155844154</v>
      </c>
      <c r="Q78" s="344"/>
      <c r="R78" s="344"/>
      <c r="S78" s="344"/>
      <c r="T78" s="344"/>
      <c r="U78" s="189">
        <f>STDEV(D$2:D78)*SQRT(252)</f>
        <v>0.20642766070992974</v>
      </c>
      <c r="V78" s="189">
        <f>STDEV(L$2:L78)*SQRT(252)</f>
        <v>0.29712936975574017</v>
      </c>
      <c r="W78" s="187">
        <f t="shared" si="23"/>
        <v>-0.46755240020265992</v>
      </c>
    </row>
    <row r="79" spans="2:23" ht="20.100000000000001" customHeight="1" x14ac:dyDescent="0.25">
      <c r="B79" s="176">
        <v>42342</v>
      </c>
      <c r="C79" s="213">
        <v>2091.69</v>
      </c>
      <c r="D79" s="175">
        <f t="shared" si="24"/>
        <v>2.0525755993794054E-2</v>
      </c>
      <c r="E79" s="214">
        <f t="shared" si="20"/>
        <v>-5.1131066760525864E-3</v>
      </c>
      <c r="F79" s="224">
        <v>5142.2700000000004</v>
      </c>
      <c r="G79" s="175">
        <f t="shared" si="21"/>
        <v>2.0793962108339021E-2</v>
      </c>
      <c r="H79" s="208">
        <f t="shared" si="22"/>
        <v>9.9318498733233732E-3</v>
      </c>
      <c r="I79" s="226">
        <v>341064.65</v>
      </c>
      <c r="J79" s="177">
        <v>400000</v>
      </c>
      <c r="K79" s="177">
        <f t="shared" si="16"/>
        <v>-3365.929999999993</v>
      </c>
      <c r="L79" s="175">
        <f t="shared" si="25"/>
        <v>-9.7724481955115388E-3</v>
      </c>
      <c r="M79" s="187">
        <f t="shared" si="18"/>
        <v>-58935.349999999977</v>
      </c>
      <c r="N79" s="189">
        <f t="shared" si="19"/>
        <v>-0.14733837499999994</v>
      </c>
      <c r="O79" s="187" t="b">
        <f t="shared" si="17"/>
        <v>0</v>
      </c>
      <c r="P79" s="189">
        <f>COUNTIF(O$2:O79, TRUE)/(COUNTIF(O$2:O79,FALSE) + COUNTIF(O$2:O79, TRUE))</f>
        <v>0.4358974358974359</v>
      </c>
      <c r="Q79" s="344"/>
      <c r="R79" s="344"/>
      <c r="S79" s="344"/>
      <c r="T79" s="344"/>
      <c r="U79" s="189">
        <f>STDEV(D$2:D79)*SQRT(252)</f>
        <v>0.2084813160993948</v>
      </c>
      <c r="V79" s="189">
        <f>STDEV(L$2:L79)*SQRT(252)</f>
        <v>0.29563649002359699</v>
      </c>
      <c r="W79" s="187">
        <f t="shared" si="23"/>
        <v>-0.49837682414724838</v>
      </c>
    </row>
    <row r="80" spans="2:23" ht="20.100000000000001" customHeight="1" x14ac:dyDescent="0.25">
      <c r="B80" s="171">
        <v>42345</v>
      </c>
      <c r="C80" s="203">
        <v>2077.0700000000002</v>
      </c>
      <c r="D80" s="175">
        <f t="shared" si="24"/>
        <v>-6.9895634630370131E-3</v>
      </c>
      <c r="E80" s="204">
        <f t="shared" si="20"/>
        <v>-1.2066931755484052E-2</v>
      </c>
      <c r="F80" s="221">
        <v>5101.8100000000004</v>
      </c>
      <c r="G80" s="175">
        <f t="shared" si="21"/>
        <v>-7.8681204993125663E-3</v>
      </c>
      <c r="H80" s="206">
        <f t="shared" si="22"/>
        <v>1.9855843824264159E-3</v>
      </c>
      <c r="I80" s="225">
        <v>323555.34000000003</v>
      </c>
      <c r="J80" s="173">
        <v>400000</v>
      </c>
      <c r="K80" s="173">
        <f t="shared" si="16"/>
        <v>-17509.309999999998</v>
      </c>
      <c r="L80" s="175">
        <f t="shared" si="25"/>
        <v>-5.1337217152231981E-2</v>
      </c>
      <c r="M80" s="180">
        <f t="shared" si="18"/>
        <v>-76444.659999999974</v>
      </c>
      <c r="N80" s="188">
        <f t="shared" si="19"/>
        <v>-0.19111164999999994</v>
      </c>
      <c r="O80" s="180" t="b">
        <f t="shared" si="17"/>
        <v>0</v>
      </c>
      <c r="P80" s="188">
        <f>COUNTIF(O$2:O80, TRUE)/(COUNTIF(O$2:O80,FALSE) + COUNTIF(O$2:O80, TRUE))</f>
        <v>0.43037974683544306</v>
      </c>
      <c r="Q80" s="343"/>
      <c r="R80" s="343"/>
      <c r="S80" s="343"/>
      <c r="T80" s="343"/>
      <c r="U80" s="188">
        <f>STDEV(D$2:D80)*SQRT(252)</f>
        <v>0.20750582350249624</v>
      </c>
      <c r="V80" s="188">
        <f>STDEV(L$2:L80)*SQRT(252)</f>
        <v>0.3074916653921197</v>
      </c>
      <c r="W80" s="180">
        <f t="shared" si="23"/>
        <v>-0.62151814669932737</v>
      </c>
    </row>
    <row r="81" spans="2:23" ht="20.100000000000001" customHeight="1" x14ac:dyDescent="0.25">
      <c r="B81" s="171">
        <v>42346</v>
      </c>
      <c r="C81" s="203">
        <v>2063.59</v>
      </c>
      <c r="D81" s="175">
        <f t="shared" si="24"/>
        <v>-6.489911269239851E-3</v>
      </c>
      <c r="E81" s="204">
        <f t="shared" si="20"/>
        <v>-1.8478529708338839E-2</v>
      </c>
      <c r="F81" s="221">
        <v>5098.24</v>
      </c>
      <c r="G81" s="175">
        <f t="shared" si="21"/>
        <v>-6.9975165676507318E-4</v>
      </c>
      <c r="H81" s="206">
        <f t="shared" si="22"/>
        <v>1.284443309700093E-3</v>
      </c>
      <c r="I81" s="225">
        <v>320909.52</v>
      </c>
      <c r="J81" s="173">
        <v>400000</v>
      </c>
      <c r="K81" s="173">
        <f t="shared" si="16"/>
        <v>-2645.820000000007</v>
      </c>
      <c r="L81" s="175">
        <f t="shared" si="25"/>
        <v>-8.1773337445149464E-3</v>
      </c>
      <c r="M81" s="180">
        <f t="shared" si="18"/>
        <v>-79090.479999999981</v>
      </c>
      <c r="N81" s="188">
        <f t="shared" si="19"/>
        <v>-0.19772619999999996</v>
      </c>
      <c r="O81" s="180" t="b">
        <f t="shared" si="17"/>
        <v>0</v>
      </c>
      <c r="P81" s="188">
        <f>COUNTIF(O$2:O81, TRUE)/(COUNTIF(O$2:O81,FALSE) + COUNTIF(O$2:O81, TRUE))</f>
        <v>0.42499999999999999</v>
      </c>
      <c r="Q81" s="343"/>
      <c r="R81" s="343"/>
      <c r="S81" s="343"/>
      <c r="T81" s="343"/>
      <c r="U81" s="188">
        <f>STDEV(D$2:D81)*SQRT(252)</f>
        <v>0.20648984597109604</v>
      </c>
      <c r="V81" s="188">
        <f>STDEV(L$2:L81)*SQRT(252)</f>
        <v>0.3057577572819663</v>
      </c>
      <c r="W81" s="180">
        <f t="shared" si="23"/>
        <v>-0.64667598872286047</v>
      </c>
    </row>
    <row r="82" spans="2:23" ht="20.100000000000001" customHeight="1" x14ac:dyDescent="0.25">
      <c r="B82" s="171">
        <v>42347</v>
      </c>
      <c r="C82" s="203">
        <v>2047.62</v>
      </c>
      <c r="D82" s="175">
        <f t="shared" si="24"/>
        <v>-7.7389403902908297E-3</v>
      </c>
      <c r="E82" s="204">
        <f t="shared" si="20"/>
        <v>-2.6074465858716617E-2</v>
      </c>
      <c r="F82" s="221">
        <v>5022.8599999999997</v>
      </c>
      <c r="G82" s="175">
        <f t="shared" si="21"/>
        <v>-1.4785494602058772E-2</v>
      </c>
      <c r="H82" s="206">
        <f t="shared" si="22"/>
        <v>-1.3520042421980899E-2</v>
      </c>
      <c r="I82" s="225">
        <v>319453.12</v>
      </c>
      <c r="J82" s="173">
        <v>400000</v>
      </c>
      <c r="K82" s="173">
        <f t="shared" si="16"/>
        <v>-1456.4000000000233</v>
      </c>
      <c r="L82" s="175">
        <f t="shared" si="25"/>
        <v>-4.5383508722334669E-3</v>
      </c>
      <c r="M82" s="180">
        <f t="shared" si="18"/>
        <v>-80546.880000000005</v>
      </c>
      <c r="N82" s="188">
        <f t="shared" si="19"/>
        <v>-0.20136720000000002</v>
      </c>
      <c r="O82" s="180" t="b">
        <f t="shared" si="17"/>
        <v>1</v>
      </c>
      <c r="P82" s="188">
        <f>COUNTIF(O$2:O82, TRUE)/(COUNTIF(O$2:O82,FALSE) + COUNTIF(O$2:O82, TRUE))</f>
        <v>0.43209876543209874</v>
      </c>
      <c r="Q82" s="343"/>
      <c r="R82" s="343"/>
      <c r="S82" s="343"/>
      <c r="T82" s="343"/>
      <c r="U82" s="188">
        <f>STDEV(D$2:D82)*SQRT(252)</f>
        <v>0.20562012018240991</v>
      </c>
      <c r="V82" s="188">
        <f>STDEV(L$2:L82)*SQRT(252)</f>
        <v>0.30386643217647319</v>
      </c>
      <c r="W82" s="180">
        <f t="shared" si="23"/>
        <v>-0.66268326697913837</v>
      </c>
    </row>
    <row r="83" spans="2:23" ht="20.100000000000001" customHeight="1" x14ac:dyDescent="0.25">
      <c r="B83" s="171">
        <v>42348</v>
      </c>
      <c r="C83" s="209">
        <v>2052.23</v>
      </c>
      <c r="D83" s="175">
        <f t="shared" si="24"/>
        <v>2.2513943016771315E-3</v>
      </c>
      <c r="E83" s="204">
        <f t="shared" si="20"/>
        <v>-2.3881775460893075E-2</v>
      </c>
      <c r="F83" s="221">
        <v>5045.17</v>
      </c>
      <c r="G83" s="175">
        <f t="shared" si="21"/>
        <v>4.4416925815173825E-3</v>
      </c>
      <c r="H83" s="206">
        <f t="shared" si="22"/>
        <v>-9.1384017125910304E-3</v>
      </c>
      <c r="I83" s="225">
        <v>324246.53999999998</v>
      </c>
      <c r="J83" s="173">
        <v>400000</v>
      </c>
      <c r="K83" s="173">
        <f t="shared" si="16"/>
        <v>4793.4199999999837</v>
      </c>
      <c r="L83" s="175">
        <f t="shared" si="25"/>
        <v>1.5005081183742965E-2</v>
      </c>
      <c r="M83" s="180">
        <f t="shared" si="18"/>
        <v>-75753.460000000021</v>
      </c>
      <c r="N83" s="188">
        <f t="shared" si="19"/>
        <v>-0.18938365000000004</v>
      </c>
      <c r="O83" s="180" t="b">
        <f t="shared" si="17"/>
        <v>1</v>
      </c>
      <c r="P83" s="188">
        <f>COUNTIF(O$2:O83, TRUE)/(COUNTIF(O$2:O83,FALSE) + COUNTIF(O$2:O83, TRUE))</f>
        <v>0.43902439024390244</v>
      </c>
      <c r="Q83" s="343"/>
      <c r="R83" s="343"/>
      <c r="S83" s="343"/>
      <c r="T83" s="343"/>
      <c r="U83" s="188">
        <f>STDEV(D$2:D83)*SQRT(252)</f>
        <v>0.20437847650239915</v>
      </c>
      <c r="V83" s="188">
        <f>STDEV(L$2:L83)*SQRT(252)</f>
        <v>0.30335650462124281</v>
      </c>
      <c r="W83" s="180">
        <f t="shared" si="23"/>
        <v>-0.62429401418788066</v>
      </c>
    </row>
    <row r="84" spans="2:23" ht="20.100000000000001" customHeight="1" x14ac:dyDescent="0.25">
      <c r="B84" s="171">
        <v>42349</v>
      </c>
      <c r="C84" s="209">
        <v>2012.37</v>
      </c>
      <c r="D84" s="175">
        <f t="shared" si="24"/>
        <v>-1.9422774250449575E-2</v>
      </c>
      <c r="E84" s="204">
        <f t="shared" si="20"/>
        <v>-4.2840699377865797E-2</v>
      </c>
      <c r="F84" s="221">
        <v>4933.47</v>
      </c>
      <c r="G84" s="175">
        <f t="shared" si="21"/>
        <v>-2.2139987354241743E-2</v>
      </c>
      <c r="H84" s="206">
        <f t="shared" si="22"/>
        <v>-3.1076064968478027E-2</v>
      </c>
      <c r="I84" s="225">
        <v>314974.52</v>
      </c>
      <c r="J84" s="173">
        <v>400000</v>
      </c>
      <c r="K84" s="173">
        <f t="shared" si="16"/>
        <v>-9272.0199999999604</v>
      </c>
      <c r="L84" s="175">
        <f t="shared" si="25"/>
        <v>-2.8595586555834832E-2</v>
      </c>
      <c r="M84" s="180">
        <f t="shared" si="18"/>
        <v>-85025.479999999981</v>
      </c>
      <c r="N84" s="188">
        <f t="shared" si="19"/>
        <v>-0.21256369999999997</v>
      </c>
      <c r="O84" s="180" t="b">
        <f t="shared" si="17"/>
        <v>0</v>
      </c>
      <c r="P84" s="188">
        <f>COUNTIF(O$2:O84, TRUE)/(COUNTIF(O$2:O84,FALSE) + COUNTIF(O$2:O84, TRUE))</f>
        <v>0.43373493975903615</v>
      </c>
      <c r="Q84" s="343"/>
      <c r="R84" s="343"/>
      <c r="S84" s="343"/>
      <c r="T84" s="343"/>
      <c r="U84" s="188">
        <f>STDEV(D$2:D84)*SQRT(252)</f>
        <v>0.20588473038733746</v>
      </c>
      <c r="V84" s="188">
        <f>STDEV(L$2:L84)*SQRT(252)</f>
        <v>0.3052608066855817</v>
      </c>
      <c r="W84" s="180">
        <f t="shared" si="23"/>
        <v>-0.69633472540397345</v>
      </c>
    </row>
    <row r="85" spans="2:23" ht="20.100000000000001" customHeight="1" x14ac:dyDescent="0.25">
      <c r="B85" s="176">
        <v>42352</v>
      </c>
      <c r="C85" s="213">
        <v>2021.94</v>
      </c>
      <c r="D85" s="175">
        <f t="shared" si="24"/>
        <v>4.7555866962835681E-3</v>
      </c>
      <c r="E85" s="214">
        <f t="shared" ref="E85:E95" si="26">(C85-$C$2)/$C$2</f>
        <v>-3.8288845341603088E-2</v>
      </c>
      <c r="F85" s="224">
        <v>4871.59</v>
      </c>
      <c r="G85" s="175">
        <f t="shared" si="21"/>
        <v>-1.2542895771130685E-2</v>
      </c>
      <c r="H85" s="208">
        <f t="shared" ref="H85:H106" si="27">(F85-F$2)/F$2</f>
        <v>-4.3229176895732205E-2</v>
      </c>
      <c r="I85" s="226">
        <f>400000-82872.25</f>
        <v>317127.75</v>
      </c>
      <c r="J85" s="177">
        <v>400000</v>
      </c>
      <c r="K85" s="177">
        <f t="shared" si="16"/>
        <v>2153.2299999999814</v>
      </c>
      <c r="L85" s="175">
        <f t="shared" si="25"/>
        <v>6.8362037665776303E-3</v>
      </c>
      <c r="M85" s="187">
        <f t="shared" si="18"/>
        <v>-82872.25</v>
      </c>
      <c r="N85" s="189">
        <f t="shared" si="19"/>
        <v>-0.20718062500000001</v>
      </c>
      <c r="O85" s="187" t="b">
        <f t="shared" si="17"/>
        <v>1</v>
      </c>
      <c r="P85" s="189">
        <f>COUNTIF(O$2:O85, TRUE)/(COUNTIF(O$2:O85,FALSE) + COUNTIF(O$2:O85, TRUE))</f>
        <v>0.44047619047619047</v>
      </c>
      <c r="Q85" s="344"/>
      <c r="R85" s="344"/>
      <c r="S85" s="344"/>
      <c r="T85" s="344"/>
      <c r="U85" s="189">
        <f>STDEV(D$2:D85)*SQRT(252)</f>
        <v>0.20482646913198044</v>
      </c>
      <c r="V85" s="189">
        <f>STDEV(L$2:L85)*SQRT(252)</f>
        <v>0.30374972032355096</v>
      </c>
      <c r="W85" s="187">
        <f t="shared" si="23"/>
        <v>-0.68207675970635762</v>
      </c>
    </row>
    <row r="86" spans="2:23" ht="20.100000000000001" customHeight="1" x14ac:dyDescent="0.25">
      <c r="B86" s="176">
        <v>42353</v>
      </c>
      <c r="C86" s="213">
        <v>2043.41</v>
      </c>
      <c r="D86" s="175">
        <f t="shared" si="24"/>
        <v>1.0618514891638736E-2</v>
      </c>
      <c r="E86" s="214">
        <f t="shared" si="26"/>
        <v>-2.8076901124407819E-2</v>
      </c>
      <c r="F86" s="224">
        <v>4986.99</v>
      </c>
      <c r="G86" s="175">
        <f t="shared" si="21"/>
        <v>2.3688364579120911E-2</v>
      </c>
      <c r="H86" s="208">
        <f t="shared" si="27"/>
        <v>-2.0564840819372713E-2</v>
      </c>
      <c r="I86" s="226">
        <v>315111.13</v>
      </c>
      <c r="J86" s="177">
        <v>400000</v>
      </c>
      <c r="K86" s="177">
        <f t="shared" si="16"/>
        <v>-2016.6199999999953</v>
      </c>
      <c r="L86" s="175">
        <f t="shared" si="25"/>
        <v>-6.3590146242326487E-3</v>
      </c>
      <c r="M86" s="187">
        <f t="shared" si="18"/>
        <v>-84888.87</v>
      </c>
      <c r="N86" s="189">
        <f t="shared" si="19"/>
        <v>-0.21222217499999999</v>
      </c>
      <c r="O86" s="187" t="b">
        <f t="shared" si="17"/>
        <v>0</v>
      </c>
      <c r="P86" s="189">
        <f>COUNTIF(O$2:O86, TRUE)/(COUNTIF(O$2:O86,FALSE) + COUNTIF(O$2:O86, TRUE))</f>
        <v>0.43529411764705883</v>
      </c>
      <c r="Q86" s="344"/>
      <c r="R86" s="344"/>
      <c r="S86" s="344"/>
      <c r="T86" s="344"/>
      <c r="U86" s="189">
        <f>STDEV(D$2:D86)*SQRT(252)</f>
        <v>0.20447942963510182</v>
      </c>
      <c r="V86" s="189">
        <f>STDEV(L$2:L86)*SQRT(252)</f>
        <v>0.30203167512176549</v>
      </c>
      <c r="W86" s="187">
        <f t="shared" si="23"/>
        <v>-0.70264873680696449</v>
      </c>
    </row>
    <row r="87" spans="2:23" ht="20.100000000000001" customHeight="1" x14ac:dyDescent="0.25">
      <c r="B87" s="176">
        <v>42354</v>
      </c>
      <c r="C87" s="213">
        <v>2073.0700000000002</v>
      </c>
      <c r="D87" s="175">
        <f t="shared" si="24"/>
        <v>1.4514952946300586E-2</v>
      </c>
      <c r="E87" s="214">
        <f t="shared" si="26"/>
        <v>-1.3969483076805945E-2</v>
      </c>
      <c r="F87" s="224">
        <v>4992.63</v>
      </c>
      <c r="G87" s="175">
        <f t="shared" si="21"/>
        <v>1.1309427129391331E-3</v>
      </c>
      <c r="H87" s="208">
        <f t="shared" si="27"/>
        <v>-1.9457155763301003E-2</v>
      </c>
      <c r="I87" s="226">
        <v>320067.34000000003</v>
      </c>
      <c r="J87" s="177">
        <v>400000</v>
      </c>
      <c r="K87" s="177">
        <f t="shared" si="16"/>
        <v>4956.210000000021</v>
      </c>
      <c r="L87" s="175">
        <f t="shared" si="25"/>
        <v>1.5728451102314352E-2</v>
      </c>
      <c r="M87" s="187">
        <f t="shared" si="18"/>
        <v>-79932.659999999974</v>
      </c>
      <c r="N87" s="189">
        <f t="shared" si="19"/>
        <v>-0.19983164999999994</v>
      </c>
      <c r="O87" s="187" t="b">
        <f t="shared" si="17"/>
        <v>1</v>
      </c>
      <c r="P87" s="189">
        <f>COUNTIF(O$2:O87, TRUE)/(COUNTIF(O$2:O87,FALSE) + COUNTIF(O$2:O87, TRUE))</f>
        <v>0.44186046511627908</v>
      </c>
      <c r="Q87" s="344"/>
      <c r="R87" s="344"/>
      <c r="S87" s="344"/>
      <c r="T87" s="344"/>
      <c r="U87" s="189">
        <f>STDEV(D$2:D87)*SQRT(252)</f>
        <v>0.20484383238315154</v>
      </c>
      <c r="V87" s="189">
        <f>STDEV(L$2:L87)*SQRT(252)</f>
        <v>0.30170012255410639</v>
      </c>
      <c r="W87" s="187">
        <f t="shared" si="23"/>
        <v>-0.66235190197565297</v>
      </c>
    </row>
    <row r="88" spans="2:23" ht="20.100000000000001" customHeight="1" x14ac:dyDescent="0.25">
      <c r="B88" s="176">
        <v>42355</v>
      </c>
      <c r="C88" s="213">
        <v>2041.89</v>
      </c>
      <c r="D88" s="175">
        <f t="shared" si="24"/>
        <v>-1.5040495497016531E-2</v>
      </c>
      <c r="E88" s="214">
        <f t="shared" si="26"/>
        <v>-2.8799870626510127E-2</v>
      </c>
      <c r="F88" s="224">
        <v>5002.55</v>
      </c>
      <c r="G88" s="175">
        <f t="shared" si="21"/>
        <v>1.9869287329523865E-3</v>
      </c>
      <c r="H88" s="208">
        <f t="shared" si="27"/>
        <v>-1.7508887012196248E-2</v>
      </c>
      <c r="I88" s="226">
        <v>314862.69</v>
      </c>
      <c r="J88" s="177">
        <v>400000</v>
      </c>
      <c r="K88" s="177">
        <f t="shared" ref="K88:K119" si="28">I88-I87-J88+J87</f>
        <v>-5204.6500000000233</v>
      </c>
      <c r="L88" s="175">
        <f t="shared" si="25"/>
        <v>-1.6261109302811161E-2</v>
      </c>
      <c r="M88" s="187">
        <f t="shared" si="18"/>
        <v>-85137.31</v>
      </c>
      <c r="N88" s="189">
        <f t="shared" si="19"/>
        <v>-0.212843275</v>
      </c>
      <c r="O88" s="187" t="b">
        <f t="shared" si="17"/>
        <v>0</v>
      </c>
      <c r="P88" s="189">
        <f>COUNTIF(O$2:O88, TRUE)/(COUNTIF(O$2:O88,FALSE) + COUNTIF(O$2:O88, TRUE))</f>
        <v>0.43678160919540232</v>
      </c>
      <c r="Q88" s="344"/>
      <c r="R88" s="344"/>
      <c r="S88" s="344"/>
      <c r="T88" s="344"/>
      <c r="U88" s="189">
        <f>STDEV(D$2:D88)*SQRT(252)</f>
        <v>0.20523864420055984</v>
      </c>
      <c r="V88" s="189">
        <f>STDEV(L$2:L88)*SQRT(252)</f>
        <v>0.30100381031831397</v>
      </c>
      <c r="W88" s="187">
        <f t="shared" si="23"/>
        <v>-0.70711156372046091</v>
      </c>
    </row>
    <row r="89" spans="2:23" ht="20.100000000000001" customHeight="1" x14ac:dyDescent="0.25">
      <c r="B89" s="176">
        <v>42356</v>
      </c>
      <c r="C89" s="213">
        <v>2005.52</v>
      </c>
      <c r="D89" s="175">
        <f t="shared" si="24"/>
        <v>-1.7811929144077358E-2</v>
      </c>
      <c r="E89" s="214">
        <f t="shared" si="26"/>
        <v>-4.609881851562949E-2</v>
      </c>
      <c r="F89" s="224">
        <v>4923.08</v>
      </c>
      <c r="G89" s="175">
        <f t="shared" si="21"/>
        <v>-1.5885898191922172E-2</v>
      </c>
      <c r="H89" s="208">
        <f t="shared" si="27"/>
        <v>-3.3116640807588804E-2</v>
      </c>
      <c r="I89" s="226">
        <v>315502.05</v>
      </c>
      <c r="J89" s="177">
        <v>400000</v>
      </c>
      <c r="K89" s="177">
        <f t="shared" si="28"/>
        <v>639.35999999998603</v>
      </c>
      <c r="L89" s="175">
        <f t="shared" si="25"/>
        <v>2.0305994336769022E-3</v>
      </c>
      <c r="M89" s="187">
        <f t="shared" si="18"/>
        <v>-84497.950000000012</v>
      </c>
      <c r="N89" s="189">
        <f t="shared" si="19"/>
        <v>-0.21124487500000003</v>
      </c>
      <c r="O89" s="187" t="b">
        <f t="shared" si="17"/>
        <v>1</v>
      </c>
      <c r="P89" s="189">
        <f>COUNTIF(O$2:O89, TRUE)/(COUNTIF(O$2:O89,FALSE) + COUNTIF(O$2:O89, TRUE))</f>
        <v>0.44318181818181818</v>
      </c>
      <c r="Q89" s="344"/>
      <c r="R89" s="344"/>
      <c r="S89" s="344"/>
      <c r="T89" s="344"/>
      <c r="U89" s="189">
        <f>STDEV(D$2:D89)*SQRT(252)</f>
        <v>0.20621771492919441</v>
      </c>
      <c r="V89" s="189">
        <f>STDEV(L$2:L89)*SQRT(252)</f>
        <v>0.29930992001467371</v>
      </c>
      <c r="W89" s="187">
        <f t="shared" si="23"/>
        <v>-0.70577304951885234</v>
      </c>
    </row>
    <row r="90" spans="2:23" ht="20.100000000000001" customHeight="1" x14ac:dyDescent="0.25">
      <c r="B90" s="171">
        <v>42359</v>
      </c>
      <c r="C90" s="203">
        <v>2021.15</v>
      </c>
      <c r="D90" s="175">
        <f t="shared" si="24"/>
        <v>7.7934899676892324E-3</v>
      </c>
      <c r="E90" s="204">
        <f t="shared" si="26"/>
        <v>-3.8664599227564142E-2</v>
      </c>
      <c r="F90" s="221">
        <v>4968.92</v>
      </c>
      <c r="G90" s="175">
        <f t="shared" si="21"/>
        <v>9.3112441804724163E-3</v>
      </c>
      <c r="H90" s="206">
        <f t="shared" si="27"/>
        <v>-2.4113753756112841E-2</v>
      </c>
      <c r="I90" s="225">
        <v>320825.06</v>
      </c>
      <c r="J90" s="173">
        <v>400000</v>
      </c>
      <c r="K90" s="173">
        <f t="shared" si="28"/>
        <v>5323.0100000000093</v>
      </c>
      <c r="L90" s="175">
        <f t="shared" si="25"/>
        <v>1.6871554400359711E-2</v>
      </c>
      <c r="M90" s="180">
        <f t="shared" si="18"/>
        <v>-79174.94</v>
      </c>
      <c r="N90" s="188">
        <f t="shared" si="19"/>
        <v>-0.19793735000000001</v>
      </c>
      <c r="O90" s="180" t="b">
        <f t="shared" si="17"/>
        <v>1</v>
      </c>
      <c r="P90" s="188">
        <f>COUNTIF(O$2:O90, TRUE)/(COUNTIF(O$2:O90,FALSE) + COUNTIF(O$2:O90, TRUE))</f>
        <v>0.449438202247191</v>
      </c>
      <c r="Q90" s="343"/>
      <c r="R90" s="343"/>
      <c r="S90" s="343"/>
      <c r="T90" s="343"/>
      <c r="U90" s="188">
        <f>STDEV(D$2:D90)*SQRT(252)</f>
        <v>0.20550415563548391</v>
      </c>
      <c r="V90" s="188">
        <f>STDEV(L$2:L90)*SQRT(252)</f>
        <v>0.29920187088435746</v>
      </c>
      <c r="W90" s="180">
        <f t="shared" si="23"/>
        <v>-0.6615511775208901</v>
      </c>
    </row>
    <row r="91" spans="2:23" ht="20.100000000000001" customHeight="1" x14ac:dyDescent="0.25">
      <c r="B91" s="171">
        <v>42360</v>
      </c>
      <c r="C91" s="203">
        <v>2038.97</v>
      </c>
      <c r="D91" s="175">
        <f t="shared" si="24"/>
        <v>8.8167627340869983E-3</v>
      </c>
      <c r="E91" s="204">
        <f t="shared" si="26"/>
        <v>-3.0188733091075143E-2</v>
      </c>
      <c r="F91" s="221">
        <v>5001.1099999999997</v>
      </c>
      <c r="G91" s="175">
        <f t="shared" si="21"/>
        <v>6.4782689196041798E-3</v>
      </c>
      <c r="H91" s="206">
        <f t="shared" si="27"/>
        <v>-1.7791700218001874E-2</v>
      </c>
      <c r="I91" s="225">
        <v>321902.78000000003</v>
      </c>
      <c r="J91" s="173">
        <v>400000</v>
      </c>
      <c r="K91" s="173">
        <f t="shared" si="28"/>
        <v>1077.7200000000303</v>
      </c>
      <c r="L91" s="175">
        <f t="shared" si="25"/>
        <v>3.3592138968197506E-3</v>
      </c>
      <c r="M91" s="180">
        <f t="shared" si="18"/>
        <v>-78097.219999999972</v>
      </c>
      <c r="N91" s="188">
        <f t="shared" si="19"/>
        <v>-0.19524304999999992</v>
      </c>
      <c r="O91" s="180" t="b">
        <f t="shared" ref="O91:O122" si="29">L91&gt;D91</f>
        <v>0</v>
      </c>
      <c r="P91" s="188">
        <f>COUNTIF(O$2:O91, TRUE)/(COUNTIF(O$2:O91,FALSE) + COUNTIF(O$2:O91, TRUE))</f>
        <v>0.44444444444444442</v>
      </c>
      <c r="Q91" s="343"/>
      <c r="R91" s="343"/>
      <c r="S91" s="343"/>
      <c r="T91" s="343"/>
      <c r="U91" s="188">
        <f>STDEV(D$2:D91)*SQRT(252)</f>
        <v>0.20491645962952909</v>
      </c>
      <c r="V91" s="188">
        <f>STDEV(L$2:L91)*SQRT(252)</f>
        <v>0.29759929719842121</v>
      </c>
      <c r="W91" s="180">
        <f t="shared" si="23"/>
        <v>-0.65606018508109465</v>
      </c>
    </row>
    <row r="92" spans="2:23" ht="20.100000000000001" customHeight="1" x14ac:dyDescent="0.25">
      <c r="B92" s="171">
        <v>42361</v>
      </c>
      <c r="C92" s="203">
        <v>2064.29</v>
      </c>
      <c r="D92" s="175">
        <f t="shared" si="24"/>
        <v>1.2418034595898879E-2</v>
      </c>
      <c r="E92" s="204">
        <f t="shared" si="26"/>
        <v>-1.8145583227107593E-2</v>
      </c>
      <c r="F92" s="221">
        <v>5045.93</v>
      </c>
      <c r="G92" s="175">
        <f t="shared" si="21"/>
        <v>8.9620104336838469E-3</v>
      </c>
      <c r="H92" s="206">
        <f t="shared" si="27"/>
        <v>-8.9891391873047361E-3</v>
      </c>
      <c r="I92" s="225">
        <v>330734.09999999998</v>
      </c>
      <c r="J92" s="173">
        <v>400000</v>
      </c>
      <c r="K92" s="173">
        <f t="shared" si="28"/>
        <v>8831.3199999999488</v>
      </c>
      <c r="L92" s="175">
        <f t="shared" si="25"/>
        <v>2.7434742874851679E-2</v>
      </c>
      <c r="M92" s="180">
        <f t="shared" si="18"/>
        <v>-69265.900000000023</v>
      </c>
      <c r="N92" s="188">
        <f t="shared" si="19"/>
        <v>-0.17316475000000006</v>
      </c>
      <c r="O92" s="180" t="b">
        <f t="shared" si="29"/>
        <v>1</v>
      </c>
      <c r="P92" s="188">
        <f>COUNTIF(O$2:O92, TRUE)/(COUNTIF(O$2:O92,FALSE) + COUNTIF(O$2:O92, TRUE))</f>
        <v>0.45054945054945056</v>
      </c>
      <c r="Q92" s="343"/>
      <c r="R92" s="343"/>
      <c r="S92" s="343"/>
      <c r="T92" s="343"/>
      <c r="U92" s="188">
        <f>STDEV(D$2:D92)*SQRT(252)</f>
        <v>0.20486368921422393</v>
      </c>
      <c r="V92" s="188">
        <f>STDEV(L$2:L92)*SQRT(252)</f>
        <v>0.29978352577242878</v>
      </c>
      <c r="W92" s="180">
        <f t="shared" si="23"/>
        <v>-0.57763264193327502</v>
      </c>
    </row>
    <row r="93" spans="2:23" ht="20.100000000000001" customHeight="1" x14ac:dyDescent="0.25">
      <c r="B93" s="171">
        <v>42362</v>
      </c>
      <c r="C93" s="209">
        <v>2060.9899999999998</v>
      </c>
      <c r="D93" s="175">
        <f t="shared" si="24"/>
        <v>-1.5986125980362168E-3</v>
      </c>
      <c r="E93" s="204">
        <f t="shared" si="26"/>
        <v>-1.9715188067198242E-2</v>
      </c>
      <c r="F93" s="221">
        <v>5048.49</v>
      </c>
      <c r="G93" s="175">
        <f t="shared" si="21"/>
        <v>5.0733957863059742E-4</v>
      </c>
      <c r="H93" s="206">
        <f t="shared" si="27"/>
        <v>-8.4863601547616793E-3</v>
      </c>
      <c r="I93" s="225">
        <v>331472.32</v>
      </c>
      <c r="J93" s="173">
        <v>400000</v>
      </c>
      <c r="K93" s="173">
        <f t="shared" si="28"/>
        <v>738.22000000003027</v>
      </c>
      <c r="L93" s="175">
        <f t="shared" si="25"/>
        <v>2.2320649730403676E-3</v>
      </c>
      <c r="M93" s="180">
        <f t="shared" si="18"/>
        <v>-68527.679999999993</v>
      </c>
      <c r="N93" s="188">
        <f t="shared" si="19"/>
        <v>-0.17131919999999998</v>
      </c>
      <c r="O93" s="180" t="b">
        <f t="shared" si="29"/>
        <v>1</v>
      </c>
      <c r="P93" s="188">
        <f>COUNTIF(O$2:O93, TRUE)/(COUNTIF(O$2:O93,FALSE) + COUNTIF(O$2:O93, TRUE))</f>
        <v>0.45652173913043476</v>
      </c>
      <c r="Q93" s="343"/>
      <c r="R93" s="343"/>
      <c r="S93" s="343"/>
      <c r="T93" s="343"/>
      <c r="U93" s="188">
        <f>STDEV(D$2:D93)*SQRT(252)</f>
        <v>0.20373721805124861</v>
      </c>
      <c r="V93" s="188">
        <f>STDEV(L$2:L93)*SQRT(252)</f>
        <v>0.29815917239051543</v>
      </c>
      <c r="W93" s="180">
        <f t="shared" si="23"/>
        <v>-0.57458973549743364</v>
      </c>
    </row>
    <row r="94" spans="2:23" ht="20.100000000000001" customHeight="1" x14ac:dyDescent="0.25">
      <c r="B94" s="176">
        <v>42366</v>
      </c>
      <c r="C94" s="220">
        <v>2056.5</v>
      </c>
      <c r="D94" s="175">
        <f t="shared" si="24"/>
        <v>-2.178564670376752E-3</v>
      </c>
      <c r="E94" s="214">
        <f t="shared" si="26"/>
        <v>-2.1850801925381962E-2</v>
      </c>
      <c r="F94" s="224">
        <v>5040.99</v>
      </c>
      <c r="G94" s="175">
        <f t="shared" si="21"/>
        <v>-1.4855927217841374E-3</v>
      </c>
      <c r="H94" s="208">
        <f t="shared" si="27"/>
        <v>-9.9593456016654636E-3</v>
      </c>
      <c r="I94" s="226">
        <v>324433.87</v>
      </c>
      <c r="J94" s="177">
        <v>400000</v>
      </c>
      <c r="K94" s="177">
        <f t="shared" si="28"/>
        <v>-7038.4500000000116</v>
      </c>
      <c r="L94" s="175">
        <f t="shared" si="25"/>
        <v>-2.1233899711445021E-2</v>
      </c>
      <c r="M94" s="187">
        <f t="shared" ref="M94:M125" si="30">I94-J94</f>
        <v>-75566.13</v>
      </c>
      <c r="N94" s="189">
        <f t="shared" ref="N94:N125" si="31">M94/J94</f>
        <v>-0.18891532500000002</v>
      </c>
      <c r="O94" s="187" t="b">
        <f t="shared" si="29"/>
        <v>0</v>
      </c>
      <c r="P94" s="189">
        <f>COUNTIF(O$2:O94, TRUE)/(COUNTIF(O$2:O94,FALSE) + COUNTIF(O$2:O94, TRUE))</f>
        <v>0.45161290322580644</v>
      </c>
      <c r="Q94" s="344"/>
      <c r="R94" s="344"/>
      <c r="S94" s="344"/>
      <c r="T94" s="344"/>
      <c r="U94" s="189">
        <f>STDEV(D$2:D94)*SQRT(252)</f>
        <v>0.20264285644820698</v>
      </c>
      <c r="V94" s="189">
        <f>STDEV(L$2:L94)*SQRT(252)</f>
        <v>0.29842518034690152</v>
      </c>
      <c r="W94" s="187">
        <f t="shared" si="23"/>
        <v>-0.63304083382105092</v>
      </c>
    </row>
    <row r="95" spans="2:23" ht="20.100000000000001" customHeight="1" x14ac:dyDescent="0.25">
      <c r="B95" s="176">
        <v>42367</v>
      </c>
      <c r="C95" s="213">
        <v>2078.36</v>
      </c>
      <c r="D95" s="175">
        <f t="shared" si="24"/>
        <v>1.0629710673474412E-2</v>
      </c>
      <c r="E95" s="214">
        <f t="shared" si="26"/>
        <v>-1.1453358954357758E-2</v>
      </c>
      <c r="F95" s="224">
        <v>5107.9399999999996</v>
      </c>
      <c r="G95" s="175">
        <f t="shared" si="21"/>
        <v>1.3281121367033027E-2</v>
      </c>
      <c r="H95" s="208">
        <f t="shared" si="27"/>
        <v>3.1895044876956188E-3</v>
      </c>
      <c r="I95" s="226">
        <v>326263</v>
      </c>
      <c r="J95" s="177">
        <v>400000</v>
      </c>
      <c r="K95" s="177">
        <f t="shared" si="28"/>
        <v>1829.1300000000047</v>
      </c>
      <c r="L95" s="175">
        <f t="shared" si="25"/>
        <v>5.6379132055478813E-3</v>
      </c>
      <c r="M95" s="187">
        <f t="shared" si="30"/>
        <v>-73737</v>
      </c>
      <c r="N95" s="189">
        <f t="shared" si="31"/>
        <v>-0.18434249999999999</v>
      </c>
      <c r="O95" s="187" t="b">
        <f t="shared" si="29"/>
        <v>0</v>
      </c>
      <c r="P95" s="189">
        <f>COUNTIF(O$2:O95, TRUE)/(COUNTIF(O$2:O95,FALSE) + COUNTIF(O$2:O95, TRUE))</f>
        <v>0.44680851063829785</v>
      </c>
      <c r="Q95" s="344"/>
      <c r="R95" s="344"/>
      <c r="S95" s="344"/>
      <c r="T95" s="344"/>
      <c r="U95" s="189">
        <f>STDEV(D$2:D95)*SQRT(252)</f>
        <v>0.2023195411541808</v>
      </c>
      <c r="V95" s="189">
        <f>STDEV(L$2:L95)*SQRT(252)</f>
        <v>0.29700566198828871</v>
      </c>
      <c r="W95" s="187">
        <f t="shared" si="23"/>
        <v>-0.620669985770402</v>
      </c>
    </row>
    <row r="96" spans="2:23" ht="20.100000000000001" customHeight="1" x14ac:dyDescent="0.25">
      <c r="B96" s="176">
        <v>42368</v>
      </c>
      <c r="C96" s="213">
        <v>2063.36</v>
      </c>
      <c r="D96" s="175">
        <f t="shared" si="24"/>
        <v>-7.2172289689947837E-3</v>
      </c>
      <c r="E96" s="214">
        <f>(C96-$C$2)/$C$2</f>
        <v>-1.8587926409314857E-2</v>
      </c>
      <c r="F96" s="224">
        <v>5065.84</v>
      </c>
      <c r="G96" s="175">
        <f t="shared" si="21"/>
        <v>-8.242070188764836E-3</v>
      </c>
      <c r="H96" s="208">
        <f t="shared" si="27"/>
        <v>-5.0788538209241849E-3</v>
      </c>
      <c r="I96" s="226">
        <v>318053.19</v>
      </c>
      <c r="J96" s="177">
        <v>400000</v>
      </c>
      <c r="K96" s="177">
        <f t="shared" si="28"/>
        <v>-8209.8099999999977</v>
      </c>
      <c r="L96" s="175">
        <f t="shared" si="25"/>
        <v>-2.5163165912162881E-2</v>
      </c>
      <c r="M96" s="187">
        <f t="shared" si="30"/>
        <v>-81946.81</v>
      </c>
      <c r="N96" s="189">
        <f t="shared" si="31"/>
        <v>-0.20486702499999998</v>
      </c>
      <c r="O96" s="187" t="b">
        <f t="shared" si="29"/>
        <v>0</v>
      </c>
      <c r="P96" s="189">
        <f>COUNTIF(O$2:O96, TRUE)/(COUNTIF(O$2:O96,FALSE) + COUNTIF(O$2:O96, TRUE))</f>
        <v>0.44210526315789472</v>
      </c>
      <c r="Q96" s="344"/>
      <c r="R96" s="344"/>
      <c r="S96" s="344"/>
      <c r="T96" s="344"/>
      <c r="U96" s="189">
        <f>STDEV(D$2:D96)*SQRT(252)</f>
        <v>0.20157138397467259</v>
      </c>
      <c r="V96" s="189">
        <f>STDEV(L$2:L96)*SQRT(252)</f>
        <v>0.29803742324397353</v>
      </c>
      <c r="W96" s="187">
        <f t="shared" si="23"/>
        <v>-0.68738691527438067</v>
      </c>
    </row>
    <row r="97" spans="2:23" ht="20.100000000000001" customHeight="1" x14ac:dyDescent="0.25">
      <c r="B97" s="176">
        <v>42369</v>
      </c>
      <c r="C97" s="213">
        <v>2043.94</v>
      </c>
      <c r="D97" s="175">
        <f t="shared" si="24"/>
        <v>-9.4118331265509031E-3</v>
      </c>
      <c r="E97" s="214">
        <f>(C97-$C$2)/$C$2</f>
        <v>-2.7824813074332679E-2</v>
      </c>
      <c r="F97" s="224">
        <v>5007.41</v>
      </c>
      <c r="G97" s="175">
        <f t="shared" si="21"/>
        <v>-1.1534118724634076E-2</v>
      </c>
      <c r="H97" s="208">
        <f t="shared" si="27"/>
        <v>-1.655439244260266E-2</v>
      </c>
      <c r="I97" s="425">
        <v>320884.32</v>
      </c>
      <c r="J97" s="177">
        <v>400000</v>
      </c>
      <c r="K97" s="177">
        <f t="shared" si="28"/>
        <v>2831.1300000000047</v>
      </c>
      <c r="L97" s="175">
        <f t="shared" si="25"/>
        <v>8.9014356372278634E-3</v>
      </c>
      <c r="M97" s="187">
        <f t="shared" si="30"/>
        <v>-79115.679999999993</v>
      </c>
      <c r="N97" s="189">
        <f t="shared" si="31"/>
        <v>-0.19778919999999997</v>
      </c>
      <c r="O97" s="187" t="b">
        <f t="shared" si="29"/>
        <v>1</v>
      </c>
      <c r="P97" s="189">
        <f>COUNTIF(O$2:O97, TRUE)/(COUNTIF(O$2:O97,FALSE) + COUNTIF(O$2:O97, TRUE))</f>
        <v>0.44791666666666669</v>
      </c>
      <c r="Q97" s="344"/>
      <c r="R97" s="344"/>
      <c r="S97" s="344"/>
      <c r="T97" s="344"/>
      <c r="U97" s="189">
        <f>STDEV(D$2:D97)*SQRT(252)</f>
        <v>0.20106669704355981</v>
      </c>
      <c r="V97" s="189">
        <f>STDEV(L$2:L97)*SQRT(252)</f>
        <v>0.29691114338787766</v>
      </c>
      <c r="W97" s="187">
        <f t="shared" si="23"/>
        <v>-0.66615620331101166</v>
      </c>
    </row>
    <row r="98" spans="2:23" ht="20.100000000000001" customHeight="1" x14ac:dyDescent="0.25">
      <c r="B98" s="171">
        <v>42373</v>
      </c>
      <c r="C98" s="203">
        <v>2012.66</v>
      </c>
      <c r="D98" s="175">
        <f t="shared" si="24"/>
        <v>-1.5303776040392561E-2</v>
      </c>
      <c r="E98" s="204">
        <f t="shared" ref="E98:E103" si="32">(C98-$C$2)/$C$2</f>
        <v>-4.2702764407069868E-2</v>
      </c>
      <c r="F98" s="221">
        <v>4903.08</v>
      </c>
      <c r="G98" s="175">
        <f t="shared" si="21"/>
        <v>-2.0835122348679243E-2</v>
      </c>
      <c r="H98" s="206">
        <f t="shared" si="27"/>
        <v>-3.7044601999332225E-2</v>
      </c>
      <c r="I98" s="225">
        <v>323756.46999999997</v>
      </c>
      <c r="J98" s="173">
        <v>400000</v>
      </c>
      <c r="K98" s="173">
        <f t="shared" si="28"/>
        <v>2872.1499999999651</v>
      </c>
      <c r="L98" s="175">
        <f t="shared" si="25"/>
        <v>8.950733398253816E-3</v>
      </c>
      <c r="M98" s="180">
        <f t="shared" si="30"/>
        <v>-76243.530000000028</v>
      </c>
      <c r="N98" s="188">
        <f t="shared" si="31"/>
        <v>-0.19060882500000007</v>
      </c>
      <c r="O98" s="180" t="b">
        <f t="shared" si="29"/>
        <v>1</v>
      </c>
      <c r="P98" s="188">
        <f>COUNTIF(O$2:O98, TRUE)/(COUNTIF(O$2:O98,FALSE) + COUNTIF(O$2:O98, TRUE))</f>
        <v>0.45360824742268041</v>
      </c>
      <c r="Q98" s="343"/>
      <c r="R98" s="343"/>
      <c r="S98" s="343"/>
      <c r="T98" s="343"/>
      <c r="U98" s="188">
        <f>STDEV(D$2:D98)*SQRT(252)</f>
        <v>0.20149367115092381</v>
      </c>
      <c r="V98" s="188">
        <f>STDEV(L$2:L98)*SQRT(252)</f>
        <v>0.29579926006722401</v>
      </c>
      <c r="W98" s="180">
        <f t="shared" si="23"/>
        <v>-0.6443857396961773</v>
      </c>
    </row>
    <row r="99" spans="2:23" ht="20.100000000000001" customHeight="1" x14ac:dyDescent="0.25">
      <c r="B99" s="171">
        <v>42374</v>
      </c>
      <c r="C99" s="203">
        <v>2016.71</v>
      </c>
      <c r="D99" s="175">
        <f t="shared" si="24"/>
        <v>2.0122623791400209E-3</v>
      </c>
      <c r="E99" s="204">
        <f t="shared" si="32"/>
        <v>-4.0776431194231473E-2</v>
      </c>
      <c r="F99" s="221">
        <v>4891.43</v>
      </c>
      <c r="G99" s="175">
        <f t="shared" si="21"/>
        <v>-2.3760574985518565E-3</v>
      </c>
      <c r="H99" s="206">
        <f t="shared" si="27"/>
        <v>-3.9332639393522703E-2</v>
      </c>
      <c r="I99" s="225">
        <v>326120.51</v>
      </c>
      <c r="J99" s="173">
        <v>400000</v>
      </c>
      <c r="K99" s="173">
        <f t="shared" si="28"/>
        <v>2364.0400000000373</v>
      </c>
      <c r="L99" s="175">
        <f t="shared" si="25"/>
        <v>7.3019081286623787E-3</v>
      </c>
      <c r="M99" s="180">
        <f t="shared" si="30"/>
        <v>-73879.489999999991</v>
      </c>
      <c r="N99" s="188">
        <f t="shared" si="31"/>
        <v>-0.18469872499999998</v>
      </c>
      <c r="O99" s="180" t="b">
        <f t="shared" si="29"/>
        <v>1</v>
      </c>
      <c r="P99" s="188">
        <f>COUNTIF(O$2:O99, TRUE)/(COUNTIF(O$2:O99,FALSE) + COUNTIF(O$2:O99, TRUE))</f>
        <v>0.45918367346938777</v>
      </c>
      <c r="Q99" s="343"/>
      <c r="R99" s="343"/>
      <c r="S99" s="343"/>
      <c r="T99" s="343"/>
      <c r="U99" s="188">
        <f>STDEV(D$2:D99)*SQRT(252)</f>
        <v>0.20047839614181759</v>
      </c>
      <c r="V99" s="188">
        <f>STDEV(L$2:L99)*SQRT(252)</f>
        <v>0.29456352660323443</v>
      </c>
      <c r="W99" s="180">
        <f t="shared" si="23"/>
        <v>-0.62702510093444785</v>
      </c>
    </row>
    <row r="100" spans="2:23" ht="20.100000000000001" customHeight="1" x14ac:dyDescent="0.25">
      <c r="B100" s="171">
        <v>42375</v>
      </c>
      <c r="C100" s="203">
        <v>1990.26</v>
      </c>
      <c r="D100" s="175">
        <f t="shared" si="24"/>
        <v>-1.3115420660382527E-2</v>
      </c>
      <c r="E100" s="204">
        <f t="shared" si="32"/>
        <v>-5.3357051806472509E-2</v>
      </c>
      <c r="F100" s="221">
        <v>4835.76</v>
      </c>
      <c r="G100" s="175">
        <f t="shared" si="21"/>
        <v>-1.1381129853641996E-2</v>
      </c>
      <c r="H100" s="206">
        <f t="shared" si="27"/>
        <v>-5.026611937074054E-2</v>
      </c>
      <c r="I100" s="225">
        <v>307215.3</v>
      </c>
      <c r="J100" s="173">
        <v>400000</v>
      </c>
      <c r="K100" s="173">
        <f t="shared" si="28"/>
        <v>-18905.210000000021</v>
      </c>
      <c r="L100" s="175">
        <f t="shared" si="25"/>
        <v>-5.7970012373646844E-2</v>
      </c>
      <c r="M100" s="180">
        <f t="shared" si="30"/>
        <v>-92784.700000000012</v>
      </c>
      <c r="N100" s="188">
        <f t="shared" si="31"/>
        <v>-0.23196175000000002</v>
      </c>
      <c r="O100" s="180" t="b">
        <f t="shared" si="29"/>
        <v>0</v>
      </c>
      <c r="P100" s="188">
        <f>COUNTIF(O$2:O100, TRUE)/(COUNTIF(O$2:O100,FALSE) + COUNTIF(O$2:O100, TRUE))</f>
        <v>0.45454545454545453</v>
      </c>
      <c r="Q100" s="343"/>
      <c r="R100" s="343"/>
      <c r="S100" s="343"/>
      <c r="T100" s="343"/>
      <c r="U100" s="188">
        <f>STDEV(D$2:D100)*SQRT(252)</f>
        <v>0.20049006957671658</v>
      </c>
      <c r="V100" s="188">
        <f>STDEV(L$2:L100)*SQRT(252)</f>
        <v>0.30696087260477756</v>
      </c>
      <c r="W100" s="180">
        <f t="shared" si="23"/>
        <v>-0.75567204390462683</v>
      </c>
    </row>
    <row r="101" spans="2:23" ht="20.100000000000001" customHeight="1" x14ac:dyDescent="0.25">
      <c r="B101" s="171">
        <v>42376</v>
      </c>
      <c r="C101" s="209">
        <v>1943.09</v>
      </c>
      <c r="D101" s="175">
        <f t="shared" si="24"/>
        <v>-2.3700421050516049E-2</v>
      </c>
      <c r="E101" s="204">
        <f t="shared" si="32"/>
        <v>-7.5792888263160968E-2</v>
      </c>
      <c r="F101" s="221">
        <v>4689.42</v>
      </c>
      <c r="G101" s="175">
        <f t="shared" si="21"/>
        <v>-3.0262047744304958E-2</v>
      </c>
      <c r="H101" s="206">
        <f t="shared" si="27"/>
        <v>-7.9007011410727218E-2</v>
      </c>
      <c r="I101" s="225">
        <v>296450.84999999998</v>
      </c>
      <c r="J101" s="173">
        <v>400000</v>
      </c>
      <c r="K101" s="173">
        <f t="shared" si="28"/>
        <v>-10764.450000000012</v>
      </c>
      <c r="L101" s="175">
        <f t="shared" si="25"/>
        <v>-3.503878224814979E-2</v>
      </c>
      <c r="M101" s="180">
        <f t="shared" si="30"/>
        <v>-103549.15000000002</v>
      </c>
      <c r="N101" s="188">
        <f t="shared" si="31"/>
        <v>-0.25887287500000006</v>
      </c>
      <c r="O101" s="180" t="b">
        <f t="shared" si="29"/>
        <v>0</v>
      </c>
      <c r="P101" s="188">
        <f>COUNTIF(O$2:O101, TRUE)/(COUNTIF(O$2:O101,FALSE) + COUNTIF(O$2:O101, TRUE))</f>
        <v>0.45</v>
      </c>
      <c r="Q101" s="343"/>
      <c r="R101" s="343"/>
      <c r="S101" s="343"/>
      <c r="T101" s="343"/>
      <c r="U101" s="188">
        <f>STDEV(D$2:D101)*SQRT(252)</f>
        <v>0.20287568849216503</v>
      </c>
      <c r="V101" s="188">
        <f>STDEV(L$2:L101)*SQRT(252)</f>
        <v>0.3100263800011836</v>
      </c>
      <c r="W101" s="180">
        <f t="shared" si="23"/>
        <v>-0.83500273428026273</v>
      </c>
    </row>
    <row r="102" spans="2:23" ht="20.100000000000001" customHeight="1" x14ac:dyDescent="0.25">
      <c r="B102" s="171">
        <v>42377</v>
      </c>
      <c r="C102" s="209">
        <v>1922.03</v>
      </c>
      <c r="D102" s="175">
        <f t="shared" si="24"/>
        <v>-1.0838406867412187E-2</v>
      </c>
      <c r="E102" s="204">
        <f t="shared" si="32"/>
        <v>-8.5809820969920694E-2</v>
      </c>
      <c r="F102" s="221">
        <v>4643.63</v>
      </c>
      <c r="G102" s="175">
        <f t="shared" si="21"/>
        <v>-9.7645337802969162E-3</v>
      </c>
      <c r="H102" s="206">
        <f t="shared" si="27"/>
        <v>-8.8000078559223788E-2</v>
      </c>
      <c r="I102" s="225">
        <v>291709.24</v>
      </c>
      <c r="J102" s="173">
        <v>400000</v>
      </c>
      <c r="K102" s="173">
        <f t="shared" si="28"/>
        <v>-4741.609999999986</v>
      </c>
      <c r="L102" s="175">
        <f t="shared" si="25"/>
        <v>-1.5994590671607068E-2</v>
      </c>
      <c r="M102" s="180">
        <f t="shared" si="30"/>
        <v>-108290.76000000001</v>
      </c>
      <c r="N102" s="188">
        <f t="shared" si="31"/>
        <v>-0.27072690000000005</v>
      </c>
      <c r="O102" s="180" t="b">
        <f t="shared" si="29"/>
        <v>0</v>
      </c>
      <c r="P102" s="188">
        <f>COUNTIF(O$2:O102, TRUE)/(COUNTIF(O$2:O102,FALSE) + COUNTIF(O$2:O102, TRUE))</f>
        <v>0.44554455445544555</v>
      </c>
      <c r="Q102" s="343"/>
      <c r="R102" s="343"/>
      <c r="S102" s="343"/>
      <c r="T102" s="343"/>
      <c r="U102" s="188">
        <f>STDEV(D$2:D102)*SQRT(252)</f>
        <v>0.20248720457618641</v>
      </c>
      <c r="V102" s="188">
        <f>STDEV(L$2:L102)*SQRT(252)</f>
        <v>0.30926714125463156</v>
      </c>
      <c r="W102" s="180">
        <f t="shared" si="23"/>
        <v>-0.87538203671336734</v>
      </c>
    </row>
    <row r="103" spans="2:23" ht="20.100000000000001" customHeight="1" x14ac:dyDescent="0.25">
      <c r="B103" s="176">
        <v>42380</v>
      </c>
      <c r="C103" s="220">
        <v>1923.67</v>
      </c>
      <c r="D103" s="175">
        <f t="shared" si="24"/>
        <v>8.5326451720321749E-4</v>
      </c>
      <c r="E103" s="214">
        <f t="shared" si="32"/>
        <v>-8.5029774928178675E-2</v>
      </c>
      <c r="F103" s="224">
        <v>4637.9799999999996</v>
      </c>
      <c r="G103" s="175">
        <f t="shared" si="21"/>
        <v>-1.2167205397502698E-3</v>
      </c>
      <c r="H103" s="208">
        <f t="shared" si="27"/>
        <v>-8.9109727595891405E-2</v>
      </c>
      <c r="I103" s="226">
        <v>278511.46999999997</v>
      </c>
      <c r="J103" s="177">
        <v>400000</v>
      </c>
      <c r="K103" s="177">
        <f t="shared" si="28"/>
        <v>-13197.770000000019</v>
      </c>
      <c r="L103" s="175">
        <f t="shared" si="25"/>
        <v>-4.5242893231630298E-2</v>
      </c>
      <c r="M103" s="187">
        <f t="shared" si="30"/>
        <v>-121488.53000000003</v>
      </c>
      <c r="N103" s="189">
        <f t="shared" si="31"/>
        <v>-0.3037213250000001</v>
      </c>
      <c r="O103" s="187" t="b">
        <f t="shared" si="29"/>
        <v>0</v>
      </c>
      <c r="P103" s="189">
        <f>COUNTIF(O$2:O103, TRUE)/(COUNTIF(O$2:O103,FALSE) + COUNTIF(O$2:O103, TRUE))</f>
        <v>0.44117647058823528</v>
      </c>
      <c r="Q103" s="344"/>
      <c r="R103" s="344"/>
      <c r="S103" s="344"/>
      <c r="T103" s="344"/>
      <c r="U103" s="189">
        <f>STDEV(D$2:D103)*SQRT(252)</f>
        <v>0.20148947946934948</v>
      </c>
      <c r="V103" s="189">
        <f>STDEV(L$2:L103)*SQRT(252)</f>
        <v>0.31519307674971891</v>
      </c>
      <c r="W103" s="187">
        <f t="shared" si="23"/>
        <v>-0.96360404908630648</v>
      </c>
    </row>
    <row r="104" spans="2:23" ht="20.100000000000001" customHeight="1" x14ac:dyDescent="0.25">
      <c r="B104" s="176">
        <v>42381</v>
      </c>
      <c r="C104" s="213">
        <v>1938.68</v>
      </c>
      <c r="D104" s="175">
        <f t="shared" si="24"/>
        <v>7.8027936184480659E-3</v>
      </c>
      <c r="E104" s="214">
        <f>(C104-$C$2)/$C$2</f>
        <v>-7.7890451094918281E-2</v>
      </c>
      <c r="F104" s="224">
        <v>4685.6099999999997</v>
      </c>
      <c r="G104" s="175">
        <f t="shared" si="21"/>
        <v>1.0269557005420487E-2</v>
      </c>
      <c r="H104" s="208">
        <f t="shared" si="27"/>
        <v>-7.9755288017754417E-2</v>
      </c>
      <c r="I104" s="226">
        <v>272280.59000000003</v>
      </c>
      <c r="J104" s="177">
        <v>400000</v>
      </c>
      <c r="K104" s="177">
        <f t="shared" si="28"/>
        <v>-6230.8799999999464</v>
      </c>
      <c r="L104" s="175">
        <f t="shared" si="25"/>
        <v>-2.2372076812491589E-2</v>
      </c>
      <c r="M104" s="187">
        <f t="shared" si="30"/>
        <v>-127719.40999999997</v>
      </c>
      <c r="N104" s="189">
        <f t="shared" si="31"/>
        <v>-0.31929852499999994</v>
      </c>
      <c r="O104" s="187" t="b">
        <f t="shared" si="29"/>
        <v>0</v>
      </c>
      <c r="P104" s="189">
        <f>COUNTIF(O$2:O104, TRUE)/(COUNTIF(O$2:O104,FALSE) + COUNTIF(O$2:O104, TRUE))</f>
        <v>0.43689320388349512</v>
      </c>
      <c r="Q104" s="344"/>
      <c r="R104" s="344"/>
      <c r="S104" s="344"/>
      <c r="T104" s="344"/>
      <c r="U104" s="189">
        <f>STDEV(D$2:D104)*SQRT(252)</f>
        <v>0.20094495344626548</v>
      </c>
      <c r="V104" s="189">
        <f>STDEV(L$2:L104)*SQRT(252)</f>
        <v>0.31518540993187888</v>
      </c>
      <c r="W104" s="187">
        <f t="shared" si="23"/>
        <v>-1.0130498269859953</v>
      </c>
    </row>
    <row r="105" spans="2:23" ht="20.100000000000001" customHeight="1" x14ac:dyDescent="0.25">
      <c r="B105" s="176">
        <v>42382</v>
      </c>
      <c r="C105" s="213">
        <v>1890.28</v>
      </c>
      <c r="D105" s="175">
        <f t="shared" si="24"/>
        <v>-2.4965440402748309E-2</v>
      </c>
      <c r="E105" s="214">
        <f>(C105-$C$2)/$C$2</f>
        <v>-0.10091132208291323</v>
      </c>
      <c r="F105" s="224">
        <v>4526.0600000000004</v>
      </c>
      <c r="G105" s="175">
        <f t="shared" si="21"/>
        <v>-3.4051062721822623E-2</v>
      </c>
      <c r="H105" s="208">
        <f t="shared" si="27"/>
        <v>-0.11109059842488746</v>
      </c>
      <c r="I105" s="226">
        <v>259060.64</v>
      </c>
      <c r="J105" s="177">
        <v>400000</v>
      </c>
      <c r="K105" s="177">
        <f t="shared" si="28"/>
        <v>-13219.950000000012</v>
      </c>
      <c r="L105" s="175">
        <f t="shared" si="25"/>
        <v>-4.8552671345394142E-2</v>
      </c>
      <c r="M105" s="187">
        <f t="shared" si="30"/>
        <v>-140939.35999999999</v>
      </c>
      <c r="N105" s="189">
        <f t="shared" si="31"/>
        <v>-0.35234839999999995</v>
      </c>
      <c r="O105" s="187" t="b">
        <f t="shared" si="29"/>
        <v>0</v>
      </c>
      <c r="P105" s="189">
        <f>COUNTIF(O$2:O105, TRUE)/(COUNTIF(O$2:O105,FALSE) + COUNTIF(O$2:O105, TRUE))</f>
        <v>0.43269230769230771</v>
      </c>
      <c r="Q105" s="344"/>
      <c r="R105" s="344"/>
      <c r="S105" s="344"/>
      <c r="T105" s="344"/>
      <c r="U105" s="189">
        <f>STDEV(D$2:D105)*SQRT(252)</f>
        <v>0.20352342454405692</v>
      </c>
      <c r="V105" s="189">
        <f>STDEV(L$2:L105)*SQRT(252)</f>
        <v>0.32174542830097441</v>
      </c>
      <c r="W105" s="187">
        <f t="shared" si="23"/>
        <v>-1.0951154826367826</v>
      </c>
    </row>
    <row r="106" spans="2:23" ht="20.100000000000001" customHeight="1" x14ac:dyDescent="0.25">
      <c r="B106" s="176">
        <v>42383</v>
      </c>
      <c r="C106" s="213">
        <v>1921.84</v>
      </c>
      <c r="D106" s="175">
        <f t="shared" si="24"/>
        <v>1.6695939225934753E-2</v>
      </c>
      <c r="E106" s="214">
        <f t="shared" ref="E106:E113" si="33">(C106-$C$2)/$C$2</f>
        <v>-8.5900192157683519E-2</v>
      </c>
      <c r="F106" s="224">
        <v>4615</v>
      </c>
      <c r="G106" s="175">
        <f t="shared" si="21"/>
        <v>1.9650645373680331E-2</v>
      </c>
      <c r="H106" s="208">
        <f t="shared" si="27"/>
        <v>-9.3622955005204511E-2</v>
      </c>
      <c r="I106" s="226">
        <v>267077.40000000002</v>
      </c>
      <c r="J106" s="177">
        <v>400000</v>
      </c>
      <c r="K106" s="177">
        <f t="shared" si="28"/>
        <v>8016.7600000000093</v>
      </c>
      <c r="L106" s="175">
        <f t="shared" si="25"/>
        <v>3.0945496004333228E-2</v>
      </c>
      <c r="M106" s="187">
        <f t="shared" si="30"/>
        <v>-132922.59999999998</v>
      </c>
      <c r="N106" s="189">
        <f t="shared" si="31"/>
        <v>-0.33230649999999995</v>
      </c>
      <c r="O106" s="187" t="b">
        <f t="shared" si="29"/>
        <v>1</v>
      </c>
      <c r="P106" s="189">
        <f>COUNTIF(O$2:O106, TRUE)/(COUNTIF(O$2:O106,FALSE) + COUNTIF(O$2:O106, TRUE))</f>
        <v>0.43809523809523809</v>
      </c>
      <c r="Q106" s="344"/>
      <c r="R106" s="344"/>
      <c r="S106" s="344"/>
      <c r="T106" s="344"/>
      <c r="U106" s="189">
        <f>STDEV(D$2:D106)*SQRT(252)</f>
        <v>0.20438733546247476</v>
      </c>
      <c r="V106" s="189">
        <f>STDEV(L$2:L106)*SQRT(252)</f>
        <v>0.32453820781135018</v>
      </c>
      <c r="W106" s="187">
        <f t="shared" si="23"/>
        <v>-1.023936448780679</v>
      </c>
    </row>
    <row r="107" spans="2:23" ht="20.100000000000001" customHeight="1" x14ac:dyDescent="0.25">
      <c r="B107" s="176">
        <v>42384</v>
      </c>
      <c r="C107" s="213">
        <v>1880.33</v>
      </c>
      <c r="D107" s="175">
        <f t="shared" si="24"/>
        <v>-2.1599092536319357E-2</v>
      </c>
      <c r="E107" s="214">
        <f t="shared" si="33"/>
        <v>-0.10564391849470145</v>
      </c>
      <c r="F107" s="224">
        <v>4488.41</v>
      </c>
      <c r="G107" s="175">
        <f t="shared" si="21"/>
        <v>-2.7430119176598083E-2</v>
      </c>
      <c r="H107" s="208">
        <f t="shared" ref="H107:H121" si="34">(F107-F$2)/F$2</f>
        <v>-0.11848498536834456</v>
      </c>
      <c r="I107" s="226">
        <v>249397.57</v>
      </c>
      <c r="J107" s="177">
        <v>400000</v>
      </c>
      <c r="K107" s="177">
        <f t="shared" si="28"/>
        <v>-17679.830000000016</v>
      </c>
      <c r="L107" s="175">
        <f t="shared" si="25"/>
        <v>-6.619740195164403E-2</v>
      </c>
      <c r="M107" s="187">
        <f t="shared" si="30"/>
        <v>-150602.43</v>
      </c>
      <c r="N107" s="189">
        <f t="shared" si="31"/>
        <v>-0.376506075</v>
      </c>
      <c r="O107" s="187" t="b">
        <f t="shared" si="29"/>
        <v>0</v>
      </c>
      <c r="P107" s="189">
        <f>COUNTIF(O$2:O107, TRUE)/(COUNTIF(O$2:O107,FALSE) + COUNTIF(O$2:O107, TRUE))</f>
        <v>0.43396226415094341</v>
      </c>
      <c r="Q107" s="344"/>
      <c r="R107" s="344"/>
      <c r="S107" s="344"/>
      <c r="T107" s="344"/>
      <c r="U107" s="189">
        <f>STDEV(D$2:D107)*SQRT(252)</f>
        <v>0.20594332584152428</v>
      </c>
      <c r="V107" s="189">
        <f>STDEV(L$2:L107)*SQRT(252)</f>
        <v>0.33758588878684614</v>
      </c>
      <c r="W107" s="187">
        <f t="shared" si="23"/>
        <v>-1.1152897307201377</v>
      </c>
    </row>
    <row r="108" spans="2:23" ht="20.100000000000001" customHeight="1" x14ac:dyDescent="0.25">
      <c r="B108" s="171">
        <v>42388</v>
      </c>
      <c r="C108" s="203">
        <v>1881.33</v>
      </c>
      <c r="D108" s="175">
        <f t="shared" si="24"/>
        <v>5.3182154196337883E-4</v>
      </c>
      <c r="E108" s="204">
        <f t="shared" si="33"/>
        <v>-0.10516828066437098</v>
      </c>
      <c r="F108" s="221">
        <v>4476.95</v>
      </c>
      <c r="G108" s="175">
        <f t="shared" si="21"/>
        <v>-2.5532426850488339E-3</v>
      </c>
      <c r="H108" s="206">
        <f t="shared" si="34"/>
        <v>-0.12073570713121355</v>
      </c>
      <c r="I108" s="225">
        <v>241697.04</v>
      </c>
      <c r="J108" s="173">
        <v>400000</v>
      </c>
      <c r="K108" s="173">
        <f t="shared" si="28"/>
        <v>-7700.5300000000279</v>
      </c>
      <c r="L108" s="175">
        <f t="shared" si="25"/>
        <v>-3.0876523776875723E-2</v>
      </c>
      <c r="M108" s="180">
        <f t="shared" si="30"/>
        <v>-158302.96</v>
      </c>
      <c r="N108" s="188">
        <f t="shared" si="31"/>
        <v>-0.39575739999999998</v>
      </c>
      <c r="O108" s="180" t="b">
        <f t="shared" si="29"/>
        <v>0</v>
      </c>
      <c r="P108" s="188">
        <f>COUNTIF(O$2:O108, TRUE)/(COUNTIF(O$2:O108,FALSE) + COUNTIF(O$2:O108, TRUE))</f>
        <v>0.42990654205607476</v>
      </c>
      <c r="Q108" s="343"/>
      <c r="R108" s="343"/>
      <c r="S108" s="343"/>
      <c r="T108" s="343"/>
      <c r="U108" s="188">
        <f>STDEV(D$2:D108)*SQRT(252)</f>
        <v>0.20497353903003479</v>
      </c>
      <c r="V108" s="188">
        <f>STDEV(L$2:L108)*SQRT(252)</f>
        <v>0.33863790038958375</v>
      </c>
      <c r="W108" s="180">
        <f t="shared" si="23"/>
        <v>-1.1686742669521146</v>
      </c>
    </row>
    <row r="109" spans="2:23" ht="20.100000000000001" customHeight="1" x14ac:dyDescent="0.25">
      <c r="B109" s="171">
        <v>42389</v>
      </c>
      <c r="C109" s="203">
        <v>1859.33</v>
      </c>
      <c r="D109" s="175">
        <f t="shared" si="24"/>
        <v>-1.1693854879260949E-2</v>
      </c>
      <c r="E109" s="204">
        <f t="shared" si="33"/>
        <v>-0.11563231293164139</v>
      </c>
      <c r="F109" s="221">
        <v>4471.68</v>
      </c>
      <c r="G109" s="175">
        <f t="shared" si="21"/>
        <v>-1.1771406872981666E-3</v>
      </c>
      <c r="H109" s="206">
        <f t="shared" si="34"/>
        <v>-0.12177072490523785</v>
      </c>
      <c r="I109" s="225">
        <v>239001.56</v>
      </c>
      <c r="J109" s="173">
        <v>400000</v>
      </c>
      <c r="K109" s="173">
        <f t="shared" si="28"/>
        <v>-2695.4799999999814</v>
      </c>
      <c r="L109" s="175">
        <f t="shared" si="25"/>
        <v>-1.1152308691906121E-2</v>
      </c>
      <c r="M109" s="180">
        <f t="shared" si="30"/>
        <v>-160998.44</v>
      </c>
      <c r="N109" s="188">
        <f t="shared" si="31"/>
        <v>-0.40249610000000002</v>
      </c>
      <c r="O109" s="180" t="b">
        <f t="shared" si="29"/>
        <v>1</v>
      </c>
      <c r="P109" s="188">
        <f>COUNTIF(O$2:O109, TRUE)/(COUNTIF(O$2:O109,FALSE) + COUNTIF(O$2:O109, TRUE))</f>
        <v>0.43518518518518517</v>
      </c>
      <c r="Q109" s="343"/>
      <c r="R109" s="343"/>
      <c r="S109" s="343"/>
      <c r="T109" s="343"/>
      <c r="U109" s="188">
        <f>STDEV(D$2:D109)*SQRT(252)</f>
        <v>0.20466775158586656</v>
      </c>
      <c r="V109" s="188">
        <f>STDEV(L$2:L109)*SQRT(252)</f>
        <v>0.33723365750596535</v>
      </c>
      <c r="W109" s="180">
        <f t="shared" si="23"/>
        <v>-1.1935229211007214</v>
      </c>
    </row>
    <row r="110" spans="2:23" ht="20.100000000000001" customHeight="1" x14ac:dyDescent="0.25">
      <c r="B110" s="171">
        <v>42390</v>
      </c>
      <c r="C110" s="203">
        <v>1868.99</v>
      </c>
      <c r="D110" s="175">
        <f t="shared" si="24"/>
        <v>5.1954198555394055E-3</v>
      </c>
      <c r="E110" s="204">
        <f t="shared" si="33"/>
        <v>-0.11103765149064898</v>
      </c>
      <c r="F110" s="221">
        <v>4472.0600000000004</v>
      </c>
      <c r="G110" s="175">
        <f t="shared" si="21"/>
        <v>8.4979247173346285E-5</v>
      </c>
      <c r="H110" s="206">
        <f t="shared" si="34"/>
        <v>-0.1216960936425947</v>
      </c>
      <c r="I110" s="225">
        <v>254991.51</v>
      </c>
      <c r="J110" s="173">
        <v>400000</v>
      </c>
      <c r="K110" s="173">
        <f t="shared" si="28"/>
        <v>15989.950000000012</v>
      </c>
      <c r="L110" s="175">
        <f t="shared" si="25"/>
        <v>6.6903119795536106E-2</v>
      </c>
      <c r="M110" s="180">
        <f t="shared" si="30"/>
        <v>-145008.49</v>
      </c>
      <c r="N110" s="188">
        <f t="shared" si="31"/>
        <v>-0.362521225</v>
      </c>
      <c r="O110" s="180" t="b">
        <f t="shared" si="29"/>
        <v>1</v>
      </c>
      <c r="P110" s="188">
        <f>COUNTIF(O$2:O110, TRUE)/(COUNTIF(O$2:O110,FALSE) + COUNTIF(O$2:O110, TRUE))</f>
        <v>0.44036697247706424</v>
      </c>
      <c r="Q110" s="343"/>
      <c r="R110" s="343"/>
      <c r="S110" s="343"/>
      <c r="T110" s="343"/>
      <c r="U110" s="188">
        <f>STDEV(D$2:D110)*SQRT(252)</f>
        <v>0.20393347244728127</v>
      </c>
      <c r="V110" s="188">
        <f>STDEV(L$2:L110)*SQRT(252)</f>
        <v>0.35256157198523613</v>
      </c>
      <c r="W110" s="180">
        <f t="shared" si="23"/>
        <v>-1.028249400405955</v>
      </c>
    </row>
    <row r="111" spans="2:23" ht="20.100000000000001" customHeight="1" x14ac:dyDescent="0.25">
      <c r="B111" s="171">
        <v>42391</v>
      </c>
      <c r="C111" s="209">
        <v>1906.9</v>
      </c>
      <c r="D111" s="175">
        <f t="shared" si="24"/>
        <v>2.0283682630725729E-2</v>
      </c>
      <c r="E111" s="204">
        <f t="shared" si="33"/>
        <v>-9.3006221342820702E-2</v>
      </c>
      <c r="F111" s="221">
        <v>4591.18</v>
      </c>
      <c r="G111" s="175">
        <f t="shared" si="21"/>
        <v>2.6636494143638476E-2</v>
      </c>
      <c r="H111" s="206">
        <f t="shared" si="34"/>
        <v>-9.8301156784570881E-2</v>
      </c>
      <c r="I111" s="225">
        <v>260098.81</v>
      </c>
      <c r="J111" s="173">
        <v>400000</v>
      </c>
      <c r="K111" s="173">
        <f t="shared" si="28"/>
        <v>5107.2999999999884</v>
      </c>
      <c r="L111" s="175">
        <f t="shared" si="25"/>
        <v>2.0029294308661447E-2</v>
      </c>
      <c r="M111" s="180">
        <f t="shared" si="30"/>
        <v>-139901.19</v>
      </c>
      <c r="N111" s="188">
        <f t="shared" si="31"/>
        <v>-0.34975297500000002</v>
      </c>
      <c r="O111" s="180" t="b">
        <f t="shared" si="29"/>
        <v>0</v>
      </c>
      <c r="P111" s="188">
        <f>COUNTIF(O$2:O111, TRUE)/(COUNTIF(O$2:O111,FALSE) + COUNTIF(O$2:O111, TRUE))</f>
        <v>0.43636363636363634</v>
      </c>
      <c r="Q111" s="343"/>
      <c r="R111" s="343"/>
      <c r="S111" s="343"/>
      <c r="T111" s="343"/>
      <c r="U111" s="188">
        <f>STDEV(D$2:D111)*SQRT(252)</f>
        <v>0.20555239783673285</v>
      </c>
      <c r="V111" s="188">
        <f>STDEV(L$2:L111)*SQRT(252)</f>
        <v>0.35267737853182896</v>
      </c>
      <c r="W111" s="180">
        <f t="shared" si="23"/>
        <v>-0.99170799231863693</v>
      </c>
    </row>
    <row r="112" spans="2:23" ht="20.100000000000001" customHeight="1" x14ac:dyDescent="0.25">
      <c r="B112" s="176">
        <v>42394</v>
      </c>
      <c r="C112" s="220">
        <v>1877.08</v>
      </c>
      <c r="D112" s="175">
        <f t="shared" si="24"/>
        <v>-1.5637946405160294E-2</v>
      </c>
      <c r="E112" s="214">
        <f t="shared" si="33"/>
        <v>-0.10718974144327549</v>
      </c>
      <c r="F112" s="224">
        <v>4518.49</v>
      </c>
      <c r="G112" s="175">
        <f t="shared" si="21"/>
        <v>-1.5832531070443873E-2</v>
      </c>
      <c r="H112" s="208">
        <f t="shared" si="34"/>
        <v>-0.11257733173596246</v>
      </c>
      <c r="I112" s="226">
        <v>241845.81</v>
      </c>
      <c r="J112" s="177">
        <v>400000</v>
      </c>
      <c r="K112" s="177">
        <f t="shared" si="28"/>
        <v>-18253</v>
      </c>
      <c r="L112" s="175">
        <f t="shared" si="25"/>
        <v>-7.0177176127795435E-2</v>
      </c>
      <c r="M112" s="187">
        <f t="shared" si="30"/>
        <v>-158154.19</v>
      </c>
      <c r="N112" s="189">
        <f t="shared" si="31"/>
        <v>-0.39538547499999999</v>
      </c>
      <c r="O112" s="187" t="b">
        <f t="shared" si="29"/>
        <v>0</v>
      </c>
      <c r="P112" s="189">
        <f>COUNTIF(O$2:O112, TRUE)/(COUNTIF(O$2:O112,FALSE) + COUNTIF(O$2:O112, TRUE))</f>
        <v>0.43243243243243246</v>
      </c>
      <c r="Q112" s="344"/>
      <c r="R112" s="344"/>
      <c r="S112" s="344"/>
      <c r="T112" s="344"/>
      <c r="U112" s="189">
        <f>STDEV(D$2:D112)*SQRT(252)</f>
        <v>0.2058342089719612</v>
      </c>
      <c r="V112" s="189">
        <f>STDEV(L$2:L112)*SQRT(252)</f>
        <v>0.36554774877731538</v>
      </c>
      <c r="W112" s="187">
        <f t="shared" si="23"/>
        <v>-1.0816247024430758</v>
      </c>
    </row>
    <row r="113" spans="2:23" ht="20.100000000000001" customHeight="1" x14ac:dyDescent="0.25">
      <c r="B113" s="176">
        <v>42395</v>
      </c>
      <c r="C113" s="213">
        <v>1903.63</v>
      </c>
      <c r="D113" s="175">
        <f t="shared" si="24"/>
        <v>1.4144309246276229E-2</v>
      </c>
      <c r="E113" s="214">
        <f t="shared" si="33"/>
        <v>-9.4561557048001343E-2</v>
      </c>
      <c r="F113" s="224">
        <v>4567.67</v>
      </c>
      <c r="G113" s="175">
        <f t="shared" si="21"/>
        <v>1.0884167055808532E-2</v>
      </c>
      <c r="H113" s="208">
        <f t="shared" si="34"/>
        <v>-0.10291847516546532</v>
      </c>
      <c r="I113" s="226">
        <v>248055.57</v>
      </c>
      <c r="J113" s="177">
        <v>400000</v>
      </c>
      <c r="K113" s="177">
        <f t="shared" si="28"/>
        <v>6209.7600000000093</v>
      </c>
      <c r="L113" s="175">
        <f t="shared" si="25"/>
        <v>2.5676525055364861E-2</v>
      </c>
      <c r="M113" s="187">
        <f t="shared" si="30"/>
        <v>-151944.43</v>
      </c>
      <c r="N113" s="189">
        <f t="shared" si="31"/>
        <v>-0.37986107499999999</v>
      </c>
      <c r="O113" s="187" t="b">
        <f t="shared" si="29"/>
        <v>1</v>
      </c>
      <c r="P113" s="189">
        <f>COUNTIF(O$2:O113, TRUE)/(COUNTIF(O$2:O113,FALSE) + COUNTIF(O$2:O113, TRUE))</f>
        <v>0.4375</v>
      </c>
      <c r="Q113" s="344"/>
      <c r="R113" s="344"/>
      <c r="S113" s="344"/>
      <c r="T113" s="344"/>
      <c r="U113" s="189">
        <f>STDEV(D$2:D113)*SQRT(252)</f>
        <v>0.20615429037873539</v>
      </c>
      <c r="V113" s="189">
        <f>STDEV(L$2:L113)*SQRT(252)</f>
        <v>0.36652123813825849</v>
      </c>
      <c r="W113" s="187">
        <f t="shared" si="23"/>
        <v>-1.0363958086835598</v>
      </c>
    </row>
    <row r="114" spans="2:23" ht="20.100000000000001" customHeight="1" x14ac:dyDescent="0.25">
      <c r="B114" s="176">
        <v>42396</v>
      </c>
      <c r="C114" s="213">
        <v>1882.95</v>
      </c>
      <c r="D114" s="175">
        <f t="shared" si="24"/>
        <v>-1.0863455608495382E-2</v>
      </c>
      <c r="E114" s="214">
        <f>(C114-$C$2)/$C$2</f>
        <v>-0.10439774737923556</v>
      </c>
      <c r="F114" s="224">
        <v>4468.16</v>
      </c>
      <c r="G114" s="175">
        <f t="shared" si="21"/>
        <v>-2.1785724450321547E-2</v>
      </c>
      <c r="H114" s="208">
        <f t="shared" si="34"/>
        <v>-0.12246204607498477</v>
      </c>
      <c r="I114" s="226">
        <v>251585.76</v>
      </c>
      <c r="J114" s="177">
        <v>400000</v>
      </c>
      <c r="K114" s="177">
        <f t="shared" si="28"/>
        <v>3530.1900000000023</v>
      </c>
      <c r="L114" s="175">
        <f t="shared" si="25"/>
        <v>1.4231448219445353E-2</v>
      </c>
      <c r="M114" s="187">
        <f t="shared" si="30"/>
        <v>-148414.24</v>
      </c>
      <c r="N114" s="189">
        <f t="shared" si="31"/>
        <v>-0.37103559999999997</v>
      </c>
      <c r="O114" s="187" t="b">
        <f t="shared" si="29"/>
        <v>1</v>
      </c>
      <c r="P114" s="189">
        <f>COUNTIF(O$2:O114, TRUE)/(COUNTIF(O$2:O114,FALSE) + COUNTIF(O$2:O114, TRUE))</f>
        <v>0.44247787610619471</v>
      </c>
      <c r="Q114" s="344"/>
      <c r="R114" s="344"/>
      <c r="S114" s="344"/>
      <c r="T114" s="344"/>
      <c r="U114" s="189">
        <f>STDEV(D$2:D114)*SQRT(252)</f>
        <v>0.20577679311518093</v>
      </c>
      <c r="V114" s="189">
        <f>STDEV(L$2:L114)*SQRT(252)</f>
        <v>0.36580201811385399</v>
      </c>
      <c r="W114" s="187">
        <f t="shared" si="23"/>
        <v>-1.0143071432824</v>
      </c>
    </row>
    <row r="115" spans="2:23" ht="20.100000000000001" customHeight="1" x14ac:dyDescent="0.25">
      <c r="B115" s="176">
        <v>42397</v>
      </c>
      <c r="C115" s="213">
        <v>1893.36</v>
      </c>
      <c r="D115" s="175">
        <f t="shared" si="24"/>
        <v>5.5285589102205867E-3</v>
      </c>
      <c r="E115" s="214">
        <f t="shared" ref="E115:E124" si="35">(C115-$C$2)/$C$2</f>
        <v>-9.94463575654954E-2</v>
      </c>
      <c r="F115" s="224">
        <v>4506.67</v>
      </c>
      <c r="G115" s="175">
        <f t="shared" si="21"/>
        <v>8.6187602950655792E-3</v>
      </c>
      <c r="H115" s="208">
        <f t="shared" si="34"/>
        <v>-0.11489875680028276</v>
      </c>
      <c r="I115" s="226">
        <v>256687.6</v>
      </c>
      <c r="J115" s="177">
        <v>400000</v>
      </c>
      <c r="K115" s="177">
        <f t="shared" si="28"/>
        <v>5101.8399999999674</v>
      </c>
      <c r="L115" s="175">
        <f t="shared" si="25"/>
        <v>2.027873119686888E-2</v>
      </c>
      <c r="M115" s="187">
        <f t="shared" si="30"/>
        <v>-143312.4</v>
      </c>
      <c r="N115" s="189">
        <f t="shared" si="31"/>
        <v>-0.35828099999999996</v>
      </c>
      <c r="O115" s="187" t="b">
        <f t="shared" si="29"/>
        <v>1</v>
      </c>
      <c r="P115" s="189">
        <f>COUNTIF(O$2:O115, TRUE)/(COUNTIF(O$2:O115,FALSE) + COUNTIF(O$2:O115, TRUE))</f>
        <v>0.44736842105263158</v>
      </c>
      <c r="Q115" s="344"/>
      <c r="R115" s="344"/>
      <c r="S115" s="344"/>
      <c r="T115" s="344"/>
      <c r="U115" s="189">
        <f>STDEV(D$2:D115)*SQRT(252)</f>
        <v>0.20508094349641362</v>
      </c>
      <c r="V115" s="189">
        <f>STDEV(L$2:L115)*SQRT(252)</f>
        <v>0.36582687593251006</v>
      </c>
      <c r="W115" s="187">
        <f t="shared" si="23"/>
        <v>-0.97937309577576737</v>
      </c>
    </row>
    <row r="116" spans="2:23" ht="20.100000000000001" customHeight="1" x14ac:dyDescent="0.25">
      <c r="B116" s="176">
        <v>42398</v>
      </c>
      <c r="C116" s="213">
        <v>1940.24</v>
      </c>
      <c r="D116" s="175">
        <f t="shared" si="24"/>
        <v>2.4760214644864217E-2</v>
      </c>
      <c r="E116" s="214">
        <f t="shared" si="35"/>
        <v>-7.7148456079602773E-2</v>
      </c>
      <c r="F116" s="224">
        <v>4613.95</v>
      </c>
      <c r="G116" s="175">
        <f t="shared" si="21"/>
        <v>2.3804716120772042E-2</v>
      </c>
      <c r="H116" s="208">
        <f t="shared" si="34"/>
        <v>-9.3829172967771088E-2</v>
      </c>
      <c r="I116" s="425">
        <v>272541.61</v>
      </c>
      <c r="J116" s="177">
        <v>400000</v>
      </c>
      <c r="K116" s="177">
        <f t="shared" si="28"/>
        <v>15854.010000000009</v>
      </c>
      <c r="L116" s="175">
        <f t="shared" si="25"/>
        <v>6.1763832767924937E-2</v>
      </c>
      <c r="M116" s="187">
        <f t="shared" si="30"/>
        <v>-127458.39000000001</v>
      </c>
      <c r="N116" s="189">
        <f t="shared" si="31"/>
        <v>-0.31864597500000003</v>
      </c>
      <c r="O116" s="187" t="b">
        <f t="shared" si="29"/>
        <v>1</v>
      </c>
      <c r="P116" s="189">
        <f>COUNTIF(O$2:O116, TRUE)/(COUNTIF(O$2:O116,FALSE) + COUNTIF(O$2:O116, TRUE))</f>
        <v>0.45217391304347826</v>
      </c>
      <c r="Q116" s="344"/>
      <c r="R116" s="344"/>
      <c r="S116" s="344"/>
      <c r="T116" s="344"/>
      <c r="U116" s="189">
        <f>STDEV(D$2:D116)*SQRT(252)</f>
        <v>0.2076899725605586</v>
      </c>
      <c r="V116" s="189">
        <f>STDEV(L$2:L116)*SQRT(252)</f>
        <v>0.37665623164224904</v>
      </c>
      <c r="W116" s="187">
        <f t="shared" si="23"/>
        <v>-0.84598620235401389</v>
      </c>
    </row>
    <row r="117" spans="2:23" ht="20.100000000000001" customHeight="1" x14ac:dyDescent="0.25">
      <c r="B117" s="249">
        <v>42401</v>
      </c>
      <c r="C117" s="250">
        <v>1939.38</v>
      </c>
      <c r="D117" s="175">
        <f t="shared" si="24"/>
        <v>-4.4324413474616542E-4</v>
      </c>
      <c r="E117" s="251">
        <f t="shared" si="35"/>
        <v>-7.755750461368692E-2</v>
      </c>
      <c r="F117" s="252">
        <v>4620.3599999999997</v>
      </c>
      <c r="G117" s="175">
        <f t="shared" si="21"/>
        <v>1.3892651632548803E-3</v>
      </c>
      <c r="H117" s="253">
        <f t="shared" si="34"/>
        <v>-9.2570261405817339E-2</v>
      </c>
      <c r="I117" s="254">
        <v>271687.27</v>
      </c>
      <c r="J117" s="255">
        <v>400000</v>
      </c>
      <c r="K117" s="255">
        <f t="shared" si="28"/>
        <v>-854.3399999999674</v>
      </c>
      <c r="L117" s="175">
        <f t="shared" si="25"/>
        <v>-3.1347139983504443E-3</v>
      </c>
      <c r="M117" s="256">
        <f t="shared" si="30"/>
        <v>-128312.72999999998</v>
      </c>
      <c r="N117" s="257">
        <f t="shared" si="31"/>
        <v>-0.32078182499999996</v>
      </c>
      <c r="O117" s="256" t="b">
        <f t="shared" si="29"/>
        <v>0</v>
      </c>
      <c r="P117" s="257">
        <f>COUNTIF(O$2:O117, TRUE)/(COUNTIF(O$2:O117,FALSE) + COUNTIF(O$2:O117, TRUE))</f>
        <v>0.44827586206896552</v>
      </c>
      <c r="Q117" s="345"/>
      <c r="R117" s="345"/>
      <c r="S117" s="345"/>
      <c r="T117" s="345"/>
      <c r="U117" s="257">
        <f>STDEV(D$2:D117)*SQRT(252)</f>
        <v>0.20677720896061949</v>
      </c>
      <c r="V117" s="257">
        <f>STDEV(L$2:L117)*SQRT(252)</f>
        <v>0.37500277790793834</v>
      </c>
      <c r="W117" s="256">
        <f t="shared" si="23"/>
        <v>-0.85541186331891816</v>
      </c>
    </row>
    <row r="118" spans="2:23" ht="20.100000000000001" customHeight="1" x14ac:dyDescent="0.25">
      <c r="B118" s="249">
        <v>42402</v>
      </c>
      <c r="C118" s="250">
        <v>1903.03</v>
      </c>
      <c r="D118" s="175">
        <f t="shared" si="24"/>
        <v>-1.8743103466056232E-2</v>
      </c>
      <c r="E118" s="251">
        <f t="shared" si="35"/>
        <v>-9.484693974619969E-2</v>
      </c>
      <c r="F118" s="252">
        <v>4516.9399999999996</v>
      </c>
      <c r="G118" s="175">
        <f t="shared" si="21"/>
        <v>-2.2383537213550478E-2</v>
      </c>
      <c r="H118" s="253">
        <f t="shared" si="34"/>
        <v>-0.11288174872832261</v>
      </c>
      <c r="I118" s="254">
        <v>258167.62</v>
      </c>
      <c r="J118" s="255">
        <v>400000</v>
      </c>
      <c r="K118" s="255">
        <f t="shared" si="28"/>
        <v>-13519.650000000023</v>
      </c>
      <c r="L118" s="175">
        <f t="shared" si="25"/>
        <v>-4.9761808862078899E-2</v>
      </c>
      <c r="M118" s="256">
        <f t="shared" si="30"/>
        <v>-141832.38</v>
      </c>
      <c r="N118" s="257">
        <f t="shared" si="31"/>
        <v>-0.35458095000000001</v>
      </c>
      <c r="O118" s="256" t="b">
        <f t="shared" si="29"/>
        <v>0</v>
      </c>
      <c r="P118" s="257">
        <f>COUNTIF(O$2:O118, TRUE)/(COUNTIF(O$2:O118,FALSE) + COUNTIF(O$2:O118, TRUE))</f>
        <v>0.44444444444444442</v>
      </c>
      <c r="Q118" s="345"/>
      <c r="R118" s="345"/>
      <c r="S118" s="345"/>
      <c r="T118" s="345"/>
      <c r="U118" s="257">
        <f>STDEV(D$2:D118)*SQRT(252)</f>
        <v>0.20760234411553996</v>
      </c>
      <c r="V118" s="257">
        <f>STDEV(L$2:L118)*SQRT(252)</f>
        <v>0.37987177172236325</v>
      </c>
      <c r="W118" s="256">
        <f t="shared" si="23"/>
        <v>-0.93342273997435232</v>
      </c>
    </row>
    <row r="119" spans="2:23" ht="20.100000000000001" customHeight="1" x14ac:dyDescent="0.25">
      <c r="B119" s="249">
        <v>42403</v>
      </c>
      <c r="C119" s="250">
        <v>1912.53</v>
      </c>
      <c r="D119" s="175">
        <f t="shared" si="24"/>
        <v>4.9920390114711801E-3</v>
      </c>
      <c r="E119" s="251">
        <f t="shared" si="35"/>
        <v>-9.0328380358060192E-2</v>
      </c>
      <c r="F119" s="252">
        <v>4504.2299999999996</v>
      </c>
      <c r="G119" s="175">
        <f t="shared" si="21"/>
        <v>-2.8138518554596779E-3</v>
      </c>
      <c r="H119" s="253">
        <f t="shared" si="34"/>
        <v>-0.11537796806567556</v>
      </c>
      <c r="I119" s="254">
        <v>270997.09999999998</v>
      </c>
      <c r="J119" s="255">
        <v>400000</v>
      </c>
      <c r="K119" s="255">
        <f t="shared" si="28"/>
        <v>12829.479999999981</v>
      </c>
      <c r="L119" s="175">
        <f t="shared" si="25"/>
        <v>4.9694380728303504E-2</v>
      </c>
      <c r="M119" s="256">
        <f t="shared" si="30"/>
        <v>-129002.90000000002</v>
      </c>
      <c r="N119" s="257">
        <f t="shared" si="31"/>
        <v>-0.32250725000000008</v>
      </c>
      <c r="O119" s="256" t="b">
        <f t="shared" si="29"/>
        <v>1</v>
      </c>
      <c r="P119" s="257">
        <f>COUNTIF(O$2:O119, TRUE)/(COUNTIF(O$2:O119,FALSE) + COUNTIF(O$2:O119, TRUE))</f>
        <v>0.44915254237288138</v>
      </c>
      <c r="Q119" s="345"/>
      <c r="R119" s="345"/>
      <c r="S119" s="345"/>
      <c r="T119" s="345"/>
      <c r="U119" s="257">
        <f>STDEV(D$2:D119)*SQRT(252)</f>
        <v>0.20687869960829744</v>
      </c>
      <c r="V119" s="257">
        <f>STDEV(L$2:L119)*SQRT(252)</f>
        <v>0.38596402182857842</v>
      </c>
      <c r="W119" s="256">
        <f t="shared" si="23"/>
        <v>-0.83558889367993483</v>
      </c>
    </row>
    <row r="120" spans="2:23" ht="20.100000000000001" customHeight="1" x14ac:dyDescent="0.25">
      <c r="B120" s="249">
        <v>42404</v>
      </c>
      <c r="C120" s="250">
        <v>1915.45</v>
      </c>
      <c r="D120" s="175">
        <f t="shared" si="24"/>
        <v>1.5267734362337181E-3</v>
      </c>
      <c r="E120" s="251">
        <f t="shared" si="35"/>
        <v>-8.8939517893495176E-2</v>
      </c>
      <c r="F120" s="252">
        <v>4509.55</v>
      </c>
      <c r="G120" s="175">
        <f t="shared" si="21"/>
        <v>1.1811119769640137E-3</v>
      </c>
      <c r="H120" s="253">
        <f t="shared" si="34"/>
        <v>-0.1143331303886717</v>
      </c>
      <c r="I120" s="254">
        <v>272162.3</v>
      </c>
      <c r="J120" s="255">
        <v>400000</v>
      </c>
      <c r="K120" s="255">
        <f t="shared" ref="K120:K151" si="36">I120-I119-J120+J119</f>
        <v>1165.2000000000116</v>
      </c>
      <c r="L120" s="175">
        <f t="shared" si="25"/>
        <v>4.2996770076137777E-3</v>
      </c>
      <c r="M120" s="256">
        <f t="shared" si="30"/>
        <v>-127837.70000000001</v>
      </c>
      <c r="N120" s="257">
        <f t="shared" si="31"/>
        <v>-0.31959425000000002</v>
      </c>
      <c r="O120" s="256" t="b">
        <f t="shared" si="29"/>
        <v>1</v>
      </c>
      <c r="P120" s="257">
        <f>COUNTIF(O$2:O120, TRUE)/(COUNTIF(O$2:O120,FALSE) + COUNTIF(O$2:O120, TRUE))</f>
        <v>0.45378151260504201</v>
      </c>
      <c r="Q120" s="345"/>
      <c r="R120" s="345"/>
      <c r="S120" s="345"/>
      <c r="T120" s="345"/>
      <c r="U120" s="257">
        <f>STDEV(D$2:D120)*SQRT(252)</f>
        <v>0.20601897567851155</v>
      </c>
      <c r="V120" s="257">
        <f>STDEV(L$2:L120)*SQRT(252)</f>
        <v>0.38442983265447928</v>
      </c>
      <c r="W120" s="256">
        <f t="shared" si="23"/>
        <v>-0.83134612054743251</v>
      </c>
    </row>
    <row r="121" spans="2:23" ht="20.100000000000001" customHeight="1" x14ac:dyDescent="0.25">
      <c r="B121" s="249">
        <v>42405</v>
      </c>
      <c r="C121" s="250">
        <v>1880.02</v>
      </c>
      <c r="D121" s="175">
        <f t="shared" si="24"/>
        <v>-1.8496958939152711E-2</v>
      </c>
      <c r="E121" s="251">
        <f t="shared" si="35"/>
        <v>-0.10579136622210387</v>
      </c>
      <c r="F121" s="252">
        <v>4363.1400000000003</v>
      </c>
      <c r="G121" s="175">
        <f t="shared" si="21"/>
        <v>-3.2466654100741725E-2</v>
      </c>
      <c r="H121" s="253">
        <f t="shared" si="34"/>
        <v>-0.1430877702928294</v>
      </c>
      <c r="I121" s="254">
        <v>257957.43</v>
      </c>
      <c r="J121" s="255">
        <v>400000</v>
      </c>
      <c r="K121" s="255">
        <f t="shared" si="36"/>
        <v>-14204.869999999995</v>
      </c>
      <c r="L121" s="175">
        <f t="shared" si="25"/>
        <v>-5.2192643874629206E-2</v>
      </c>
      <c r="M121" s="256">
        <f t="shared" si="30"/>
        <v>-142042.57</v>
      </c>
      <c r="N121" s="257">
        <f t="shared" si="31"/>
        <v>-0.355106425</v>
      </c>
      <c r="O121" s="256" t="b">
        <f t="shared" si="29"/>
        <v>0</v>
      </c>
      <c r="P121" s="257">
        <f>COUNTIF(O$2:O121, TRUE)/(COUNTIF(O$2:O121,FALSE) + COUNTIF(O$2:O121, TRUE))</f>
        <v>0.45</v>
      </c>
      <c r="Q121" s="345"/>
      <c r="R121" s="345"/>
      <c r="S121" s="345"/>
      <c r="T121" s="345"/>
      <c r="U121" s="257">
        <f>STDEV(D$2:D121)*SQRT(252)</f>
        <v>0.20677147424628983</v>
      </c>
      <c r="V121" s="257">
        <f>STDEV(L$2:L121)*SQRT(252)</f>
        <v>0.38965360022711565</v>
      </c>
      <c r="W121" s="256">
        <f t="shared" si="23"/>
        <v>-0.91133875009244292</v>
      </c>
    </row>
    <row r="122" spans="2:23" ht="20.100000000000001" customHeight="1" x14ac:dyDescent="0.25">
      <c r="B122" s="176">
        <v>42408</v>
      </c>
      <c r="C122" s="220">
        <v>1853.44</v>
      </c>
      <c r="D122" s="175">
        <f t="shared" si="24"/>
        <v>-1.4138147466516275E-2</v>
      </c>
      <c r="E122" s="214">
        <f t="shared" si="35"/>
        <v>-0.11843381975228781</v>
      </c>
      <c r="F122" s="224">
        <v>4283.75</v>
      </c>
      <c r="G122" s="175">
        <f t="shared" si="21"/>
        <v>-1.8195611417465476E-2</v>
      </c>
      <c r="H122" s="208">
        <f t="shared" ref="H122:H127" si="37">(F122-F$2)/F$2</f>
        <v>-0.15867981224345501</v>
      </c>
      <c r="I122" s="226">
        <v>244544.61</v>
      </c>
      <c r="J122" s="177">
        <v>400000</v>
      </c>
      <c r="K122" s="177">
        <f t="shared" si="36"/>
        <v>-13412.820000000007</v>
      </c>
      <c r="L122" s="175">
        <f t="shared" si="25"/>
        <v>-5.1996253800481756E-2</v>
      </c>
      <c r="M122" s="187">
        <f t="shared" si="30"/>
        <v>-155455.39000000001</v>
      </c>
      <c r="N122" s="189">
        <f t="shared" si="31"/>
        <v>-0.38863847500000004</v>
      </c>
      <c r="O122" s="187" t="b">
        <f t="shared" si="29"/>
        <v>0</v>
      </c>
      <c r="P122" s="189">
        <f>COUNTIF(O$2:O122, TRUE)/(COUNTIF(O$2:O122,FALSE) + COUNTIF(O$2:O122, TRUE))</f>
        <v>0.4462809917355372</v>
      </c>
      <c r="Q122" s="344"/>
      <c r="R122" s="344"/>
      <c r="S122" s="344"/>
      <c r="T122" s="344"/>
      <c r="U122" s="189">
        <f>STDEV(D$2:D122)*SQRT(252)</f>
        <v>0.20679867923754305</v>
      </c>
      <c r="V122" s="189">
        <f>STDEV(L$2:L122)*SQRT(252)</f>
        <v>0.39455956732672759</v>
      </c>
      <c r="W122" s="187">
        <f t="shared" si="23"/>
        <v>-0.98499315992552172</v>
      </c>
    </row>
    <row r="123" spans="2:23" ht="20.100000000000001" customHeight="1" x14ac:dyDescent="0.25">
      <c r="B123" s="176">
        <v>42409</v>
      </c>
      <c r="C123" s="213">
        <v>1852.21</v>
      </c>
      <c r="D123" s="175">
        <f t="shared" si="24"/>
        <v>-6.6363087016575565E-4</v>
      </c>
      <c r="E123" s="214">
        <f t="shared" si="35"/>
        <v>-0.11901885428359431</v>
      </c>
      <c r="F123" s="224">
        <v>4268.76</v>
      </c>
      <c r="G123" s="175">
        <f t="shared" si="21"/>
        <v>-3.4992704989786475E-3</v>
      </c>
      <c r="H123" s="208">
        <f t="shared" si="37"/>
        <v>-0.16162381915666665</v>
      </c>
      <c r="I123" s="226">
        <v>239055.86</v>
      </c>
      <c r="J123" s="177">
        <v>400000</v>
      </c>
      <c r="K123" s="177">
        <f t="shared" si="36"/>
        <v>-5488.75</v>
      </c>
      <c r="L123" s="175">
        <f t="shared" si="25"/>
        <v>-2.2444780115987838E-2</v>
      </c>
      <c r="M123" s="187">
        <f t="shared" si="30"/>
        <v>-160944.14000000001</v>
      </c>
      <c r="N123" s="189">
        <f t="shared" si="31"/>
        <v>-0.40236035000000003</v>
      </c>
      <c r="O123" s="187" t="b">
        <f t="shared" ref="O123:O154" si="38">L123&gt;D123</f>
        <v>0</v>
      </c>
      <c r="P123" s="189">
        <f>COUNTIF(O$2:O123, TRUE)/(COUNTIF(O$2:O123,FALSE) + COUNTIF(O$2:O123, TRUE))</f>
        <v>0.44262295081967212</v>
      </c>
      <c r="Q123" s="344"/>
      <c r="R123" s="344"/>
      <c r="S123" s="344"/>
      <c r="T123" s="344"/>
      <c r="U123" s="189">
        <f>STDEV(D$2:D123)*SQRT(252)</f>
        <v>0.20593567657799225</v>
      </c>
      <c r="V123" s="189">
        <f>STDEV(L$2:L123)*SQRT(252)</f>
        <v>0.39391134458203264</v>
      </c>
      <c r="W123" s="187">
        <f t="shared" si="23"/>
        <v>-1.0214490025082481</v>
      </c>
    </row>
    <row r="124" spans="2:23" ht="20.100000000000001" customHeight="1" x14ac:dyDescent="0.25">
      <c r="B124" s="176">
        <v>42410</v>
      </c>
      <c r="C124" s="213">
        <v>1851.86</v>
      </c>
      <c r="D124" s="175">
        <f t="shared" si="24"/>
        <v>-1.8896345446797955E-4</v>
      </c>
      <c r="E124" s="214">
        <f t="shared" si="35"/>
        <v>-0.11918532752421003</v>
      </c>
      <c r="F124" s="224">
        <v>4283.59</v>
      </c>
      <c r="G124" s="175">
        <f t="shared" si="21"/>
        <v>3.4740767810792659E-3</v>
      </c>
      <c r="H124" s="208">
        <f t="shared" si="37"/>
        <v>-0.15871123593298891</v>
      </c>
      <c r="I124" s="226">
        <v>235873.97</v>
      </c>
      <c r="J124" s="177">
        <v>400000</v>
      </c>
      <c r="K124" s="177">
        <f t="shared" si="36"/>
        <v>-3181.890000000014</v>
      </c>
      <c r="L124" s="175">
        <f t="shared" si="25"/>
        <v>-1.3310236360656518E-2</v>
      </c>
      <c r="M124" s="187">
        <f t="shared" si="30"/>
        <v>-164126.03</v>
      </c>
      <c r="N124" s="189">
        <f t="shared" si="31"/>
        <v>-0.41031507499999997</v>
      </c>
      <c r="O124" s="187" t="b">
        <f t="shared" si="38"/>
        <v>0</v>
      </c>
      <c r="P124" s="189">
        <f>COUNTIF(O$2:O124, TRUE)/(COUNTIF(O$2:O124,FALSE) + COUNTIF(O$2:O124, TRUE))</f>
        <v>0.43902439024390244</v>
      </c>
      <c r="Q124" s="344"/>
      <c r="R124" s="344"/>
      <c r="S124" s="344"/>
      <c r="T124" s="344"/>
      <c r="U124" s="189">
        <f>STDEV(D$2:D124)*SQRT(252)</f>
        <v>0.20508595535618429</v>
      </c>
      <c r="V124" s="189">
        <f>STDEV(L$2:L124)*SQRT(252)</f>
        <v>0.39255054022656277</v>
      </c>
      <c r="W124" s="187">
        <f t="shared" si="23"/>
        <v>-1.0452541340617805</v>
      </c>
    </row>
    <row r="125" spans="2:23" ht="20.100000000000001" customHeight="1" x14ac:dyDescent="0.25">
      <c r="B125" s="176">
        <v>42411</v>
      </c>
      <c r="C125" s="213">
        <v>1829.08</v>
      </c>
      <c r="D125" s="175">
        <f t="shared" si="24"/>
        <v>-1.2301145874958137E-2</v>
      </c>
      <c r="E125" s="214">
        <f>(C125-$C$2)/$C$2</f>
        <v>-0.13002035729913819</v>
      </c>
      <c r="F125" s="224">
        <v>4266.83</v>
      </c>
      <c r="G125" s="175">
        <f t="shared" si="21"/>
        <v>-3.9126060150481761E-3</v>
      </c>
      <c r="H125" s="208">
        <f t="shared" si="37"/>
        <v>-0.16200286741166997</v>
      </c>
      <c r="I125" s="226">
        <v>230609.13</v>
      </c>
      <c r="J125" s="177">
        <v>400000</v>
      </c>
      <c r="K125" s="177">
        <f t="shared" si="36"/>
        <v>-5264.8399999999674</v>
      </c>
      <c r="L125" s="175">
        <f t="shared" si="25"/>
        <v>-2.2320563816346364E-2</v>
      </c>
      <c r="M125" s="187">
        <f t="shared" si="30"/>
        <v>-169390.87</v>
      </c>
      <c r="N125" s="189">
        <f t="shared" si="31"/>
        <v>-0.42347717499999998</v>
      </c>
      <c r="O125" s="187" t="b">
        <f t="shared" si="38"/>
        <v>0</v>
      </c>
      <c r="P125" s="189">
        <f>COUNTIF(O$2:O125, TRUE)/(COUNTIF(O$2:O125,FALSE) + COUNTIF(O$2:O125, TRUE))</f>
        <v>0.43548387096774194</v>
      </c>
      <c r="Q125" s="344"/>
      <c r="R125" s="344"/>
      <c r="S125" s="344"/>
      <c r="T125" s="344"/>
      <c r="U125" s="189">
        <f>STDEV(D$2:D125)*SQRT(252)</f>
        <v>0.20488816456150158</v>
      </c>
      <c r="V125" s="189">
        <f>STDEV(L$2:L125)*SQRT(252)</f>
        <v>0.39188934391979374</v>
      </c>
      <c r="W125" s="187">
        <f t="shared" si="23"/>
        <v>-1.080603955096751</v>
      </c>
    </row>
    <row r="126" spans="2:23" ht="20.100000000000001" customHeight="1" x14ac:dyDescent="0.25">
      <c r="B126" s="176">
        <v>42412</v>
      </c>
      <c r="C126" s="213">
        <v>1864.78</v>
      </c>
      <c r="D126" s="175">
        <f t="shared" si="24"/>
        <v>1.9518009053731956E-2</v>
      </c>
      <c r="E126" s="214">
        <f>(C126-$C$2)/$C$2</f>
        <v>-0.11304008675634029</v>
      </c>
      <c r="F126" s="224">
        <v>4337.51</v>
      </c>
      <c r="G126" s="175">
        <f t="shared" si="21"/>
        <v>1.656499087144327E-2</v>
      </c>
      <c r="H126" s="208">
        <f t="shared" si="37"/>
        <v>-0.14812145256004863</v>
      </c>
      <c r="I126" s="226">
        <v>236989.83</v>
      </c>
      <c r="J126" s="177">
        <v>400000</v>
      </c>
      <c r="K126" s="177">
        <f t="shared" si="36"/>
        <v>6380.6999999999534</v>
      </c>
      <c r="L126" s="175">
        <f t="shared" si="25"/>
        <v>2.7668895849873563E-2</v>
      </c>
      <c r="M126" s="187">
        <f t="shared" ref="M126:M157" si="39">I126-J126</f>
        <v>-163010.17000000001</v>
      </c>
      <c r="N126" s="189">
        <f t="shared" ref="N126:N157" si="40">M126/J126</f>
        <v>-0.40752542500000005</v>
      </c>
      <c r="O126" s="187" t="b">
        <f t="shared" si="38"/>
        <v>1</v>
      </c>
      <c r="P126" s="189">
        <f>COUNTIF(O$2:O126, TRUE)/(COUNTIF(O$2:O126,FALSE) + COUNTIF(O$2:O126, TRUE))</f>
        <v>0.44</v>
      </c>
      <c r="Q126" s="344"/>
      <c r="R126" s="344"/>
      <c r="S126" s="344"/>
      <c r="T126" s="344"/>
      <c r="U126" s="189">
        <f>STDEV(D$2:D126)*SQRT(252)</f>
        <v>0.20614925630726783</v>
      </c>
      <c r="V126" s="189">
        <f>STDEV(L$2:L126)*SQRT(252)</f>
        <v>0.39280034902438915</v>
      </c>
      <c r="W126" s="187">
        <f t="shared" si="23"/>
        <v>-1.037487430986719</v>
      </c>
    </row>
    <row r="127" spans="2:23" ht="20.100000000000001" customHeight="1" x14ac:dyDescent="0.25">
      <c r="B127" s="249">
        <v>42416</v>
      </c>
      <c r="C127" s="250">
        <v>1895.58</v>
      </c>
      <c r="D127" s="175">
        <f t="shared" si="24"/>
        <v>1.651669365823312E-2</v>
      </c>
      <c r="E127" s="251">
        <f>(C127-$C$2)/$C$2</f>
        <v>-9.8390441582161731E-2</v>
      </c>
      <c r="F127" s="252">
        <v>4435.96</v>
      </c>
      <c r="G127" s="175">
        <f t="shared" si="21"/>
        <v>2.2697354011863905E-2</v>
      </c>
      <c r="H127" s="253">
        <f t="shared" si="37"/>
        <v>-0.12878606359369166</v>
      </c>
      <c r="I127" s="254">
        <v>243663.46</v>
      </c>
      <c r="J127" s="255">
        <v>400000</v>
      </c>
      <c r="K127" s="255">
        <f t="shared" si="36"/>
        <v>6673.6300000000047</v>
      </c>
      <c r="L127" s="175">
        <f t="shared" si="25"/>
        <v>2.8159984755463999E-2</v>
      </c>
      <c r="M127" s="256">
        <f t="shared" si="39"/>
        <v>-156336.54</v>
      </c>
      <c r="N127" s="257">
        <f t="shared" si="40"/>
        <v>-0.39084135000000003</v>
      </c>
      <c r="O127" s="256" t="b">
        <f t="shared" si="38"/>
        <v>1</v>
      </c>
      <c r="P127" s="257">
        <f>COUNTIF(O$2:O127, TRUE)/(COUNTIF(O$2:O127,FALSE) + COUNTIF(O$2:O127, TRUE))</f>
        <v>0.44444444444444442</v>
      </c>
      <c r="Q127" s="345"/>
      <c r="R127" s="345"/>
      <c r="S127" s="345"/>
      <c r="T127" s="345"/>
      <c r="U127" s="257">
        <f>STDEV(D$2:D127)*SQRT(252)</f>
        <v>0.2067973574201509</v>
      </c>
      <c r="V127" s="257">
        <f>STDEV(L$2:L127)*SQRT(252)</f>
        <v>0.39373317711022293</v>
      </c>
      <c r="W127" s="256">
        <f t="shared" si="23"/>
        <v>-0.9926553633822599</v>
      </c>
    </row>
    <row r="128" spans="2:23" ht="20.100000000000001" customHeight="1" x14ac:dyDescent="0.25">
      <c r="B128" s="249">
        <v>42417</v>
      </c>
      <c r="C128" s="250">
        <v>1926.82</v>
      </c>
      <c r="D128" s="175">
        <f t="shared" si="24"/>
        <v>1.648044398020659E-2</v>
      </c>
      <c r="E128" s="251">
        <f t="shared" ref="E128:E133" si="41">(C128-$C$2)/$C$2</f>
        <v>-8.3531515762637745E-2</v>
      </c>
      <c r="F128" s="252">
        <v>4534.0600000000004</v>
      </c>
      <c r="G128" s="175">
        <f t="shared" si="21"/>
        <v>2.2114716994743044E-2</v>
      </c>
      <c r="H128" s="253">
        <f t="shared" ref="H128:H141" si="42">(F128-F$2)/F$2</f>
        <v>-0.10951941394819008</v>
      </c>
      <c r="I128" s="254">
        <v>249365.31</v>
      </c>
      <c r="J128" s="255">
        <v>400000</v>
      </c>
      <c r="K128" s="255">
        <f t="shared" si="36"/>
        <v>5701.8499999999767</v>
      </c>
      <c r="L128" s="175">
        <f t="shared" si="25"/>
        <v>2.3400513150391843E-2</v>
      </c>
      <c r="M128" s="256">
        <f t="shared" si="39"/>
        <v>-150634.69</v>
      </c>
      <c r="N128" s="257">
        <f t="shared" si="40"/>
        <v>-0.37658672500000001</v>
      </c>
      <c r="O128" s="256" t="b">
        <f t="shared" si="38"/>
        <v>1</v>
      </c>
      <c r="P128" s="257">
        <f>COUNTIF(O$2:O128, TRUE)/(COUNTIF(O$2:O128,FALSE) + COUNTIF(O$2:O128, TRUE))</f>
        <v>0.44881889763779526</v>
      </c>
      <c r="Q128" s="345"/>
      <c r="R128" s="345"/>
      <c r="S128" s="345"/>
      <c r="T128" s="345"/>
      <c r="U128" s="257">
        <f>STDEV(D$2:D128)*SQRT(252)</f>
        <v>0.20740391827467</v>
      </c>
      <c r="V128" s="257">
        <f>STDEV(L$2:L128)*SQRT(252)</f>
        <v>0.39391671411506929</v>
      </c>
      <c r="W128" s="256">
        <f t="shared" si="23"/>
        <v>-0.95600595635044083</v>
      </c>
    </row>
    <row r="129" spans="1:23" ht="20.100000000000001" customHeight="1" x14ac:dyDescent="0.25">
      <c r="B129" s="249">
        <v>42418</v>
      </c>
      <c r="C129" s="250">
        <v>1917.83</v>
      </c>
      <c r="D129" s="175">
        <f t="shared" si="24"/>
        <v>-4.6657186452289312E-3</v>
      </c>
      <c r="E129" s="251">
        <f t="shared" si="41"/>
        <v>-8.7807499857308707E-2</v>
      </c>
      <c r="F129" s="252">
        <v>4487.53</v>
      </c>
      <c r="G129" s="175">
        <f t="shared" si="21"/>
        <v>-1.0262325597808731E-2</v>
      </c>
      <c r="H129" s="253">
        <f t="shared" si="42"/>
        <v>-0.11865781566078129</v>
      </c>
      <c r="I129" s="254">
        <v>241680.12</v>
      </c>
      <c r="J129" s="255">
        <v>400000</v>
      </c>
      <c r="K129" s="255">
        <f t="shared" si="36"/>
        <v>-7685.1900000000023</v>
      </c>
      <c r="L129" s="175">
        <f t="shared" si="25"/>
        <v>-3.0819002049643562E-2</v>
      </c>
      <c r="M129" s="256">
        <f t="shared" si="39"/>
        <v>-158319.88</v>
      </c>
      <c r="N129" s="257">
        <f t="shared" si="40"/>
        <v>-0.39579970000000003</v>
      </c>
      <c r="O129" s="256" t="b">
        <f t="shared" si="38"/>
        <v>0</v>
      </c>
      <c r="P129" s="257">
        <f>COUNTIF(O$2:O129, TRUE)/(COUNTIF(O$2:O129,FALSE) + COUNTIF(O$2:O129, TRUE))</f>
        <v>0.4453125</v>
      </c>
      <c r="Q129" s="345"/>
      <c r="R129" s="345"/>
      <c r="S129" s="345"/>
      <c r="T129" s="345"/>
      <c r="U129" s="257">
        <f>STDEV(D$2:D129)*SQRT(252)</f>
        <v>0.20665833739123632</v>
      </c>
      <c r="V129" s="257">
        <f>STDEV(L$2:L129)*SQRT(252)</f>
        <v>0.39434419152440775</v>
      </c>
      <c r="W129" s="256">
        <f t="shared" si="23"/>
        <v>-1.0036909595903156</v>
      </c>
    </row>
    <row r="130" spans="1:23" ht="20.100000000000001" customHeight="1" x14ac:dyDescent="0.25">
      <c r="B130" s="249">
        <v>42419</v>
      </c>
      <c r="C130" s="250">
        <v>1917.78</v>
      </c>
      <c r="D130" s="175">
        <f t="shared" si="24"/>
        <v>-2.6071132477828863E-5</v>
      </c>
      <c r="E130" s="251">
        <f t="shared" si="41"/>
        <v>-8.7831281748825207E-2</v>
      </c>
      <c r="F130" s="252">
        <v>4504.43</v>
      </c>
      <c r="G130" s="175">
        <f t="shared" si="21"/>
        <v>3.7659915365469529E-3</v>
      </c>
      <c r="H130" s="253">
        <f t="shared" si="42"/>
        <v>-0.11533868845375798</v>
      </c>
      <c r="I130" s="254">
        <v>236145.17</v>
      </c>
      <c r="J130" s="255">
        <v>400000</v>
      </c>
      <c r="K130" s="255">
        <f t="shared" si="36"/>
        <v>-5534.9499999999534</v>
      </c>
      <c r="L130" s="175">
        <f t="shared" si="25"/>
        <v>-2.290196645052954E-2</v>
      </c>
      <c r="M130" s="256">
        <f t="shared" si="39"/>
        <v>-163854.82999999999</v>
      </c>
      <c r="N130" s="257">
        <f t="shared" si="40"/>
        <v>-0.40963707499999996</v>
      </c>
      <c r="O130" s="256" t="b">
        <f t="shared" si="38"/>
        <v>0</v>
      </c>
      <c r="P130" s="257">
        <f>COUNTIF(O$2:O130, TRUE)/(COUNTIF(O$2:O130,FALSE) + COUNTIF(O$2:O130, TRUE))</f>
        <v>0.44186046511627908</v>
      </c>
      <c r="Q130" s="345"/>
      <c r="R130" s="345"/>
      <c r="S130" s="345"/>
      <c r="T130" s="345"/>
      <c r="U130" s="257">
        <f>STDEV(D$2:D130)*SQRT(252)</f>
        <v>0.20584491170892685</v>
      </c>
      <c r="V130" s="257">
        <f>STDEV(L$2:L130)*SQRT(252)</f>
        <v>0.39378743351445816</v>
      </c>
      <c r="W130" s="256">
        <f t="shared" si="23"/>
        <v>-1.040249231277107</v>
      </c>
    </row>
    <row r="131" spans="1:23" ht="20.100000000000001" customHeight="1" x14ac:dyDescent="0.25">
      <c r="B131" s="176">
        <v>42422</v>
      </c>
      <c r="C131" s="220">
        <v>1945.5</v>
      </c>
      <c r="D131" s="175">
        <f t="shared" si="24"/>
        <v>1.4454212683415213E-2</v>
      </c>
      <c r="E131" s="214">
        <f t="shared" si="41"/>
        <v>-7.4646601092064488E-2</v>
      </c>
      <c r="F131" s="224">
        <v>4570.6000000000004</v>
      </c>
      <c r="G131" s="175">
        <f t="shared" si="21"/>
        <v>1.4689982972318378E-2</v>
      </c>
      <c r="H131" s="208">
        <f t="shared" si="42"/>
        <v>-0.10234302885087485</v>
      </c>
      <c r="I131" s="226">
        <v>248415.23</v>
      </c>
      <c r="J131" s="177">
        <v>400000</v>
      </c>
      <c r="K131" s="177">
        <f t="shared" si="36"/>
        <v>12270.059999999998</v>
      </c>
      <c r="L131" s="175">
        <f t="shared" si="25"/>
        <v>5.1959817768028022E-2</v>
      </c>
      <c r="M131" s="187">
        <f t="shared" si="39"/>
        <v>-151584.76999999999</v>
      </c>
      <c r="N131" s="189">
        <f t="shared" si="40"/>
        <v>-0.37896192499999998</v>
      </c>
      <c r="O131" s="187" t="b">
        <f t="shared" si="38"/>
        <v>1</v>
      </c>
      <c r="P131" s="189">
        <f>COUNTIF(O$2:O131, TRUE)/(COUNTIF(O$2:O131,FALSE) + COUNTIF(O$2:O131, TRUE))</f>
        <v>0.44615384615384618</v>
      </c>
      <c r="Q131" s="344"/>
      <c r="R131" s="344"/>
      <c r="S131" s="344"/>
      <c r="T131" s="344"/>
      <c r="U131" s="189">
        <f>STDEV(D$2:D131)*SQRT(252)</f>
        <v>0.20612093442208271</v>
      </c>
      <c r="V131" s="189">
        <f>STDEV(L$2:L131)*SQRT(252)</f>
        <v>0.39971891584326358</v>
      </c>
      <c r="W131" s="187">
        <f t="shared" ref="W131:W194" si="43">N131/V131</f>
        <v>-0.94807103186629582</v>
      </c>
    </row>
    <row r="132" spans="1:23" ht="20.100000000000001" customHeight="1" x14ac:dyDescent="0.25">
      <c r="B132" s="176">
        <v>42423</v>
      </c>
      <c r="C132" s="213">
        <v>1921.27</v>
      </c>
      <c r="D132" s="175">
        <f t="shared" si="24"/>
        <v>-1.2454381906964801E-2</v>
      </c>
      <c r="E132" s="214">
        <f t="shared" si="41"/>
        <v>-8.6171305720971855E-2</v>
      </c>
      <c r="F132" s="224">
        <v>4503.58</v>
      </c>
      <c r="G132" s="175">
        <f t="shared" ref="G132:G165" si="44">(F132-F131)/F131</f>
        <v>-1.4663282719993093E-2</v>
      </c>
      <c r="H132" s="208">
        <f t="shared" si="42"/>
        <v>-0.11550562680440715</v>
      </c>
      <c r="I132" s="226">
        <v>238794.23</v>
      </c>
      <c r="J132" s="177">
        <v>400000</v>
      </c>
      <c r="K132" s="177">
        <f t="shared" si="36"/>
        <v>-9621</v>
      </c>
      <c r="L132" s="175">
        <f t="shared" ref="L132:L195" si="45">K132/I131</f>
        <v>-3.8729509458820213E-2</v>
      </c>
      <c r="M132" s="187">
        <f t="shared" si="39"/>
        <v>-161205.76999999999</v>
      </c>
      <c r="N132" s="189">
        <f t="shared" si="40"/>
        <v>-0.40301442499999995</v>
      </c>
      <c r="O132" s="187" t="b">
        <f t="shared" si="38"/>
        <v>0</v>
      </c>
      <c r="P132" s="189">
        <f>COUNTIF(O$2:O132, TRUE)/(COUNTIF(O$2:O132,FALSE) + COUNTIF(O$2:O132, TRUE))</f>
        <v>0.44274809160305345</v>
      </c>
      <c r="Q132" s="344"/>
      <c r="R132" s="344"/>
      <c r="S132" s="344"/>
      <c r="T132" s="344"/>
      <c r="U132" s="189">
        <f>STDEV(D$2:D132)*SQRT(252)</f>
        <v>0.20599200020691141</v>
      </c>
      <c r="V132" s="189">
        <f>STDEV(L$2:L132)*SQRT(252)</f>
        <v>0.40132200578539856</v>
      </c>
      <c r="W132" s="187">
        <f t="shared" si="43"/>
        <v>-1.0042171104255528</v>
      </c>
    </row>
    <row r="133" spans="1:23" ht="20.100000000000001" customHeight="1" x14ac:dyDescent="0.25">
      <c r="B133" s="176">
        <v>42424</v>
      </c>
      <c r="C133" s="220">
        <v>1929.8</v>
      </c>
      <c r="D133" s="175">
        <f t="shared" ref="D133:D165" si="46">(C133-C132)/C132</f>
        <v>4.439771609404182E-3</v>
      </c>
      <c r="E133" s="214">
        <f t="shared" si="41"/>
        <v>-8.2114115028252929E-2</v>
      </c>
      <c r="F133" s="224">
        <v>4542.6000000000004</v>
      </c>
      <c r="G133" s="175">
        <f t="shared" si="44"/>
        <v>8.6642182441525276E-3</v>
      </c>
      <c r="H133" s="208">
        <f t="shared" si="42"/>
        <v>-0.10784217451931565</v>
      </c>
      <c r="I133" s="226">
        <v>242422.46</v>
      </c>
      <c r="J133" s="177">
        <v>400000</v>
      </c>
      <c r="K133" s="177">
        <f t="shared" si="36"/>
        <v>3628.2299999999814</v>
      </c>
      <c r="L133" s="175">
        <f t="shared" si="45"/>
        <v>1.5193960088566551E-2</v>
      </c>
      <c r="M133" s="187">
        <f t="shared" si="39"/>
        <v>-157577.54</v>
      </c>
      <c r="N133" s="189">
        <f t="shared" si="40"/>
        <v>-0.39394385000000004</v>
      </c>
      <c r="O133" s="187" t="b">
        <f t="shared" si="38"/>
        <v>1</v>
      </c>
      <c r="P133" s="189">
        <f>COUNTIF(O$2:O133, TRUE)/(COUNTIF(O$2:O133,FALSE) + COUNTIF(O$2:O133, TRUE))</f>
        <v>0.44696969696969696</v>
      </c>
      <c r="Q133" s="344"/>
      <c r="R133" s="344"/>
      <c r="S133" s="344"/>
      <c r="T133" s="344"/>
      <c r="U133" s="189">
        <f>STDEV(D$2:D133)*SQRT(252)</f>
        <v>0.2053176523633603</v>
      </c>
      <c r="V133" s="189">
        <f>STDEV(L$2:L133)*SQRT(252)</f>
        <v>0.40056518042041067</v>
      </c>
      <c r="W133" s="187">
        <f t="shared" si="43"/>
        <v>-0.98347002998747601</v>
      </c>
    </row>
    <row r="134" spans="1:23" ht="20.100000000000001" customHeight="1" x14ac:dyDescent="0.25">
      <c r="B134" s="176">
        <v>42425</v>
      </c>
      <c r="C134" s="220">
        <v>1951.7</v>
      </c>
      <c r="D134" s="175">
        <f t="shared" si="46"/>
        <v>1.1348326251425065E-2</v>
      </c>
      <c r="E134" s="214">
        <f t="shared" ref="E134:E139" si="47">(C134-$C$2)/$C$2</f>
        <v>-7.1697646544015531E-2</v>
      </c>
      <c r="F134" s="224">
        <v>4582.2</v>
      </c>
      <c r="G134" s="175">
        <f t="shared" si="44"/>
        <v>8.7174745740323713E-3</v>
      </c>
      <c r="H134" s="208">
        <f t="shared" si="42"/>
        <v>-0.10006481135966377</v>
      </c>
      <c r="I134" s="226">
        <v>244524.77</v>
      </c>
      <c r="J134" s="177">
        <v>400000</v>
      </c>
      <c r="K134" s="177">
        <f t="shared" si="36"/>
        <v>2102.3099999999977</v>
      </c>
      <c r="L134" s="175">
        <f t="shared" si="45"/>
        <v>8.6720925115601824E-3</v>
      </c>
      <c r="M134" s="187">
        <f t="shared" si="39"/>
        <v>-155475.23000000001</v>
      </c>
      <c r="N134" s="189">
        <f t="shared" si="40"/>
        <v>-0.38868807500000002</v>
      </c>
      <c r="O134" s="187" t="b">
        <f t="shared" si="38"/>
        <v>0</v>
      </c>
      <c r="P134" s="189">
        <f>COUNTIF(O$2:O134, TRUE)/(COUNTIF(O$2:O134,FALSE) + COUNTIF(O$2:O134, TRUE))</f>
        <v>0.44360902255639095</v>
      </c>
      <c r="Q134" s="344"/>
      <c r="R134" s="344"/>
      <c r="S134" s="344"/>
      <c r="T134" s="344"/>
      <c r="U134" s="189">
        <f>STDEV(D$2:D134)*SQRT(252)</f>
        <v>0.2051944315202551</v>
      </c>
      <c r="V134" s="189">
        <f>STDEV(L$2:L134)*SQRT(252)</f>
        <v>0.399347738080158</v>
      </c>
      <c r="W134" s="187">
        <f t="shared" si="43"/>
        <v>-0.97330731574591178</v>
      </c>
    </row>
    <row r="135" spans="1:23" ht="20.100000000000001" customHeight="1" x14ac:dyDescent="0.25">
      <c r="B135" s="176">
        <v>42426</v>
      </c>
      <c r="C135" s="220">
        <v>1948.05</v>
      </c>
      <c r="D135" s="175">
        <f t="shared" si="46"/>
        <v>-1.8701644719988169E-3</v>
      </c>
      <c r="E135" s="214">
        <f t="shared" si="47"/>
        <v>-7.3433724624721794E-2</v>
      </c>
      <c r="F135" s="224">
        <v>4590.47</v>
      </c>
      <c r="G135" s="175">
        <f t="shared" si="44"/>
        <v>1.8048099166340266E-3</v>
      </c>
      <c r="H135" s="208">
        <f t="shared" si="42"/>
        <v>-9.8440599406877771E-2</v>
      </c>
      <c r="I135" s="226">
        <v>251916.67</v>
      </c>
      <c r="J135" s="177">
        <v>400000</v>
      </c>
      <c r="K135" s="177">
        <f t="shared" si="36"/>
        <v>7391.9000000000233</v>
      </c>
      <c r="L135" s="175">
        <f t="shared" si="45"/>
        <v>3.0229657306292623E-2</v>
      </c>
      <c r="M135" s="187">
        <f t="shared" si="39"/>
        <v>-148083.32999999999</v>
      </c>
      <c r="N135" s="189">
        <f t="shared" si="40"/>
        <v>-0.37020832499999995</v>
      </c>
      <c r="O135" s="187" t="b">
        <f t="shared" si="38"/>
        <v>1</v>
      </c>
      <c r="P135" s="189">
        <f>COUNTIF(O$2:O135, TRUE)/(COUNTIF(O$2:O135,FALSE) + COUNTIF(O$2:O135, TRUE))</f>
        <v>0.44776119402985076</v>
      </c>
      <c r="Q135" s="344"/>
      <c r="R135" s="344"/>
      <c r="S135" s="344"/>
      <c r="T135" s="344"/>
      <c r="U135" s="189">
        <f>STDEV(D$2:D135)*SQRT(252)</f>
        <v>0.20442465292014791</v>
      </c>
      <c r="V135" s="189">
        <f>STDEV(L$2:L135)*SQRT(252)</f>
        <v>0.40040715107254371</v>
      </c>
      <c r="W135" s="187">
        <f t="shared" si="43"/>
        <v>-0.92457970345521501</v>
      </c>
    </row>
    <row r="136" spans="1:23" ht="20.100000000000001" customHeight="1" x14ac:dyDescent="0.25">
      <c r="B136" s="249">
        <v>42429</v>
      </c>
      <c r="C136" s="250">
        <v>1932.23</v>
      </c>
      <c r="D136" s="175">
        <f t="shared" si="46"/>
        <v>-8.1209414542747545E-3</v>
      </c>
      <c r="E136" s="251">
        <f t="shared" si="47"/>
        <v>-8.0958315100549849E-2</v>
      </c>
      <c r="F136" s="252">
        <v>4557.95</v>
      </c>
      <c r="G136" s="175">
        <f t="shared" si="44"/>
        <v>-7.0842419185835953E-3</v>
      </c>
      <c r="H136" s="253">
        <f t="shared" si="42"/>
        <v>-0.10482746430465267</v>
      </c>
      <c r="I136" s="424">
        <v>254134.09</v>
      </c>
      <c r="J136" s="255">
        <v>400000</v>
      </c>
      <c r="K136" s="255">
        <f t="shared" si="36"/>
        <v>2217.4199999999837</v>
      </c>
      <c r="L136" s="175">
        <f t="shared" si="45"/>
        <v>8.8021963770797042E-3</v>
      </c>
      <c r="M136" s="256">
        <f t="shared" si="39"/>
        <v>-145865.91</v>
      </c>
      <c r="N136" s="257">
        <f t="shared" si="40"/>
        <v>-0.364664775</v>
      </c>
      <c r="O136" s="256" t="b">
        <f t="shared" si="38"/>
        <v>1</v>
      </c>
      <c r="P136" s="257">
        <f>COUNTIF(O$2:O136, TRUE)/(COUNTIF(O$2:O136,FALSE) + COUNTIF(O$2:O136, TRUE))</f>
        <v>0.45185185185185184</v>
      </c>
      <c r="Q136" s="345"/>
      <c r="R136" s="345"/>
      <c r="S136" s="345"/>
      <c r="T136" s="345"/>
      <c r="U136" s="257">
        <f>STDEV(D$2:D136)*SQRT(252)</f>
        <v>0.20392331073233147</v>
      </c>
      <c r="V136" s="257">
        <f>STDEV(L$2:L136)*SQRT(252)</f>
        <v>0.39919785402030938</v>
      </c>
      <c r="W136" s="256">
        <f t="shared" si="43"/>
        <v>-0.91349382599999518</v>
      </c>
    </row>
    <row r="137" spans="1:23" ht="20.100000000000001" customHeight="1" x14ac:dyDescent="0.25">
      <c r="B137" s="249">
        <v>42430</v>
      </c>
      <c r="C137" s="250">
        <v>1978.35</v>
      </c>
      <c r="D137" s="175">
        <f t="shared" si="46"/>
        <v>2.3868794087660315E-2</v>
      </c>
      <c r="E137" s="251">
        <f t="shared" si="47"/>
        <v>-5.9021898365708481E-2</v>
      </c>
      <c r="F137" s="252">
        <v>4689.59</v>
      </c>
      <c r="G137" s="175">
        <f t="shared" si="44"/>
        <v>2.8881405017606672E-2</v>
      </c>
      <c r="H137" s="253">
        <f t="shared" si="42"/>
        <v>-7.8973623740597382E-2</v>
      </c>
      <c r="I137" s="254">
        <v>256289.63</v>
      </c>
      <c r="J137" s="255">
        <v>400000</v>
      </c>
      <c r="K137" s="255">
        <f t="shared" si="36"/>
        <v>2155.5400000000373</v>
      </c>
      <c r="L137" s="175">
        <f t="shared" si="45"/>
        <v>8.4819002440799547E-3</v>
      </c>
      <c r="M137" s="256">
        <f t="shared" si="39"/>
        <v>-143710.37</v>
      </c>
      <c r="N137" s="257">
        <f t="shared" si="40"/>
        <v>-0.359275925</v>
      </c>
      <c r="O137" s="256" t="b">
        <f t="shared" si="38"/>
        <v>0</v>
      </c>
      <c r="P137" s="257">
        <f>COUNTIF(O$2:O137, TRUE)/(COUNTIF(O$2:O137,FALSE) + COUNTIF(O$2:O137, TRUE))</f>
        <v>0.4485294117647059</v>
      </c>
      <c r="Q137" s="345"/>
      <c r="R137" s="345"/>
      <c r="S137" s="345"/>
      <c r="T137" s="345"/>
      <c r="U137" s="257">
        <f>STDEV(D$2:D137)*SQRT(252)</f>
        <v>0.205881606235845</v>
      </c>
      <c r="V137" s="257">
        <f>STDEV(L$2:L137)*SQRT(252)</f>
        <v>0.39798205719407453</v>
      </c>
      <c r="W137" s="256">
        <f t="shared" si="43"/>
        <v>-0.90274402703738066</v>
      </c>
    </row>
    <row r="138" spans="1:23" ht="20.100000000000001" customHeight="1" x14ac:dyDescent="0.25">
      <c r="B138" s="249">
        <v>42431</v>
      </c>
      <c r="C138" s="340">
        <v>1986.4749999999999</v>
      </c>
      <c r="D138" s="175">
        <f t="shared" si="46"/>
        <v>4.1069578183840069E-3</v>
      </c>
      <c r="E138" s="251">
        <f t="shared" si="47"/>
        <v>-5.5157340994273385E-2</v>
      </c>
      <c r="F138" s="252">
        <v>4703.42</v>
      </c>
      <c r="G138" s="175">
        <f t="shared" si="44"/>
        <v>2.9490851012561711E-3</v>
      </c>
      <c r="H138" s="253">
        <f t="shared" si="42"/>
        <v>-7.6257438576506811E-2</v>
      </c>
      <c r="I138" s="254">
        <v>273591.05</v>
      </c>
      <c r="J138" s="255">
        <v>400000</v>
      </c>
      <c r="K138" s="255">
        <f t="shared" si="36"/>
        <v>17301.419999999984</v>
      </c>
      <c r="L138" s="175">
        <f t="shared" si="45"/>
        <v>6.7507296335009667E-2</v>
      </c>
      <c r="M138" s="256">
        <f t="shared" si="39"/>
        <v>-126408.95000000001</v>
      </c>
      <c r="N138" s="257">
        <f t="shared" si="40"/>
        <v>-0.31602237500000002</v>
      </c>
      <c r="O138" s="256" t="b">
        <f t="shared" si="38"/>
        <v>1</v>
      </c>
      <c r="P138" s="257">
        <f>COUNTIF(O$2:O138, TRUE)/(COUNTIF(O$2:O138,FALSE) + COUNTIF(O$2:O138, TRUE))</f>
        <v>0.45255474452554745</v>
      </c>
      <c r="Q138" s="345"/>
      <c r="R138" s="345"/>
      <c r="S138" s="345"/>
      <c r="T138" s="345"/>
      <c r="U138" s="257">
        <f>STDEV(D$2:D138)*SQRT(252)</f>
        <v>0.20520805198323436</v>
      </c>
      <c r="V138" s="257">
        <f>STDEV(L$2:L138)*SQRT(252)</f>
        <v>0.40773104370834762</v>
      </c>
      <c r="W138" s="256">
        <f t="shared" si="43"/>
        <v>-0.77507557954319672</v>
      </c>
    </row>
    <row r="139" spans="1:23" ht="20.100000000000001" customHeight="1" x14ac:dyDescent="0.25">
      <c r="B139" s="249">
        <v>42432</v>
      </c>
      <c r="C139" s="340">
        <v>1993.4</v>
      </c>
      <c r="D139" s="175">
        <f t="shared" si="46"/>
        <v>3.4860745793428975E-3</v>
      </c>
      <c r="E139" s="251">
        <f t="shared" si="47"/>
        <v>-5.1863549019234775E-2</v>
      </c>
      <c r="F139" s="252">
        <v>4707.42</v>
      </c>
      <c r="G139" s="175">
        <f t="shared" si="44"/>
        <v>8.5044499534381367E-4</v>
      </c>
      <c r="H139" s="253">
        <f t="shared" si="42"/>
        <v>-7.5471846338158136E-2</v>
      </c>
      <c r="I139" s="254">
        <v>284465.09999999998</v>
      </c>
      <c r="J139" s="255">
        <v>400000</v>
      </c>
      <c r="K139" s="255">
        <f t="shared" si="36"/>
        <v>10874.049999999988</v>
      </c>
      <c r="L139" s="175">
        <f t="shared" si="45"/>
        <v>3.9745634954067355E-2</v>
      </c>
      <c r="M139" s="256">
        <f t="shared" si="39"/>
        <v>-115534.90000000002</v>
      </c>
      <c r="N139" s="257">
        <f t="shared" si="40"/>
        <v>-0.28883725000000005</v>
      </c>
      <c r="O139" s="256" t="b">
        <f t="shared" si="38"/>
        <v>1</v>
      </c>
      <c r="P139" s="257">
        <f>COUNTIF(O$2:O139, TRUE)/(COUNTIF(O$2:O139,FALSE) + COUNTIF(O$2:O139, TRUE))</f>
        <v>0.45652173913043476</v>
      </c>
      <c r="Q139" s="345"/>
      <c r="R139" s="345"/>
      <c r="S139" s="345"/>
      <c r="T139" s="345"/>
      <c r="U139" s="257">
        <f>STDEV(D$2:D139)*SQRT(252)</f>
        <v>0.20451785527923064</v>
      </c>
      <c r="V139" s="257">
        <f>STDEV(L$2:L139)*SQRT(252)</f>
        <v>0.41011498593156359</v>
      </c>
      <c r="W139" s="256">
        <f t="shared" si="43"/>
        <v>-0.70428357877221948</v>
      </c>
    </row>
    <row r="140" spans="1:23" ht="20.100000000000001" customHeight="1" x14ac:dyDescent="0.25">
      <c r="B140" s="249">
        <v>42433</v>
      </c>
      <c r="C140" s="250">
        <v>1999.99</v>
      </c>
      <c r="D140" s="175">
        <f t="shared" si="46"/>
        <v>3.3059095013544286E-3</v>
      </c>
      <c r="E140" s="251">
        <f t="shared" ref="E140:E171" si="48">(C140-$C$2)/$C$2</f>
        <v>-4.8729095717356993E-2</v>
      </c>
      <c r="F140" s="252">
        <v>4717.0200000000004</v>
      </c>
      <c r="G140" s="175">
        <f t="shared" si="44"/>
        <v>2.0393336477306811E-3</v>
      </c>
      <c r="H140" s="253">
        <f t="shared" si="42"/>
        <v>-7.3586424966121222E-2</v>
      </c>
      <c r="I140" s="254">
        <v>295168.58</v>
      </c>
      <c r="J140" s="255">
        <v>400000</v>
      </c>
      <c r="K140" s="255">
        <f t="shared" si="36"/>
        <v>10703.48000000004</v>
      </c>
      <c r="L140" s="175">
        <f t="shared" si="45"/>
        <v>3.7626689530631495E-2</v>
      </c>
      <c r="M140" s="256">
        <f t="shared" si="39"/>
        <v>-104831.41999999998</v>
      </c>
      <c r="N140" s="257">
        <f t="shared" si="40"/>
        <v>-0.26207854999999997</v>
      </c>
      <c r="O140" s="256" t="b">
        <f t="shared" si="38"/>
        <v>1</v>
      </c>
      <c r="P140" s="257">
        <f>COUNTIF(O$2:O140, TRUE)/(COUNTIF(O$2:O140,FALSE) + COUNTIF(O$2:O140, TRUE))</f>
        <v>0.46043165467625902</v>
      </c>
      <c r="Q140" s="345"/>
      <c r="R140" s="345"/>
      <c r="S140" s="345"/>
      <c r="T140" s="345"/>
      <c r="U140" s="257">
        <f>STDEV(D$2:D140)*SQRT(252)</f>
        <v>0.20382852547723848</v>
      </c>
      <c r="V140" s="257">
        <f>STDEV(L$2:L140)*SQRT(252)</f>
        <v>0.41201829569755161</v>
      </c>
      <c r="W140" s="256">
        <f t="shared" si="43"/>
        <v>-0.63608473880097494</v>
      </c>
    </row>
    <row r="141" spans="1:23" ht="20.100000000000001" customHeight="1" x14ac:dyDescent="0.25">
      <c r="B141" s="176">
        <v>42436</v>
      </c>
      <c r="C141" s="220">
        <v>2001.76</v>
      </c>
      <c r="D141" s="175">
        <f t="shared" si="46"/>
        <v>8.8500442502211603E-4</v>
      </c>
      <c r="E141" s="214">
        <f t="shared" si="48"/>
        <v>-4.7887216757672067E-2</v>
      </c>
      <c r="F141" s="224">
        <v>4708.5200000000004</v>
      </c>
      <c r="G141" s="175">
        <f t="shared" si="44"/>
        <v>-1.8019851516423502E-3</v>
      </c>
      <c r="H141" s="208">
        <f t="shared" si="42"/>
        <v>-7.5255808472612165E-2</v>
      </c>
      <c r="I141" s="226">
        <v>295332.12</v>
      </c>
      <c r="J141" s="177">
        <v>400000</v>
      </c>
      <c r="K141" s="177">
        <f t="shared" si="36"/>
        <v>163.53999999997905</v>
      </c>
      <c r="L141" s="175">
        <f t="shared" si="45"/>
        <v>5.5405626167927171E-4</v>
      </c>
      <c r="M141" s="187">
        <f t="shared" si="39"/>
        <v>-104667.88</v>
      </c>
      <c r="N141" s="189">
        <f t="shared" si="40"/>
        <v>-0.26166970000000001</v>
      </c>
      <c r="O141" s="187" t="b">
        <f t="shared" si="38"/>
        <v>0</v>
      </c>
      <c r="P141" s="189">
        <f>COUNTIF(O$2:O141, TRUE)/(COUNTIF(O$2:O141,FALSE) + COUNTIF(O$2:O141, TRUE))</f>
        <v>0.45714285714285713</v>
      </c>
      <c r="Q141" s="344"/>
      <c r="R141" s="344"/>
      <c r="S141" s="344"/>
      <c r="T141" s="344"/>
      <c r="U141" s="189">
        <f>STDEV(D$2:D141)*SQRT(252)</f>
        <v>0.20309473146639889</v>
      </c>
      <c r="V141" s="189">
        <f>STDEV(L$2:L141)*SQRT(252)</f>
        <v>0.41052951691081185</v>
      </c>
      <c r="W141" s="187">
        <f t="shared" si="43"/>
        <v>-0.63739558112419026</v>
      </c>
    </row>
    <row r="142" spans="1:23" ht="20.100000000000001" customHeight="1" x14ac:dyDescent="0.25">
      <c r="B142" s="176">
        <v>42437</v>
      </c>
      <c r="C142" s="220">
        <v>1979.26</v>
      </c>
      <c r="D142" s="175">
        <f t="shared" si="46"/>
        <v>-1.124010870434018E-2</v>
      </c>
      <c r="E142" s="214">
        <f t="shared" si="48"/>
        <v>-5.8589067940107716E-2</v>
      </c>
      <c r="F142" s="224">
        <v>4648.82</v>
      </c>
      <c r="G142" s="175">
        <f t="shared" si="44"/>
        <v>-1.2679143340157994E-2</v>
      </c>
      <c r="H142" s="208">
        <f t="shared" ref="H142:H173" si="49">(F142-F$2)/F$2</f>
        <v>-8.6980772629966438E-2</v>
      </c>
      <c r="I142" s="226">
        <v>279655.23</v>
      </c>
      <c r="J142" s="177">
        <v>400000</v>
      </c>
      <c r="K142" s="177">
        <f t="shared" si="36"/>
        <v>-15676.890000000014</v>
      </c>
      <c r="L142" s="175">
        <f t="shared" si="45"/>
        <v>-5.3082238396555084E-2</v>
      </c>
      <c r="M142" s="187">
        <f t="shared" si="39"/>
        <v>-120344.77000000002</v>
      </c>
      <c r="N142" s="189">
        <f t="shared" si="40"/>
        <v>-0.30086192500000003</v>
      </c>
      <c r="O142" s="187" t="b">
        <f t="shared" si="38"/>
        <v>0</v>
      </c>
      <c r="P142" s="189">
        <f>COUNTIF(O$2:O142, TRUE)/(COUNTIF(O$2:O142,FALSE) + COUNTIF(O$2:O142, TRUE))</f>
        <v>0.45390070921985815</v>
      </c>
      <c r="Q142" s="344"/>
      <c r="R142" s="344"/>
      <c r="S142" s="344"/>
      <c r="T142" s="344"/>
      <c r="U142" s="189">
        <f>STDEV(D$2:D142)*SQRT(252)</f>
        <v>0.2028972139328496</v>
      </c>
      <c r="V142" s="189">
        <f>STDEV(L$2:L142)*SQRT(252)</f>
        <v>0.41493428525347442</v>
      </c>
      <c r="W142" s="187">
        <f t="shared" si="43"/>
        <v>-0.72508331003838344</v>
      </c>
    </row>
    <row r="143" spans="1:23" ht="20.100000000000001" customHeight="1" x14ac:dyDescent="0.25">
      <c r="B143" s="176">
        <v>42438</v>
      </c>
      <c r="C143" s="220">
        <v>1989.26</v>
      </c>
      <c r="D143" s="175">
        <f t="shared" si="46"/>
        <v>5.0523933187150757E-3</v>
      </c>
      <c r="E143" s="214">
        <f t="shared" si="48"/>
        <v>-5.3832689636802981E-2</v>
      </c>
      <c r="F143" s="224">
        <v>4674.37</v>
      </c>
      <c r="G143" s="175">
        <f t="shared" si="44"/>
        <v>5.4960183444401336E-3</v>
      </c>
      <c r="H143" s="208">
        <f t="shared" si="49"/>
        <v>-8.1962802207514174E-2</v>
      </c>
      <c r="I143" s="226">
        <v>284441.56</v>
      </c>
      <c r="J143" s="177">
        <v>400000</v>
      </c>
      <c r="K143" s="177">
        <f t="shared" si="36"/>
        <v>4786.3300000000163</v>
      </c>
      <c r="L143" s="175">
        <f t="shared" si="45"/>
        <v>1.7115109915877547E-2</v>
      </c>
      <c r="M143" s="187">
        <f t="shared" si="39"/>
        <v>-115558.44</v>
      </c>
      <c r="N143" s="189">
        <f t="shared" si="40"/>
        <v>-0.28889609999999999</v>
      </c>
      <c r="O143" s="187" t="b">
        <f t="shared" si="38"/>
        <v>1</v>
      </c>
      <c r="P143" s="189">
        <f>COUNTIF(O$2:O143, TRUE)/(COUNTIF(O$2:O143,FALSE) + COUNTIF(O$2:O143, TRUE))</f>
        <v>0.45774647887323944</v>
      </c>
      <c r="Q143" s="344"/>
      <c r="R143" s="344"/>
      <c r="S143" s="344"/>
      <c r="T143" s="344"/>
      <c r="U143" s="189">
        <f>STDEV(D$2:D143)*SQRT(252)</f>
        <v>0.20230024410689199</v>
      </c>
      <c r="V143" s="189">
        <f>STDEV(L$2:L143)*SQRT(252)</f>
        <v>0.41420228414527577</v>
      </c>
      <c r="W143" s="187">
        <f t="shared" si="43"/>
        <v>-0.69747587364504648</v>
      </c>
    </row>
    <row r="144" spans="1:23" ht="20.100000000000001" customHeight="1" x14ac:dyDescent="0.25">
      <c r="A144" s="226"/>
      <c r="B144" s="176">
        <v>42439</v>
      </c>
      <c r="C144" s="220">
        <v>1989.57</v>
      </c>
      <c r="D144" s="175">
        <f t="shared" si="46"/>
        <v>1.5583684385145504E-4</v>
      </c>
      <c r="E144" s="214">
        <f t="shared" si="48"/>
        <v>-5.3685241909400563E-2</v>
      </c>
      <c r="F144" s="224">
        <v>4662.1499999999996</v>
      </c>
      <c r="G144" s="175">
        <f t="shared" si="44"/>
        <v>-2.6142560387817514E-3</v>
      </c>
      <c r="H144" s="208">
        <f t="shared" si="49"/>
        <v>-8.4362786495669459E-2</v>
      </c>
      <c r="I144" s="226">
        <v>287418.99</v>
      </c>
      <c r="J144" s="177">
        <v>400000</v>
      </c>
      <c r="K144" s="177">
        <f t="shared" si="36"/>
        <v>2977.429999999993</v>
      </c>
      <c r="L144" s="175">
        <f t="shared" si="45"/>
        <v>1.0467633492095856E-2</v>
      </c>
      <c r="M144" s="187">
        <f t="shared" si="39"/>
        <v>-112581.01000000001</v>
      </c>
      <c r="N144" s="189">
        <f t="shared" si="40"/>
        <v>-0.28145252500000001</v>
      </c>
      <c r="O144" s="187" t="b">
        <f t="shared" si="38"/>
        <v>1</v>
      </c>
      <c r="P144" s="189">
        <f>COUNTIF(O$2:O144, TRUE)/(COUNTIF(O$2:O144,FALSE) + COUNTIF(O$2:O144, TRUE))</f>
        <v>0.46153846153846156</v>
      </c>
      <c r="Q144" s="344"/>
      <c r="R144" s="344"/>
      <c r="S144" s="344"/>
      <c r="T144" s="344"/>
      <c r="U144" s="189">
        <f>STDEV(D$2:D144)*SQRT(252)</f>
        <v>0.20158255288168328</v>
      </c>
      <c r="V144" s="189">
        <f>STDEV(L$2:L144)*SQRT(252)</f>
        <v>0.41303460915058671</v>
      </c>
      <c r="W144" s="187">
        <f t="shared" si="43"/>
        <v>-0.68142600829216782</v>
      </c>
    </row>
    <row r="145" spans="2:23" ht="20.100000000000001" customHeight="1" x14ac:dyDescent="0.25">
      <c r="B145" s="176">
        <v>42440</v>
      </c>
      <c r="C145" s="220">
        <v>2022.19</v>
      </c>
      <c r="D145" s="175">
        <f t="shared" si="46"/>
        <v>1.6395502545776285E-2</v>
      </c>
      <c r="E145" s="214">
        <f t="shared" si="48"/>
        <v>-3.816993588402047E-2</v>
      </c>
      <c r="F145" s="224">
        <v>4748.47</v>
      </c>
      <c r="G145" s="175">
        <f t="shared" si="44"/>
        <v>1.8515062792917564E-2</v>
      </c>
      <c r="H145" s="208">
        <f t="shared" si="49"/>
        <v>-6.7409705992104718E-2</v>
      </c>
      <c r="I145" s="226">
        <v>297529.25</v>
      </c>
      <c r="J145" s="177">
        <v>400000</v>
      </c>
      <c r="K145" s="177">
        <f t="shared" si="36"/>
        <v>10110.260000000009</v>
      </c>
      <c r="L145" s="175">
        <f t="shared" si="45"/>
        <v>3.5176033427714741E-2</v>
      </c>
      <c r="M145" s="187">
        <f t="shared" si="39"/>
        <v>-102470.75</v>
      </c>
      <c r="N145" s="189">
        <f t="shared" si="40"/>
        <v>-0.25617687500000003</v>
      </c>
      <c r="O145" s="187" t="b">
        <f t="shared" si="38"/>
        <v>1</v>
      </c>
      <c r="P145" s="189">
        <f>COUNTIF(O$2:O145, TRUE)/(COUNTIF(O$2:O145,FALSE) + COUNTIF(O$2:O145, TRUE))</f>
        <v>0.46527777777777779</v>
      </c>
      <c r="Q145" s="344"/>
      <c r="R145" s="344"/>
      <c r="S145" s="344"/>
      <c r="T145" s="344"/>
      <c r="U145" s="189">
        <f>STDEV(D$2:D145)*SQRT(252)</f>
        <v>0.20209170666788678</v>
      </c>
      <c r="V145" s="189">
        <f>STDEV(L$2:L145)*SQRT(252)</f>
        <v>0.41442203469244021</v>
      </c>
      <c r="W145" s="187">
        <f t="shared" si="43"/>
        <v>-0.61815457083530689</v>
      </c>
    </row>
    <row r="146" spans="2:23" ht="20.100000000000001" customHeight="1" x14ac:dyDescent="0.25">
      <c r="B146" s="249">
        <v>42443</v>
      </c>
      <c r="C146" s="250">
        <v>2019.64</v>
      </c>
      <c r="D146" s="175">
        <f t="shared" si="46"/>
        <v>-1.261009103991195E-3</v>
      </c>
      <c r="E146" s="251">
        <f t="shared" si="48"/>
        <v>-3.9382812351363157E-2</v>
      </c>
      <c r="F146" s="252">
        <v>4750.28</v>
      </c>
      <c r="G146" s="175">
        <f t="shared" si="44"/>
        <v>3.8117541018464697E-4</v>
      </c>
      <c r="H146" s="253">
        <f t="shared" si="49"/>
        <v>-6.7054225504252038E-2</v>
      </c>
      <c r="I146" s="254">
        <v>295383.49</v>
      </c>
      <c r="J146" s="255">
        <v>400000</v>
      </c>
      <c r="K146" s="255">
        <f t="shared" si="36"/>
        <v>-2145.7600000000093</v>
      </c>
      <c r="L146" s="175">
        <f t="shared" si="45"/>
        <v>-7.2119295833939327E-3</v>
      </c>
      <c r="M146" s="256">
        <f t="shared" si="39"/>
        <v>-104616.51000000001</v>
      </c>
      <c r="N146" s="257">
        <f t="shared" si="40"/>
        <v>-0.26154127500000002</v>
      </c>
      <c r="O146" s="256" t="b">
        <f t="shared" si="38"/>
        <v>0</v>
      </c>
      <c r="P146" s="257">
        <f>COUNTIF(O$2:O146, TRUE)/(COUNTIF(O$2:O146,FALSE) + COUNTIF(O$2:O146, TRUE))</f>
        <v>0.46206896551724136</v>
      </c>
      <c r="Q146" s="255"/>
      <c r="R146" s="255"/>
      <c r="S146" s="255"/>
      <c r="T146" s="255"/>
      <c r="U146" s="257">
        <f>STDEV(D$2:D146)*SQRT(252)</f>
        <v>0.20138882204680125</v>
      </c>
      <c r="V146" s="257">
        <f>STDEV(L$2:L146)*SQRT(252)</f>
        <v>0.41305007987980863</v>
      </c>
      <c r="W146" s="256">
        <f t="shared" si="43"/>
        <v>-0.63319507183270518</v>
      </c>
    </row>
    <row r="147" spans="2:23" ht="20.100000000000001" customHeight="1" x14ac:dyDescent="0.25">
      <c r="B147" s="249">
        <v>42444</v>
      </c>
      <c r="C147" s="250">
        <v>2015.93</v>
      </c>
      <c r="D147" s="175">
        <f t="shared" si="46"/>
        <v>-1.8369610425620587E-3</v>
      </c>
      <c r="E147" s="251">
        <f t="shared" si="48"/>
        <v>-4.1147428701889227E-2</v>
      </c>
      <c r="F147" s="252">
        <v>4728.66</v>
      </c>
      <c r="G147" s="175">
        <f t="shared" si="44"/>
        <v>-4.5513106595821496E-3</v>
      </c>
      <c r="H147" s="253">
        <f t="shared" si="49"/>
        <v>-7.1300351552526661E-2</v>
      </c>
      <c r="I147" s="254">
        <v>295669.06</v>
      </c>
      <c r="J147" s="255">
        <v>400000</v>
      </c>
      <c r="K147" s="255">
        <f t="shared" si="36"/>
        <v>285.57000000000698</v>
      </c>
      <c r="L147" s="175">
        <f t="shared" si="45"/>
        <v>9.6677712082014809E-4</v>
      </c>
      <c r="M147" s="256">
        <f t="shared" si="39"/>
        <v>-104330.94</v>
      </c>
      <c r="N147" s="257">
        <f t="shared" si="40"/>
        <v>-0.26082735000000001</v>
      </c>
      <c r="O147" s="256" t="b">
        <f t="shared" si="38"/>
        <v>1</v>
      </c>
      <c r="P147" s="257">
        <f>COUNTIF(O$2:O147, TRUE)/(COUNTIF(O$2:O147,FALSE) + COUNTIF(O$2:O147, TRUE))</f>
        <v>0.46575342465753422</v>
      </c>
      <c r="Q147" s="255"/>
      <c r="R147" s="255"/>
      <c r="S147" s="255"/>
      <c r="T147" s="255"/>
      <c r="U147" s="257">
        <f>STDEV(D$2:D147)*SQRT(252)</f>
        <v>0.20069995386729664</v>
      </c>
      <c r="V147" s="257">
        <f>STDEV(L$2:L147)*SQRT(252)</f>
        <v>0.41162261053938765</v>
      </c>
      <c r="W147" s="256">
        <f t="shared" si="43"/>
        <v>-0.63365651769763942</v>
      </c>
    </row>
    <row r="148" spans="2:23" ht="20.100000000000001" customHeight="1" x14ac:dyDescent="0.25">
      <c r="B148" s="249">
        <v>42445</v>
      </c>
      <c r="C148" s="250">
        <v>2027.22</v>
      </c>
      <c r="D148" s="175">
        <f t="shared" si="46"/>
        <v>5.6003928707841853E-3</v>
      </c>
      <c r="E148" s="251">
        <f t="shared" si="48"/>
        <v>-3.5777477597458203E-2</v>
      </c>
      <c r="F148" s="252">
        <v>4763.97</v>
      </c>
      <c r="G148" s="175">
        <f t="shared" si="44"/>
        <v>7.467231731611154E-3</v>
      </c>
      <c r="H148" s="253">
        <f t="shared" si="49"/>
        <v>-6.4365536068503565E-2</v>
      </c>
      <c r="I148" s="254">
        <v>297622.03999999998</v>
      </c>
      <c r="J148" s="255">
        <v>400000</v>
      </c>
      <c r="K148" s="255">
        <f t="shared" si="36"/>
        <v>1952.9799999999814</v>
      </c>
      <c r="L148" s="175">
        <f t="shared" si="45"/>
        <v>6.6052903878409917E-3</v>
      </c>
      <c r="M148" s="256">
        <f t="shared" si="39"/>
        <v>-102377.96000000002</v>
      </c>
      <c r="N148" s="257">
        <f t="shared" si="40"/>
        <v>-0.25594490000000003</v>
      </c>
      <c r="O148" s="256" t="b">
        <f t="shared" si="38"/>
        <v>1</v>
      </c>
      <c r="P148" s="257">
        <f>COUNTIF(O$2:O148, TRUE)/(COUNTIF(O$2:O148,FALSE) + COUNTIF(O$2:O148, TRUE))</f>
        <v>0.46938775510204084</v>
      </c>
      <c r="Q148" s="255">
        <v>208116.46</v>
      </c>
      <c r="R148" s="255">
        <f t="shared" ref="R148:R153" si="50">I148-Q148</f>
        <v>89505.579999999987</v>
      </c>
      <c r="S148" s="255"/>
      <c r="T148" s="255"/>
      <c r="U148" s="257">
        <f>STDEV(D$2:D148)*SQRT(252)</f>
        <v>0.20015232316185677</v>
      </c>
      <c r="V148" s="257">
        <f>STDEV(L$2:L148)*SQRT(252)</f>
        <v>0.41032597832718526</v>
      </c>
      <c r="W148" s="256">
        <f t="shared" si="43"/>
        <v>-0.62375992142499681</v>
      </c>
    </row>
    <row r="149" spans="2:23" ht="20.100000000000001" customHeight="1" x14ac:dyDescent="0.25">
      <c r="B149" s="249">
        <v>42446</v>
      </c>
      <c r="C149" s="250">
        <v>2040.59</v>
      </c>
      <c r="D149" s="175">
        <f t="shared" si="46"/>
        <v>6.5952387999328593E-3</v>
      </c>
      <c r="E149" s="251">
        <f t="shared" si="48"/>
        <v>-2.9418199805939828E-2</v>
      </c>
      <c r="F149" s="252">
        <v>4774.9799999999996</v>
      </c>
      <c r="G149" s="175">
        <f t="shared" si="44"/>
        <v>2.3110976769373671E-3</v>
      </c>
      <c r="H149" s="253">
        <f t="shared" si="49"/>
        <v>-6.2203193432448942E-2</v>
      </c>
      <c r="I149" s="254">
        <v>298243.74</v>
      </c>
      <c r="J149" s="255">
        <v>400000</v>
      </c>
      <c r="K149" s="255">
        <f t="shared" si="36"/>
        <v>621.70000000001164</v>
      </c>
      <c r="L149" s="175">
        <f t="shared" si="45"/>
        <v>2.0888909974543946E-3</v>
      </c>
      <c r="M149" s="256">
        <f t="shared" si="39"/>
        <v>-101756.26000000001</v>
      </c>
      <c r="N149" s="257">
        <f t="shared" si="40"/>
        <v>-0.25439065</v>
      </c>
      <c r="O149" s="256" t="b">
        <f t="shared" si="38"/>
        <v>0</v>
      </c>
      <c r="P149" s="257">
        <f>COUNTIF(O$2:O149, TRUE)/(COUNTIF(O$2:O149,FALSE) + COUNTIF(O$2:O149, TRUE))</f>
        <v>0.46621621621621623</v>
      </c>
      <c r="Q149" s="255">
        <v>201345.75</v>
      </c>
      <c r="R149" s="255">
        <f t="shared" si="50"/>
        <v>96897.989999999991</v>
      </c>
      <c r="S149" s="255"/>
      <c r="T149" s="255"/>
      <c r="U149" s="257">
        <f>STDEV(D$2:D149)*SQRT(252)</f>
        <v>0.19966229894539708</v>
      </c>
      <c r="V149" s="257">
        <f>STDEV(L$2:L149)*SQRT(252)</f>
        <v>0.40893908230401166</v>
      </c>
      <c r="W149" s="256">
        <f t="shared" si="43"/>
        <v>-0.6220746830230377</v>
      </c>
    </row>
    <row r="150" spans="2:23" ht="20.100000000000001" customHeight="1" x14ac:dyDescent="0.25">
      <c r="B150" s="249">
        <v>42447</v>
      </c>
      <c r="C150" s="250">
        <v>2049.56</v>
      </c>
      <c r="D150" s="175">
        <f t="shared" si="46"/>
        <v>4.3957874928329688E-3</v>
      </c>
      <c r="E150" s="251">
        <f t="shared" si="48"/>
        <v>-2.5151728467875473E-2</v>
      </c>
      <c r="F150" s="252">
        <v>4795.6499999999996</v>
      </c>
      <c r="G150" s="175">
        <f t="shared" si="44"/>
        <v>4.3288139426762157E-3</v>
      </c>
      <c r="H150" s="253">
        <f t="shared" si="49"/>
        <v>-5.8143645540782093E-2</v>
      </c>
      <c r="I150" s="254">
        <v>302252.61</v>
      </c>
      <c r="J150" s="255">
        <v>400000</v>
      </c>
      <c r="K150" s="255">
        <f t="shared" si="36"/>
        <v>4008.8699999999953</v>
      </c>
      <c r="L150" s="175">
        <f t="shared" si="45"/>
        <v>1.3441589754742196E-2</v>
      </c>
      <c r="M150" s="256">
        <f t="shared" si="39"/>
        <v>-97747.390000000014</v>
      </c>
      <c r="N150" s="257">
        <f t="shared" si="40"/>
        <v>-0.24436847500000003</v>
      </c>
      <c r="O150" s="256" t="b">
        <f t="shared" si="38"/>
        <v>1</v>
      </c>
      <c r="P150" s="257">
        <f>COUNTIF(O$2:O150, TRUE)/(COUNTIF(O$2:O150,FALSE) + COUNTIF(O$2:O150, TRUE))</f>
        <v>0.46979865771812079</v>
      </c>
      <c r="Q150" s="255">
        <v>189023.24</v>
      </c>
      <c r="R150" s="255">
        <f t="shared" si="50"/>
        <v>113229.37</v>
      </c>
      <c r="S150" s="255"/>
      <c r="T150" s="255"/>
      <c r="U150" s="257">
        <f>STDEV(D$2:D150)*SQRT(252)</f>
        <v>0.19906941872329306</v>
      </c>
      <c r="V150" s="257">
        <f>STDEV(L$2:L150)*SQRT(252)</f>
        <v>0.40798335166369004</v>
      </c>
      <c r="W150" s="256">
        <f t="shared" si="43"/>
        <v>-0.59896678137356574</v>
      </c>
    </row>
    <row r="151" spans="2:23" ht="20.100000000000001" customHeight="1" x14ac:dyDescent="0.25">
      <c r="B151" s="176">
        <v>42450</v>
      </c>
      <c r="C151" s="220">
        <v>2051.6</v>
      </c>
      <c r="D151" s="175">
        <f t="shared" si="46"/>
        <v>9.9533558422293736E-4</v>
      </c>
      <c r="E151" s="214">
        <f t="shared" si="48"/>
        <v>-2.4181427294001325E-2</v>
      </c>
      <c r="F151" s="224">
        <v>4808.87</v>
      </c>
      <c r="G151" s="175">
        <f t="shared" si="44"/>
        <v>2.7566648942271132E-3</v>
      </c>
      <c r="H151" s="208">
        <f t="shared" si="49"/>
        <v>-5.5547263193039639E-2</v>
      </c>
      <c r="I151" s="226">
        <v>302397.02</v>
      </c>
      <c r="J151" s="177">
        <v>400000</v>
      </c>
      <c r="K151" s="177">
        <f t="shared" si="36"/>
        <v>144.4100000000326</v>
      </c>
      <c r="L151" s="175">
        <f t="shared" si="45"/>
        <v>4.7777916624121991E-4</v>
      </c>
      <c r="M151" s="187">
        <f t="shared" si="39"/>
        <v>-97602.979999999981</v>
      </c>
      <c r="N151" s="189">
        <f t="shared" si="40"/>
        <v>-0.24400744999999996</v>
      </c>
      <c r="O151" s="187" t="b">
        <f t="shared" si="38"/>
        <v>0</v>
      </c>
      <c r="P151" s="189">
        <f>COUNTIF(O$2:O151, TRUE)/(COUNTIF(O$2:O151,FALSE) + COUNTIF(O$2:O151, TRUE))</f>
        <v>0.46666666666666667</v>
      </c>
      <c r="Q151" s="177">
        <v>190702.94</v>
      </c>
      <c r="R151" s="177">
        <f t="shared" si="50"/>
        <v>111694.08000000002</v>
      </c>
      <c r="S151" s="177"/>
      <c r="T151" s="177"/>
      <c r="U151" s="189">
        <f>STDEV(D$2:D151)*SQRT(252)</f>
        <v>0.19840080405595206</v>
      </c>
      <c r="V151" s="189">
        <f>STDEV(L$2:L151)*SQRT(252)</f>
        <v>0.40660686098578552</v>
      </c>
      <c r="W151" s="187">
        <f t="shared" si="43"/>
        <v>-0.60010657323495131</v>
      </c>
    </row>
    <row r="152" spans="2:23" ht="20.100000000000001" customHeight="1" x14ac:dyDescent="0.25">
      <c r="B152" s="176">
        <v>42451</v>
      </c>
      <c r="C152" s="220">
        <v>2052.6</v>
      </c>
      <c r="D152" s="175">
        <f t="shared" si="46"/>
        <v>4.8742444921037243E-4</v>
      </c>
      <c r="E152" s="214">
        <f t="shared" si="48"/>
        <v>-2.370578946367085E-2</v>
      </c>
      <c r="F152" s="224">
        <v>4809.87</v>
      </c>
      <c r="G152" s="175">
        <f t="shared" si="44"/>
        <v>2.0794906079806691E-4</v>
      </c>
      <c r="H152" s="208">
        <f t="shared" si="49"/>
        <v>-5.535086513345247E-2</v>
      </c>
      <c r="I152" s="226">
        <v>300927.05</v>
      </c>
      <c r="J152" s="177">
        <v>400000</v>
      </c>
      <c r="K152" s="177">
        <f t="shared" ref="K152:K183" si="51">I152-I151-J152+J151</f>
        <v>-1469.9700000000303</v>
      </c>
      <c r="L152" s="175">
        <f t="shared" si="45"/>
        <v>-4.8610598080630228E-3</v>
      </c>
      <c r="M152" s="187">
        <f t="shared" si="39"/>
        <v>-99072.950000000012</v>
      </c>
      <c r="N152" s="189">
        <f t="shared" si="40"/>
        <v>-0.24768237500000004</v>
      </c>
      <c r="O152" s="187" t="b">
        <f t="shared" si="38"/>
        <v>0</v>
      </c>
      <c r="P152" s="189">
        <f>COUNTIF(O$2:O152, TRUE)/(COUNTIF(O$2:O152,FALSE) + COUNTIF(O$2:O152, TRUE))</f>
        <v>0.46357615894039733</v>
      </c>
      <c r="Q152" s="177">
        <v>208698.82</v>
      </c>
      <c r="R152" s="177">
        <f t="shared" si="50"/>
        <v>92228.229999999981</v>
      </c>
      <c r="S152" s="177"/>
      <c r="T152" s="177"/>
      <c r="U152" s="189">
        <f>STDEV(D$2:D152)*SQRT(252)</f>
        <v>0.19773530847085422</v>
      </c>
      <c r="V152" s="189">
        <f>STDEV(L$2:L152)*SQRT(252)</f>
        <v>0.40527216981287528</v>
      </c>
      <c r="W152" s="187">
        <f t="shared" si="43"/>
        <v>-0.61115071166707902</v>
      </c>
    </row>
    <row r="153" spans="2:23" ht="20.100000000000001" customHeight="1" x14ac:dyDescent="0.25">
      <c r="B153" s="176">
        <v>42452</v>
      </c>
      <c r="C153" s="220">
        <v>2036.71</v>
      </c>
      <c r="D153" s="175">
        <f t="shared" si="46"/>
        <v>-7.7414011497612166E-3</v>
      </c>
      <c r="E153" s="214">
        <f t="shared" si="48"/>
        <v>-3.1263674587622012E-2</v>
      </c>
      <c r="F153" s="224">
        <v>4768.8599999999997</v>
      </c>
      <c r="G153" s="175">
        <f t="shared" si="44"/>
        <v>-8.5262179643109306E-3</v>
      </c>
      <c r="H153" s="208">
        <f t="shared" si="49"/>
        <v>-6.3405149557122412E-2</v>
      </c>
      <c r="I153" s="226">
        <v>283106.53999999998</v>
      </c>
      <c r="J153" s="177">
        <v>400000</v>
      </c>
      <c r="K153" s="177">
        <f t="shared" si="51"/>
        <v>-17820.510000000009</v>
      </c>
      <c r="L153" s="175">
        <f t="shared" si="45"/>
        <v>-5.9218704333824458E-2</v>
      </c>
      <c r="M153" s="187">
        <f t="shared" si="39"/>
        <v>-116893.46000000002</v>
      </c>
      <c r="N153" s="189">
        <f t="shared" si="40"/>
        <v>-0.29223365000000007</v>
      </c>
      <c r="O153" s="187" t="b">
        <f t="shared" si="38"/>
        <v>0</v>
      </c>
      <c r="P153" s="189">
        <f>COUNTIF(O$2:O153, TRUE)/(COUNTIF(O$2:O153,FALSE) + COUNTIF(O$2:O153, TRUE))</f>
        <v>0.46052631578947367</v>
      </c>
      <c r="Q153" s="177">
        <v>233281.17</v>
      </c>
      <c r="R153" s="177">
        <f t="shared" si="50"/>
        <v>49825.369999999966</v>
      </c>
      <c r="S153" s="177"/>
      <c r="T153" s="177"/>
      <c r="U153" s="189">
        <f>STDEV(D$2:D153)*SQRT(252)</f>
        <v>0.19732328223466214</v>
      </c>
      <c r="V153" s="189">
        <f>STDEV(L$2:L153)*SQRT(252)</f>
        <v>0.41087213630897762</v>
      </c>
      <c r="W153" s="187">
        <f t="shared" si="43"/>
        <v>-0.71125205185546847</v>
      </c>
    </row>
    <row r="154" spans="2:23" ht="20.100000000000001" customHeight="1" x14ac:dyDescent="0.25">
      <c r="B154" s="176">
        <v>42453</v>
      </c>
      <c r="C154" s="220">
        <v>2035.94</v>
      </c>
      <c r="D154" s="175">
        <f t="shared" si="46"/>
        <v>-3.7806069592626431E-4</v>
      </c>
      <c r="E154" s="214">
        <f t="shared" si="48"/>
        <v>-3.1629915716976466E-2</v>
      </c>
      <c r="F154" s="224">
        <v>4773.5</v>
      </c>
      <c r="G154" s="175">
        <f t="shared" si="44"/>
        <v>9.7297886706683098E-4</v>
      </c>
      <c r="H154" s="208">
        <f t="shared" si="49"/>
        <v>-6.2493862560637867E-2</v>
      </c>
      <c r="I154" s="226">
        <v>283603.99</v>
      </c>
      <c r="J154" s="177">
        <v>400000</v>
      </c>
      <c r="K154" s="177">
        <f t="shared" si="51"/>
        <v>497.45000000001164</v>
      </c>
      <c r="L154" s="175">
        <f t="shared" si="45"/>
        <v>1.7571123577717832E-3</v>
      </c>
      <c r="M154" s="187">
        <f t="shared" si="39"/>
        <v>-116396.01000000001</v>
      </c>
      <c r="N154" s="189">
        <f t="shared" si="40"/>
        <v>-0.29099002500000004</v>
      </c>
      <c r="O154" s="187" t="b">
        <f t="shared" si="38"/>
        <v>1</v>
      </c>
      <c r="P154" s="189">
        <f>COUNTIF(O$2:O154, TRUE)/(COUNTIF(O$2:O154,FALSE) + COUNTIF(O$2:O154, TRUE))</f>
        <v>0.46405228758169936</v>
      </c>
      <c r="Q154" s="177">
        <v>233282.17</v>
      </c>
      <c r="R154" s="177">
        <f t="shared" ref="R154:R191" si="52">I154-Q154</f>
        <v>50321.819999999978</v>
      </c>
      <c r="S154" s="177"/>
      <c r="T154" s="177"/>
      <c r="U154" s="189">
        <f>STDEV(D$2:D154)*SQRT(252)</f>
        <v>0.19666906063244452</v>
      </c>
      <c r="V154" s="189">
        <f>STDEV(L$2:L154)*SQRT(252)</f>
        <v>0.40952879368350692</v>
      </c>
      <c r="W154" s="187">
        <f t="shared" si="43"/>
        <v>-0.71054838997446346</v>
      </c>
    </row>
    <row r="155" spans="2:23" ht="20.100000000000001" customHeight="1" x14ac:dyDescent="0.25">
      <c r="B155" s="249">
        <v>42457</v>
      </c>
      <c r="C155" s="250">
        <v>2037.05</v>
      </c>
      <c r="D155" s="175">
        <f t="shared" si="46"/>
        <v>5.4520270734889045E-4</v>
      </c>
      <c r="E155" s="251">
        <f t="shared" si="48"/>
        <v>-3.1101957725309687E-2</v>
      </c>
      <c r="F155" s="252">
        <v>4766.78</v>
      </c>
      <c r="G155" s="175">
        <f t="shared" si="44"/>
        <v>-1.4077720749974348E-3</v>
      </c>
      <c r="H155" s="253">
        <f t="shared" si="49"/>
        <v>-6.3813657521063702E-2</v>
      </c>
      <c r="I155" s="254">
        <v>281306.2</v>
      </c>
      <c r="J155" s="255">
        <v>400000</v>
      </c>
      <c r="K155" s="255">
        <f t="shared" si="51"/>
        <v>-2297.789999999979</v>
      </c>
      <c r="L155" s="175">
        <f t="shared" si="45"/>
        <v>-8.1021074491934297E-3</v>
      </c>
      <c r="M155" s="256">
        <f t="shared" si="39"/>
        <v>-118693.79999999999</v>
      </c>
      <c r="N155" s="257">
        <f t="shared" si="40"/>
        <v>-0.29673449999999996</v>
      </c>
      <c r="O155" s="256" t="b">
        <f t="shared" ref="O155:O191" si="53">L155&gt;D155</f>
        <v>0</v>
      </c>
      <c r="P155" s="257">
        <f>COUNTIF(O$2:O155, TRUE)/(COUNTIF(O$2:O155,FALSE) + COUNTIF(O$2:O155, TRUE))</f>
        <v>0.46103896103896103</v>
      </c>
      <c r="Q155" s="255">
        <v>231480.83</v>
      </c>
      <c r="R155" s="255">
        <f t="shared" si="52"/>
        <v>49825.370000000024</v>
      </c>
      <c r="S155" s="255"/>
      <c r="T155" s="255"/>
      <c r="U155" s="257">
        <f>STDEV(D$2:D155)*SQRT(252)</f>
        <v>0.19602299974071929</v>
      </c>
      <c r="V155" s="257">
        <f>STDEV(L$2:L155)*SQRT(252)</f>
        <v>0.40827222780986738</v>
      </c>
      <c r="W155" s="256">
        <f t="shared" si="43"/>
        <v>-0.72680549836024944</v>
      </c>
    </row>
    <row r="156" spans="2:23" ht="20.100000000000001" customHeight="1" x14ac:dyDescent="0.25">
      <c r="B156" s="249">
        <v>42458</v>
      </c>
      <c r="C156" s="250">
        <v>2055.0100000000002</v>
      </c>
      <c r="D156" s="175">
        <f t="shared" si="46"/>
        <v>8.8166711666381598E-3</v>
      </c>
      <c r="E156" s="251">
        <f t="shared" si="48"/>
        <v>-2.2559502292574262E-2</v>
      </c>
      <c r="F156" s="252">
        <v>4846.62</v>
      </c>
      <c r="G156" s="175">
        <f t="shared" si="44"/>
        <v>1.6749252115683993E-2</v>
      </c>
      <c r="H156" s="253">
        <f t="shared" si="49"/>
        <v>-4.8133236443623925E-2</v>
      </c>
      <c r="I156" s="254">
        <v>285322.46999999997</v>
      </c>
      <c r="J156" s="255">
        <v>400000</v>
      </c>
      <c r="K156" s="255">
        <f t="shared" si="51"/>
        <v>4016.2699999999604</v>
      </c>
      <c r="L156" s="175">
        <f t="shared" si="45"/>
        <v>1.4277218205641967E-2</v>
      </c>
      <c r="M156" s="256">
        <f t="shared" si="39"/>
        <v>-114677.53000000003</v>
      </c>
      <c r="N156" s="257">
        <f t="shared" si="40"/>
        <v>-0.28669382500000007</v>
      </c>
      <c r="O156" s="256" t="b">
        <f t="shared" si="53"/>
        <v>1</v>
      </c>
      <c r="P156" s="257">
        <f>COUNTIF(O$2:O156, TRUE)/(COUNTIF(O$2:O156,FALSE) + COUNTIF(O$2:O156, TRUE))</f>
        <v>0.46451612903225808</v>
      </c>
      <c r="Q156" s="255">
        <v>235497.1</v>
      </c>
      <c r="R156" s="255">
        <f t="shared" si="52"/>
        <v>49825.369999999966</v>
      </c>
      <c r="S156" s="255"/>
      <c r="T156" s="255"/>
      <c r="U156" s="257">
        <f>STDEV(D$2:D156)*SQRT(252)</f>
        <v>0.19571630227727144</v>
      </c>
      <c r="V156" s="257">
        <f>STDEV(L$2:L156)*SQRT(252)</f>
        <v>0.4074274282139313</v>
      </c>
      <c r="W156" s="256">
        <f t="shared" si="43"/>
        <v>-0.70366844533957928</v>
      </c>
    </row>
    <row r="157" spans="2:23" ht="20.100000000000001" customHeight="1" x14ac:dyDescent="0.25">
      <c r="B157" s="249">
        <v>42459</v>
      </c>
      <c r="C157" s="250">
        <v>2063.9499999999998</v>
      </c>
      <c r="D157" s="175">
        <f t="shared" si="46"/>
        <v>4.3503437939472799E-3</v>
      </c>
      <c r="E157" s="251">
        <f t="shared" si="48"/>
        <v>-1.8307300089420026E-2</v>
      </c>
      <c r="F157" s="252">
        <v>4869.29</v>
      </c>
      <c r="G157" s="175">
        <f t="shared" si="44"/>
        <v>4.6774865782751845E-3</v>
      </c>
      <c r="H157" s="253">
        <f t="shared" si="49"/>
        <v>-4.3680892432782739E-2</v>
      </c>
      <c r="I157" s="254">
        <v>288126.49</v>
      </c>
      <c r="J157" s="255">
        <v>400000</v>
      </c>
      <c r="K157" s="255">
        <f t="shared" si="51"/>
        <v>2804.0200000000186</v>
      </c>
      <c r="L157" s="175">
        <f t="shared" si="45"/>
        <v>9.8275470557927635E-3</v>
      </c>
      <c r="M157" s="256">
        <f t="shared" si="39"/>
        <v>-111873.51000000001</v>
      </c>
      <c r="N157" s="257">
        <f t="shared" si="40"/>
        <v>-0.27968377500000002</v>
      </c>
      <c r="O157" s="256" t="b">
        <f t="shared" si="53"/>
        <v>1</v>
      </c>
      <c r="P157" s="257">
        <f>COUNTIF(O$2:O157, TRUE)/(COUNTIF(O$2:O157,FALSE) + COUNTIF(O$2:O157, TRUE))</f>
        <v>0.46794871794871795</v>
      </c>
      <c r="Q157" s="255">
        <v>216771.49</v>
      </c>
      <c r="R157" s="255">
        <f t="shared" si="52"/>
        <v>71355</v>
      </c>
      <c r="S157" s="255"/>
      <c r="T157" s="255"/>
      <c r="U157" s="257">
        <f>STDEV(D$2:D157)*SQRT(252)</f>
        <v>0.19516132328288105</v>
      </c>
      <c r="V157" s="257">
        <f>STDEV(L$2:L157)*SQRT(252)</f>
        <v>0.40634858436204313</v>
      </c>
      <c r="W157" s="256">
        <f t="shared" si="43"/>
        <v>-0.68828534357784554</v>
      </c>
    </row>
    <row r="158" spans="2:23" ht="20.100000000000001" customHeight="1" x14ac:dyDescent="0.25">
      <c r="B158" s="249">
        <v>42460</v>
      </c>
      <c r="C158" s="250">
        <v>2059.7399999999998</v>
      </c>
      <c r="D158" s="175">
        <f t="shared" si="46"/>
        <v>-2.0397780953996156E-3</v>
      </c>
      <c r="E158" s="251">
        <f t="shared" si="48"/>
        <v>-2.0309735355111335E-2</v>
      </c>
      <c r="F158" s="252">
        <v>4869.84</v>
      </c>
      <c r="G158" s="175">
        <f t="shared" si="44"/>
        <v>1.129528124223823E-4</v>
      </c>
      <c r="H158" s="253">
        <f t="shared" si="49"/>
        <v>-4.3572873500009754E-2</v>
      </c>
      <c r="I158" s="489">
        <v>295667.37</v>
      </c>
      <c r="J158" s="255">
        <v>400000</v>
      </c>
      <c r="K158" s="255">
        <f t="shared" si="51"/>
        <v>7540.8800000000047</v>
      </c>
      <c r="L158" s="175">
        <f t="shared" si="45"/>
        <v>2.6172116281290222E-2</v>
      </c>
      <c r="M158" s="256">
        <f t="shared" ref="M158:M191" si="54">I158-J158</f>
        <v>-104332.63</v>
      </c>
      <c r="N158" s="257">
        <f t="shared" ref="N158:N189" si="55">M158/J158</f>
        <v>-0.26083157500000004</v>
      </c>
      <c r="O158" s="256" t="b">
        <f t="shared" si="53"/>
        <v>1</v>
      </c>
      <c r="P158" s="257">
        <f>COUNTIF(O$2:O158, TRUE)/(COUNTIF(O$2:O158,FALSE) + COUNTIF(O$2:O158, TRUE))</f>
        <v>0.4713375796178344</v>
      </c>
      <c r="Q158" s="255">
        <v>202826.77</v>
      </c>
      <c r="R158" s="255">
        <f t="shared" si="52"/>
        <v>92840.6</v>
      </c>
      <c r="S158" s="255"/>
      <c r="T158" s="255"/>
      <c r="U158" s="257">
        <f>STDEV(D$2:D158)*SQRT(252)</f>
        <v>0.19454728889036682</v>
      </c>
      <c r="V158" s="257">
        <f>STDEV(L$2:L158)*SQRT(252)</f>
        <v>0.40652602523849884</v>
      </c>
      <c r="W158" s="256">
        <f t="shared" si="43"/>
        <v>-0.64161101333420545</v>
      </c>
    </row>
    <row r="159" spans="2:23" ht="20.100000000000001" customHeight="1" x14ac:dyDescent="0.25">
      <c r="B159" s="249">
        <v>42461</v>
      </c>
      <c r="C159" s="250">
        <v>2072.7800000000002</v>
      </c>
      <c r="D159" s="175">
        <f t="shared" si="46"/>
        <v>6.3308961325217843E-3</v>
      </c>
      <c r="E159" s="251">
        <f t="shared" si="48"/>
        <v>-1.4107418047601765E-2</v>
      </c>
      <c r="F159" s="252">
        <v>4914.54</v>
      </c>
      <c r="G159" s="175">
        <f t="shared" si="44"/>
        <v>9.1789463308855762E-3</v>
      </c>
      <c r="H159" s="253">
        <f t="shared" si="49"/>
        <v>-3.4793880236463237E-2</v>
      </c>
      <c r="I159" s="254">
        <v>293885.49</v>
      </c>
      <c r="J159" s="255">
        <v>400000</v>
      </c>
      <c r="K159" s="255">
        <f t="shared" si="51"/>
        <v>-1781.8800000000047</v>
      </c>
      <c r="L159" s="175">
        <f t="shared" si="45"/>
        <v>-6.026637298529103E-3</v>
      </c>
      <c r="M159" s="256">
        <f t="shared" si="54"/>
        <v>-106114.51000000001</v>
      </c>
      <c r="N159" s="257">
        <f t="shared" si="55"/>
        <v>-0.26528627500000002</v>
      </c>
      <c r="O159" s="256" t="b">
        <f t="shared" si="53"/>
        <v>0</v>
      </c>
      <c r="P159" s="257">
        <f>COUNTIF(O$2:O159, TRUE)/(COUNTIF(O$2:O159,FALSE) + COUNTIF(O$2:O159, TRUE))</f>
        <v>0.46835443037974683</v>
      </c>
      <c r="Q159" s="255">
        <v>199513.83</v>
      </c>
      <c r="R159" s="255">
        <f t="shared" si="52"/>
        <v>94371.66</v>
      </c>
      <c r="S159" s="255"/>
      <c r="T159" s="255"/>
      <c r="U159" s="257">
        <f>STDEV(D$2:D159)*SQRT(252)</f>
        <v>0.19409152607046717</v>
      </c>
      <c r="V159" s="257">
        <f>STDEV(L$2:L159)*SQRT(252)</f>
        <v>0.40527068703901437</v>
      </c>
      <c r="W159" s="256">
        <f t="shared" si="43"/>
        <v>-0.65459033550694867</v>
      </c>
    </row>
    <row r="160" spans="2:23" ht="20.100000000000001" customHeight="1" x14ac:dyDescent="0.25">
      <c r="B160" s="176">
        <v>42464</v>
      </c>
      <c r="C160" s="220">
        <v>2066.13</v>
      </c>
      <c r="D160" s="175">
        <f t="shared" si="46"/>
        <v>-3.2082517199124318E-3</v>
      </c>
      <c r="E160" s="214">
        <f t="shared" si="48"/>
        <v>-1.7270409619299456E-2</v>
      </c>
      <c r="F160" s="224">
        <v>4891.79</v>
      </c>
      <c r="G160" s="175">
        <f t="shared" si="44"/>
        <v>-4.6291209350213854E-3</v>
      </c>
      <c r="H160" s="208">
        <f t="shared" si="49"/>
        <v>-3.9261936092071383E-2</v>
      </c>
      <c r="I160" s="226">
        <v>291382.05</v>
      </c>
      <c r="J160" s="177">
        <v>400000</v>
      </c>
      <c r="K160" s="177">
        <f t="shared" si="51"/>
        <v>-2503.4400000000023</v>
      </c>
      <c r="L160" s="175">
        <f t="shared" si="45"/>
        <v>-8.5184198784363334E-3</v>
      </c>
      <c r="M160" s="187">
        <f t="shared" si="54"/>
        <v>-108617.95000000001</v>
      </c>
      <c r="N160" s="189">
        <f t="shared" si="55"/>
        <v>-0.27154487500000002</v>
      </c>
      <c r="O160" s="187" t="b">
        <f t="shared" si="53"/>
        <v>0</v>
      </c>
      <c r="P160" s="189">
        <f>COUNTIF(O$2:O160, TRUE)/(COUNTIF(O$2:O160,FALSE) + COUNTIF(O$2:O160, TRUE))</f>
        <v>0.46540880503144655</v>
      </c>
      <c r="Q160" s="177">
        <v>199541.39</v>
      </c>
      <c r="R160" s="177">
        <f t="shared" si="52"/>
        <v>91840.659999999974</v>
      </c>
      <c r="S160" s="177"/>
      <c r="T160" s="177"/>
      <c r="U160" s="189">
        <f>STDEV(D$2:D160)*SQRT(252)</f>
        <v>0.19351440870684267</v>
      </c>
      <c r="V160" s="189">
        <f>STDEV(L$2:L160)*SQRT(252)</f>
        <v>0.40408811296561892</v>
      </c>
      <c r="W160" s="187">
        <f t="shared" si="43"/>
        <v>-0.67199421682345772</v>
      </c>
    </row>
    <row r="161" spans="2:23" ht="20.100000000000001" customHeight="1" x14ac:dyDescent="0.25">
      <c r="B161" s="176">
        <v>42465</v>
      </c>
      <c r="C161" s="220">
        <v>2045.17</v>
      </c>
      <c r="D161" s="175">
        <f t="shared" si="46"/>
        <v>-1.0144569799577004E-2</v>
      </c>
      <c r="E161" s="214">
        <f t="shared" si="48"/>
        <v>-2.7239778543026189E-2</v>
      </c>
      <c r="F161" s="224">
        <v>4843.93</v>
      </c>
      <c r="G161" s="175">
        <f t="shared" si="44"/>
        <v>-9.7837396944676028E-3</v>
      </c>
      <c r="H161" s="208">
        <f t="shared" si="49"/>
        <v>-4.8661547223913339E-2</v>
      </c>
      <c r="I161" s="226">
        <v>289909.68</v>
      </c>
      <c r="J161" s="177">
        <v>400000</v>
      </c>
      <c r="K161" s="177">
        <f t="shared" si="51"/>
        <v>-1472.3699999999953</v>
      </c>
      <c r="L161" s="175">
        <f t="shared" si="45"/>
        <v>-5.0530566313195871E-3</v>
      </c>
      <c r="M161" s="187">
        <f t="shared" si="54"/>
        <v>-110090.32</v>
      </c>
      <c r="N161" s="189">
        <f t="shared" si="55"/>
        <v>-0.27522580000000002</v>
      </c>
      <c r="O161" s="187" t="b">
        <f t="shared" si="53"/>
        <v>1</v>
      </c>
      <c r="P161" s="189">
        <f>COUNTIF(O$2:O161, TRUE)/(COUNTIF(O$2:O161,FALSE) + COUNTIF(O$2:O161, TRUE))</f>
        <v>0.46875</v>
      </c>
      <c r="Q161" s="177">
        <v>198034.04</v>
      </c>
      <c r="R161" s="177">
        <f t="shared" si="52"/>
        <v>91875.639999999985</v>
      </c>
      <c r="S161" s="177"/>
      <c r="T161" s="177"/>
      <c r="U161" s="189">
        <f>STDEV(D$2:D161)*SQRT(252)</f>
        <v>0.19332034289533651</v>
      </c>
      <c r="V161" s="189">
        <f>STDEV(L$2:L161)*SQRT(252)</f>
        <v>0.40283814257892614</v>
      </c>
      <c r="W161" s="187">
        <f t="shared" si="43"/>
        <v>-0.68321683303878389</v>
      </c>
    </row>
    <row r="162" spans="2:23" ht="20.100000000000001" customHeight="1" x14ac:dyDescent="0.25">
      <c r="B162" s="176">
        <v>42466</v>
      </c>
      <c r="C162" s="220">
        <v>2066.66</v>
      </c>
      <c r="D162" s="175">
        <f t="shared" si="46"/>
        <v>1.0507683957812691E-2</v>
      </c>
      <c r="E162" s="214">
        <f t="shared" si="48"/>
        <v>-1.7018321569224424E-2</v>
      </c>
      <c r="F162" s="224">
        <v>4920.71</v>
      </c>
      <c r="G162" s="175">
        <f t="shared" si="44"/>
        <v>1.5850765803799755E-2</v>
      </c>
      <c r="H162" s="208">
        <f t="shared" si="49"/>
        <v>-3.3582104208810373E-2</v>
      </c>
      <c r="I162" s="226">
        <v>294800.27</v>
      </c>
      <c r="J162" s="177">
        <v>400000</v>
      </c>
      <c r="K162" s="177">
        <f t="shared" si="51"/>
        <v>4890.5900000000256</v>
      </c>
      <c r="L162" s="175">
        <f t="shared" si="45"/>
        <v>1.6869357380547022E-2</v>
      </c>
      <c r="M162" s="187">
        <f t="shared" si="54"/>
        <v>-105199.72999999998</v>
      </c>
      <c r="N162" s="189">
        <f t="shared" si="55"/>
        <v>-0.26299932499999995</v>
      </c>
      <c r="O162" s="187" t="b">
        <f t="shared" si="53"/>
        <v>1</v>
      </c>
      <c r="P162" s="189">
        <f>COUNTIF(O$2:O162, TRUE)/(COUNTIF(O$2:O162,FALSE) + COUNTIF(O$2:O162, TRUE))</f>
        <v>0.47204968944099379</v>
      </c>
      <c r="Q162" s="177">
        <v>206520.01</v>
      </c>
      <c r="R162" s="177">
        <f t="shared" si="52"/>
        <v>88280.260000000009</v>
      </c>
      <c r="S162" s="177"/>
      <c r="T162" s="177"/>
      <c r="U162" s="189">
        <f>STDEV(D$2:D162)*SQRT(252)</f>
        <v>0.19317071885367709</v>
      </c>
      <c r="V162" s="189">
        <f>STDEV(L$2:L162)*SQRT(252)</f>
        <v>0.40220348115797722</v>
      </c>
      <c r="W162" s="187">
        <f t="shared" si="43"/>
        <v>-0.65389619265055354</v>
      </c>
    </row>
    <row r="163" spans="2:23" ht="20.100000000000001" customHeight="1" x14ac:dyDescent="0.25">
      <c r="B163" s="176">
        <v>42467</v>
      </c>
      <c r="C163" s="220">
        <v>2041.91</v>
      </c>
      <c r="D163" s="175">
        <f t="shared" si="46"/>
        <v>-1.1975845083371128E-2</v>
      </c>
      <c r="E163" s="214">
        <f t="shared" si="48"/>
        <v>-2.8790357869903527E-2</v>
      </c>
      <c r="F163" s="224">
        <v>4848.3599999999997</v>
      </c>
      <c r="G163" s="175">
        <f t="shared" si="44"/>
        <v>-1.4703162754968361E-2</v>
      </c>
      <c r="H163" s="208">
        <f t="shared" si="49"/>
        <v>-4.7791503819942287E-2</v>
      </c>
      <c r="I163" s="226">
        <v>296412.12</v>
      </c>
      <c r="J163" s="177">
        <v>400000</v>
      </c>
      <c r="K163" s="177">
        <f t="shared" si="51"/>
        <v>1611.8499999999767</v>
      </c>
      <c r="L163" s="175">
        <f t="shared" si="45"/>
        <v>5.4676001483986991E-3</v>
      </c>
      <c r="M163" s="187">
        <f t="shared" si="54"/>
        <v>-103587.88</v>
      </c>
      <c r="N163" s="189">
        <f t="shared" si="55"/>
        <v>-0.25896970000000002</v>
      </c>
      <c r="O163" s="187" t="b">
        <f t="shared" si="53"/>
        <v>1</v>
      </c>
      <c r="P163" s="189">
        <f>COUNTIF(O$2:O163, TRUE)/(COUNTIF(O$2:O163,FALSE) + COUNTIF(O$2:O163, TRUE))</f>
        <v>0.47530864197530864</v>
      </c>
      <c r="Q163" s="177">
        <v>210406.8</v>
      </c>
      <c r="R163" s="177">
        <f t="shared" si="52"/>
        <v>86005.32</v>
      </c>
      <c r="S163" s="177"/>
      <c r="T163" s="177"/>
      <c r="U163" s="189">
        <f>STDEV(D$2:D163)*SQRT(252)</f>
        <v>0.19314485515344837</v>
      </c>
      <c r="V163" s="189">
        <f>STDEV(L$2:L163)*SQRT(252)</f>
        <v>0.40102645372059886</v>
      </c>
      <c r="W163" s="187">
        <f t="shared" si="43"/>
        <v>-0.64576712483019405</v>
      </c>
    </row>
    <row r="164" spans="2:23" ht="20.100000000000001" customHeight="1" x14ac:dyDescent="0.25">
      <c r="B164" s="176">
        <v>42468</v>
      </c>
      <c r="C164" s="220">
        <v>2047.6</v>
      </c>
      <c r="D164" s="175">
        <f t="shared" si="46"/>
        <v>2.7866066574921654E-3</v>
      </c>
      <c r="E164" s="214">
        <f t="shared" si="48"/>
        <v>-2.6083978615323217E-2</v>
      </c>
      <c r="F164" s="224">
        <v>4850.6899999999996</v>
      </c>
      <c r="G164" s="175">
        <f t="shared" si="44"/>
        <v>4.8057487480301122E-4</v>
      </c>
      <c r="H164" s="208">
        <f t="shared" si="49"/>
        <v>-4.7333896341104194E-2</v>
      </c>
      <c r="I164" s="226">
        <v>303561.17</v>
      </c>
      <c r="J164" s="177">
        <v>400000</v>
      </c>
      <c r="K164" s="177">
        <f t="shared" si="51"/>
        <v>7149.0499999999884</v>
      </c>
      <c r="L164" s="175">
        <f t="shared" si="45"/>
        <v>2.4118615662544394E-2</v>
      </c>
      <c r="M164" s="187">
        <f t="shared" si="54"/>
        <v>-96438.830000000016</v>
      </c>
      <c r="N164" s="189">
        <f t="shared" si="55"/>
        <v>-0.24109707500000005</v>
      </c>
      <c r="O164" s="187" t="b">
        <f t="shared" si="53"/>
        <v>1</v>
      </c>
      <c r="P164" s="189">
        <f>COUNTIF(O$2:O164, TRUE)/(COUNTIF(O$2:O164,FALSE) + COUNTIF(O$2:O164, TRUE))</f>
        <v>0.4785276073619632</v>
      </c>
      <c r="Q164" s="177">
        <v>199980.39</v>
      </c>
      <c r="R164" s="177">
        <f t="shared" si="52"/>
        <v>103580.77999999997</v>
      </c>
      <c r="S164" s="177"/>
      <c r="T164" s="177"/>
      <c r="U164" s="189">
        <f>STDEV(D$2:D164)*SQRT(252)</f>
        <v>0.19257792977422014</v>
      </c>
      <c r="V164" s="189">
        <f>STDEV(L$2:L164)*SQRT(252)</f>
        <v>0.40100153728117882</v>
      </c>
      <c r="W164" s="187">
        <f t="shared" si="43"/>
        <v>-0.6012372836140647</v>
      </c>
    </row>
    <row r="165" spans="2:23" ht="20.100000000000001" customHeight="1" x14ac:dyDescent="0.25">
      <c r="B165" s="249">
        <v>42471</v>
      </c>
      <c r="C165" s="250">
        <v>2041.99</v>
      </c>
      <c r="D165" s="175">
        <f t="shared" si="46"/>
        <v>-2.7397929283062613E-3</v>
      </c>
      <c r="E165" s="251">
        <f t="shared" si="48"/>
        <v>-2.8752306843477123E-2</v>
      </c>
      <c r="F165" s="252">
        <v>4833.3900000000003</v>
      </c>
      <c r="G165" s="175">
        <f t="shared" si="44"/>
        <v>-3.5665029098951436E-3</v>
      </c>
      <c r="H165" s="253">
        <f t="shared" si="49"/>
        <v>-5.0731582771962117E-2</v>
      </c>
      <c r="I165" s="254">
        <v>301374.21999999997</v>
      </c>
      <c r="J165" s="255">
        <v>400000</v>
      </c>
      <c r="K165" s="255">
        <f t="shared" si="51"/>
        <v>-2186.9500000000116</v>
      </c>
      <c r="L165" s="175">
        <f t="shared" si="45"/>
        <v>-7.2043140431960117E-3</v>
      </c>
      <c r="M165" s="256">
        <f t="shared" si="54"/>
        <v>-98625.780000000028</v>
      </c>
      <c r="N165" s="257">
        <f t="shared" si="55"/>
        <v>-0.24656445000000007</v>
      </c>
      <c r="O165" s="256" t="b">
        <f t="shared" si="53"/>
        <v>0</v>
      </c>
      <c r="P165" s="257">
        <f>COUNTIF(O$2:O165, TRUE)/(COUNTIF(O$2:O165,FALSE) + COUNTIF(O$2:O165, TRUE))</f>
        <v>0.47560975609756095</v>
      </c>
      <c r="Q165" s="255">
        <v>209823.35</v>
      </c>
      <c r="R165" s="255">
        <f t="shared" si="52"/>
        <v>91550.869999999966</v>
      </c>
      <c r="S165" s="255"/>
      <c r="T165" s="255"/>
      <c r="U165" s="257">
        <f>STDEV(D$2:D165)*SQRT(252)</f>
        <v>0.19201090434466217</v>
      </c>
      <c r="V165" s="257">
        <f>STDEV(L$2:L165)*SQRT(252)</f>
        <v>0.39984095752163645</v>
      </c>
      <c r="W165" s="256">
        <f t="shared" si="43"/>
        <v>-0.61665631137014731</v>
      </c>
    </row>
    <row r="166" spans="2:23" ht="20.100000000000001" customHeight="1" x14ac:dyDescent="0.25">
      <c r="B166" s="249">
        <v>42472</v>
      </c>
      <c r="C166" s="250">
        <v>2061.7199999999998</v>
      </c>
      <c r="D166" s="175">
        <f>(C166-C165)/C165</f>
        <v>9.6621433013872691E-3</v>
      </c>
      <c r="E166" s="251">
        <f t="shared" si="48"/>
        <v>-1.9367972451056988E-2</v>
      </c>
      <c r="F166" s="252">
        <v>4872.09</v>
      </c>
      <c r="G166" s="175">
        <f t="shared" ref="G166:G171" si="56">(F166-F165)/F165</f>
        <v>8.0068026788651069E-3</v>
      </c>
      <c r="H166" s="253">
        <f t="shared" si="49"/>
        <v>-4.313097786593862E-2</v>
      </c>
      <c r="I166" s="254">
        <v>314750.48</v>
      </c>
      <c r="J166" s="255">
        <v>400000</v>
      </c>
      <c r="K166" s="255">
        <f t="shared" si="51"/>
        <v>13376.260000000009</v>
      </c>
      <c r="L166" s="175">
        <f t="shared" si="45"/>
        <v>4.438422105248422E-2</v>
      </c>
      <c r="M166" s="256">
        <f t="shared" si="54"/>
        <v>-85249.520000000019</v>
      </c>
      <c r="N166" s="257">
        <f t="shared" si="55"/>
        <v>-0.21312380000000006</v>
      </c>
      <c r="O166" s="256" t="b">
        <f t="shared" si="53"/>
        <v>1</v>
      </c>
      <c r="P166" s="257">
        <f>COUNTIF(O$2:O166, TRUE)/(COUNTIF(O$2:O166,FALSE) + COUNTIF(O$2:O166, TRUE))</f>
        <v>0.47878787878787876</v>
      </c>
      <c r="Q166" s="255">
        <v>212987.96</v>
      </c>
      <c r="R166" s="255">
        <f t="shared" si="52"/>
        <v>101762.51999999999</v>
      </c>
      <c r="S166" s="255"/>
      <c r="T166" s="255"/>
      <c r="U166" s="257">
        <f>STDEV(D$2:D166)*SQRT(252)</f>
        <v>0.19180360559269574</v>
      </c>
      <c r="V166" s="257">
        <f>STDEV(L$2:L166)*SQRT(252)</f>
        <v>0.40253727965834457</v>
      </c>
      <c r="W166" s="256">
        <f t="shared" si="43"/>
        <v>-0.52945108632147042</v>
      </c>
    </row>
    <row r="167" spans="2:23" ht="20.100000000000001" customHeight="1" x14ac:dyDescent="0.25">
      <c r="B167" s="249">
        <v>42473</v>
      </c>
      <c r="C167" s="250">
        <v>2082.42</v>
      </c>
      <c r="D167" s="175">
        <f>(C167-C166)/C166</f>
        <v>1.0040160642570415E-2</v>
      </c>
      <c r="E167" s="251">
        <f t="shared" si="48"/>
        <v>-9.522269363216063E-3</v>
      </c>
      <c r="F167" s="252">
        <v>4947.42</v>
      </c>
      <c r="G167" s="175">
        <f t="shared" si="56"/>
        <v>1.5461537040571896E-2</v>
      </c>
      <c r="H167" s="253">
        <f t="shared" si="49"/>
        <v>-2.8336312037237021E-2</v>
      </c>
      <c r="I167" s="254">
        <v>317683.34999999998</v>
      </c>
      <c r="J167" s="255">
        <v>400000</v>
      </c>
      <c r="K167" s="255">
        <f t="shared" si="51"/>
        <v>2932.8699999999953</v>
      </c>
      <c r="L167" s="175">
        <f t="shared" si="45"/>
        <v>9.3180795149224102E-3</v>
      </c>
      <c r="M167" s="256">
        <f t="shared" si="54"/>
        <v>-82316.650000000023</v>
      </c>
      <c r="N167" s="257">
        <f t="shared" si="55"/>
        <v>-0.20579162500000006</v>
      </c>
      <c r="O167" s="256" t="b">
        <f t="shared" si="53"/>
        <v>0</v>
      </c>
      <c r="P167" s="257">
        <f>COUNTIF(O$2:O167, TRUE)/(COUNTIF(O$2:O167,FALSE) + COUNTIF(O$2:O167, TRUE))</f>
        <v>0.4759036144578313</v>
      </c>
      <c r="Q167" s="255">
        <v>219889.91</v>
      </c>
      <c r="R167" s="255">
        <f t="shared" si="52"/>
        <v>97793.439999999973</v>
      </c>
      <c r="S167" s="255"/>
      <c r="T167" s="255"/>
      <c r="U167" s="257">
        <f>STDEV(D$2:D167)*SQRT(252)</f>
        <v>0.19162382789500107</v>
      </c>
      <c r="V167" s="257">
        <f>STDEV(L$2:L167)*SQRT(252)</f>
        <v>0.40149438106382634</v>
      </c>
      <c r="W167" s="256">
        <f t="shared" si="43"/>
        <v>-0.51256414711140119</v>
      </c>
    </row>
    <row r="168" spans="2:23" ht="20.100000000000001" customHeight="1" x14ac:dyDescent="0.25">
      <c r="B168" s="249">
        <v>42474</v>
      </c>
      <c r="C168" s="250">
        <v>2082.7800000000002</v>
      </c>
      <c r="D168" s="175">
        <f>(C168-C167)/C167</f>
        <v>1.728757887458473E-4</v>
      </c>
      <c r="E168" s="251">
        <f t="shared" si="48"/>
        <v>-9.3510397442970322E-3</v>
      </c>
      <c r="F168" s="252">
        <v>4945.88</v>
      </c>
      <c r="G168" s="175">
        <f t="shared" si="56"/>
        <v>-3.1127335055442304E-4</v>
      </c>
      <c r="H168" s="253">
        <f t="shared" si="49"/>
        <v>-2.8638765049001261E-2</v>
      </c>
      <c r="I168" s="254">
        <v>317242.28999999998</v>
      </c>
      <c r="J168" s="255">
        <v>400000</v>
      </c>
      <c r="K168" s="255">
        <f t="shared" si="51"/>
        <v>-441.05999999999767</v>
      </c>
      <c r="L168" s="175">
        <f t="shared" si="45"/>
        <v>-1.3883636016807229E-3</v>
      </c>
      <c r="M168" s="256">
        <f t="shared" si="54"/>
        <v>-82757.710000000021</v>
      </c>
      <c r="N168" s="257">
        <f t="shared" si="55"/>
        <v>-0.20689427500000004</v>
      </c>
      <c r="O168" s="256" t="b">
        <f t="shared" si="53"/>
        <v>0</v>
      </c>
      <c r="P168" s="257">
        <f>COUNTIF(O$2:O168, TRUE)/(COUNTIF(O$2:O168,FALSE) + COUNTIF(O$2:O168, TRUE))</f>
        <v>0.47305389221556887</v>
      </c>
      <c r="Q168" s="255">
        <v>220158.43</v>
      </c>
      <c r="R168" s="255">
        <f t="shared" si="52"/>
        <v>97083.859999999986</v>
      </c>
      <c r="S168" s="255"/>
      <c r="T168" s="255"/>
      <c r="U168" s="257">
        <f>STDEV(D$2:D168)*SQRT(252)</f>
        <v>0.19104236676485162</v>
      </c>
      <c r="V168" s="257">
        <f>STDEV(L$2:L168)*SQRT(252)</f>
        <v>0.40027732610236538</v>
      </c>
      <c r="W168" s="256">
        <f t="shared" si="43"/>
        <v>-0.51687732856267177</v>
      </c>
    </row>
    <row r="169" spans="2:23" ht="20.100000000000001" customHeight="1" x14ac:dyDescent="0.25">
      <c r="B169" s="249">
        <v>42475</v>
      </c>
      <c r="C169" s="250">
        <v>2080.73</v>
      </c>
      <c r="D169" s="175">
        <f>(C169-C168)/C168</f>
        <v>-9.8426141983319485E-4</v>
      </c>
      <c r="E169" s="251">
        <f t="shared" si="48"/>
        <v>-1.0326097296474589E-2</v>
      </c>
      <c r="F169" s="252">
        <v>4938.21</v>
      </c>
      <c r="G169" s="175">
        <f t="shared" si="56"/>
        <v>-1.5507857044651453E-3</v>
      </c>
      <c r="H169" s="253">
        <f t="shared" si="49"/>
        <v>-3.0145138166034879E-2</v>
      </c>
      <c r="I169" s="254">
        <v>317721.64</v>
      </c>
      <c r="J169" s="255">
        <v>400000</v>
      </c>
      <c r="K169" s="255">
        <f t="shared" si="51"/>
        <v>479.35000000003492</v>
      </c>
      <c r="L169" s="175">
        <f t="shared" si="45"/>
        <v>1.5109902276901196E-3</v>
      </c>
      <c r="M169" s="256">
        <f t="shared" si="54"/>
        <v>-82278.359999999986</v>
      </c>
      <c r="N169" s="257">
        <f t="shared" si="55"/>
        <v>-0.20569589999999996</v>
      </c>
      <c r="O169" s="256" t="b">
        <f t="shared" si="53"/>
        <v>1</v>
      </c>
      <c r="P169" s="257">
        <f>COUNTIF(O$2:O169, TRUE)/(COUNTIF(O$2:O169,FALSE) + COUNTIF(O$2:O169, TRUE))</f>
        <v>0.47619047619047616</v>
      </c>
      <c r="Q169" s="255">
        <v>227146.03</v>
      </c>
      <c r="R169" s="255">
        <f t="shared" si="52"/>
        <v>90575.610000000015</v>
      </c>
      <c r="S169" s="255"/>
      <c r="T169" s="255"/>
      <c r="U169" s="257">
        <f>STDEV(D$2:D169)*SQRT(252)</f>
        <v>0.1904700278981748</v>
      </c>
      <c r="V169" s="257">
        <f>STDEV(L$2:L169)*SQRT(252)</f>
        <v>0.39907765714792898</v>
      </c>
      <c r="W169" s="256">
        <f t="shared" si="43"/>
        <v>-0.51542825391438329</v>
      </c>
    </row>
    <row r="170" spans="2:23" ht="20.100000000000001" customHeight="1" x14ac:dyDescent="0.25">
      <c r="B170" s="176">
        <v>42478</v>
      </c>
      <c r="C170" s="220">
        <v>2094.39</v>
      </c>
      <c r="D170" s="175">
        <f>(C170-C169)/C169</f>
        <v>6.5650036285341464E-3</v>
      </c>
      <c r="E170" s="214">
        <f t="shared" si="48"/>
        <v>-3.8288845341603954E-3</v>
      </c>
      <c r="F170" s="224">
        <v>4960.01</v>
      </c>
      <c r="G170" s="175">
        <f t="shared" si="56"/>
        <v>4.414555071574555E-3</v>
      </c>
      <c r="H170" s="208">
        <f t="shared" si="49"/>
        <v>-2.5863660467034508E-2</v>
      </c>
      <c r="I170" s="226">
        <v>322899.31</v>
      </c>
      <c r="J170" s="177">
        <v>400000</v>
      </c>
      <c r="K170" s="177">
        <f t="shared" si="51"/>
        <v>5177.6699999999837</v>
      </c>
      <c r="L170" s="175">
        <f t="shared" si="45"/>
        <v>1.6296245984377972E-2</v>
      </c>
      <c r="M170" s="187">
        <f t="shared" si="54"/>
        <v>-77100.69</v>
      </c>
      <c r="N170" s="189">
        <f t="shared" si="55"/>
        <v>-0.19275172500000001</v>
      </c>
      <c r="O170" s="187" t="b">
        <f t="shared" si="53"/>
        <v>1</v>
      </c>
      <c r="P170" s="189">
        <f>COUNTIF(O$2:O170, TRUE)/(COUNTIF(O$2:O170,FALSE) + COUNTIF(O$2:O170, TRUE))</f>
        <v>0.47928994082840237</v>
      </c>
      <c r="Q170" s="177">
        <v>221962.67</v>
      </c>
      <c r="R170" s="177">
        <f t="shared" si="52"/>
        <v>100936.63999999998</v>
      </c>
      <c r="S170" s="177"/>
      <c r="T170" s="177"/>
      <c r="U170" s="189">
        <f>STDEV(D$2:D170)*SQRT(252)</f>
        <v>0.19006855377528359</v>
      </c>
      <c r="V170" s="189">
        <f>STDEV(L$2:L170)*SQRT(252)</f>
        <v>0.39841300907192778</v>
      </c>
      <c r="W170" s="187">
        <f t="shared" si="43"/>
        <v>-0.48379877316004366</v>
      </c>
    </row>
    <row r="171" spans="2:23" ht="20.100000000000001" customHeight="1" x14ac:dyDescent="0.25">
      <c r="B171" s="176">
        <v>42479</v>
      </c>
      <c r="C171" s="220">
        <v>2100.8000000000002</v>
      </c>
      <c r="D171" s="175">
        <f t="shared" ref="D171:D190" si="57">(C171-C170)/C170</f>
        <v>3.0605570118269806E-3</v>
      </c>
      <c r="E171" s="214">
        <f t="shared" si="48"/>
        <v>-7.8004604174191543E-4</v>
      </c>
      <c r="F171" s="224">
        <v>4940.33</v>
      </c>
      <c r="G171" s="175">
        <f t="shared" si="56"/>
        <v>-3.9677339360203491E-3</v>
      </c>
      <c r="H171" s="208">
        <f t="shared" si="49"/>
        <v>-2.9728774279710095E-2</v>
      </c>
      <c r="I171" s="226">
        <v>328320.36</v>
      </c>
      <c r="J171" s="177">
        <v>400000</v>
      </c>
      <c r="K171" s="177">
        <f t="shared" si="51"/>
        <v>5421.0499999999884</v>
      </c>
      <c r="L171" s="175">
        <f t="shared" si="45"/>
        <v>1.6788670127539103E-2</v>
      </c>
      <c r="M171" s="187">
        <f t="shared" si="54"/>
        <v>-71679.640000000014</v>
      </c>
      <c r="N171" s="189">
        <f t="shared" si="55"/>
        <v>-0.17919910000000003</v>
      </c>
      <c r="O171" s="187" t="b">
        <f t="shared" si="53"/>
        <v>1</v>
      </c>
      <c r="P171" s="189">
        <f>COUNTIF(O$2:O171, TRUE)/(COUNTIF(O$2:O171,FALSE) + COUNTIF(O$2:O171, TRUE))</f>
        <v>0.4823529411764706</v>
      </c>
      <c r="Q171" s="177">
        <v>219508.9</v>
      </c>
      <c r="R171" s="177">
        <f t="shared" si="52"/>
        <v>108811.45999999999</v>
      </c>
      <c r="S171" s="177"/>
      <c r="T171" s="177"/>
      <c r="U171" s="189">
        <f>STDEV(D$2:D171)*SQRT(252)</f>
        <v>0.18953771970498626</v>
      </c>
      <c r="V171" s="189">
        <f>STDEV(L$2:L171)*SQRT(252)</f>
        <v>0.39778020996769808</v>
      </c>
      <c r="W171" s="187">
        <f t="shared" si="43"/>
        <v>-0.4504977761828623</v>
      </c>
    </row>
    <row r="172" spans="2:23" ht="20.100000000000001" customHeight="1" x14ac:dyDescent="0.25">
      <c r="B172" s="176">
        <v>42480</v>
      </c>
      <c r="C172" s="220">
        <v>2102.4</v>
      </c>
      <c r="D172" s="175">
        <f t="shared" si="57"/>
        <v>7.6161462300071826E-4</v>
      </c>
      <c r="E172" s="214">
        <f t="shared" ref="E172:E191" si="58">(C172-$C$2)/$C$2</f>
        <v>-1.9025513213201623E-5</v>
      </c>
      <c r="F172" s="224">
        <v>4948.13</v>
      </c>
      <c r="G172" s="175">
        <f t="shared" ref="G172:G190" si="59">(F172-F171)/F171</f>
        <v>1.5788418992253922E-3</v>
      </c>
      <c r="H172" s="208">
        <f t="shared" si="49"/>
        <v>-2.8196869414930124E-2</v>
      </c>
      <c r="I172" s="226">
        <v>329335.82</v>
      </c>
      <c r="J172" s="177">
        <v>400000</v>
      </c>
      <c r="K172" s="177">
        <f t="shared" si="51"/>
        <v>1015.460000000021</v>
      </c>
      <c r="L172" s="175">
        <f t="shared" si="45"/>
        <v>3.0928937821584411E-3</v>
      </c>
      <c r="M172" s="187">
        <f t="shared" si="54"/>
        <v>-70664.179999999993</v>
      </c>
      <c r="N172" s="189">
        <f t="shared" si="55"/>
        <v>-0.17666044999999997</v>
      </c>
      <c r="O172" s="187" t="b">
        <f t="shared" si="53"/>
        <v>1</v>
      </c>
      <c r="P172" s="189">
        <f>COUNTIF(O$2:O172, TRUE)/(COUNTIF(O$2:O172,FALSE) + COUNTIF(O$2:O172, TRUE))</f>
        <v>0.4853801169590643</v>
      </c>
      <c r="Q172" s="177">
        <v>225120.43</v>
      </c>
      <c r="R172" s="177">
        <f t="shared" si="52"/>
        <v>104215.39000000001</v>
      </c>
      <c r="S172" s="177"/>
      <c r="T172" s="177"/>
      <c r="U172" s="189">
        <f>STDEV(D$2:D172)*SQRT(252)</f>
        <v>0.18897802119908777</v>
      </c>
      <c r="V172" s="189">
        <f>STDEV(L$2:L172)*SQRT(252)</f>
        <v>0.39662320245584515</v>
      </c>
      <c r="W172" s="187">
        <f t="shared" si="43"/>
        <v>-0.44541128432764099</v>
      </c>
    </row>
    <row r="173" spans="2:23" ht="20.100000000000001" customHeight="1" x14ac:dyDescent="0.25">
      <c r="B173" s="176">
        <v>42481</v>
      </c>
      <c r="C173" s="220">
        <v>2091.48</v>
      </c>
      <c r="D173" s="175">
        <f t="shared" si="57"/>
        <v>-5.194063926940674E-3</v>
      </c>
      <c r="E173" s="214">
        <f t="shared" si="58"/>
        <v>-5.2129906204220026E-3</v>
      </c>
      <c r="F173" s="224">
        <v>4945.88</v>
      </c>
      <c r="G173" s="175">
        <f t="shared" si="59"/>
        <v>-4.547172366126193E-4</v>
      </c>
      <c r="H173" s="208">
        <f t="shared" si="49"/>
        <v>-2.8638765049001261E-2</v>
      </c>
      <c r="I173" s="226">
        <v>327169.02</v>
      </c>
      <c r="J173" s="177">
        <v>400000</v>
      </c>
      <c r="K173" s="177">
        <f t="shared" si="51"/>
        <v>-2166.7999999999884</v>
      </c>
      <c r="L173" s="175">
        <f t="shared" si="45"/>
        <v>-6.5793025489908393E-3</v>
      </c>
      <c r="M173" s="187">
        <f t="shared" si="54"/>
        <v>-72830.979999999981</v>
      </c>
      <c r="N173" s="189">
        <f t="shared" si="55"/>
        <v>-0.18207744999999995</v>
      </c>
      <c r="O173" s="187" t="b">
        <f t="shared" si="53"/>
        <v>0</v>
      </c>
      <c r="P173" s="189">
        <f>COUNTIF(O$2:O173, TRUE)/(COUNTIF(O$2:O173,FALSE) + COUNTIF(O$2:O173, TRUE))</f>
        <v>0.48255813953488375</v>
      </c>
      <c r="Q173" s="177">
        <v>222953.63</v>
      </c>
      <c r="R173" s="177">
        <f t="shared" si="52"/>
        <v>104215.39000000001</v>
      </c>
      <c r="S173" s="177"/>
      <c r="T173" s="177"/>
      <c r="U173" s="189">
        <f>STDEV(D$2:D173)*SQRT(252)</f>
        <v>0.18852973440522966</v>
      </c>
      <c r="V173" s="189">
        <f>STDEV(L$2:L173)*SQRT(252)</f>
        <v>0.39552870627175002</v>
      </c>
      <c r="W173" s="187">
        <f t="shared" si="43"/>
        <v>-0.46033940675573293</v>
      </c>
    </row>
    <row r="174" spans="2:23" ht="20.100000000000001" customHeight="1" x14ac:dyDescent="0.25">
      <c r="B174" s="176">
        <v>42482</v>
      </c>
      <c r="C174" s="220">
        <v>2091.58</v>
      </c>
      <c r="D174" s="175">
        <f t="shared" si="57"/>
        <v>4.7813031919936622E-5</v>
      </c>
      <c r="E174" s="214">
        <f t="shared" si="58"/>
        <v>-5.1654268373889992E-3</v>
      </c>
      <c r="F174" s="224">
        <v>4906.28</v>
      </c>
      <c r="G174" s="175">
        <f t="shared" si="59"/>
        <v>-8.006664132571022E-3</v>
      </c>
      <c r="H174" s="208">
        <f t="shared" ref="H174:H191" si="60">(F174-F$2)/F$2</f>
        <v>-3.6416128208653316E-2</v>
      </c>
      <c r="I174" s="226">
        <v>331471.71000000002</v>
      </c>
      <c r="J174" s="177">
        <v>400000</v>
      </c>
      <c r="K174" s="177">
        <f t="shared" si="51"/>
        <v>4302.6900000000023</v>
      </c>
      <c r="L174" s="175">
        <f t="shared" si="45"/>
        <v>1.3151275753431673E-2</v>
      </c>
      <c r="M174" s="187">
        <f t="shared" si="54"/>
        <v>-68528.289999999979</v>
      </c>
      <c r="N174" s="189">
        <f t="shared" si="55"/>
        <v>-0.17132072499999995</v>
      </c>
      <c r="O174" s="187" t="b">
        <f t="shared" si="53"/>
        <v>1</v>
      </c>
      <c r="P174" s="189">
        <f>COUNTIF(O$2:O174, TRUE)/(COUNTIF(O$2:O174,FALSE) + COUNTIF(O$2:O174, TRUE))</f>
        <v>0.48554913294797686</v>
      </c>
      <c r="Q174" s="177">
        <v>230600.27</v>
      </c>
      <c r="R174" s="177">
        <f t="shared" si="52"/>
        <v>100871.44000000003</v>
      </c>
      <c r="S174" s="177"/>
      <c r="T174" s="177"/>
      <c r="U174" s="189">
        <f>STDEV(D$2:D174)*SQRT(252)</f>
        <v>0.18797766983654679</v>
      </c>
      <c r="V174" s="189">
        <f>STDEV(L$2:L174)*SQRT(252)</f>
        <v>0.39470764282961784</v>
      </c>
      <c r="W174" s="187">
        <f t="shared" si="43"/>
        <v>-0.43404461026348407</v>
      </c>
    </row>
    <row r="175" spans="2:23" ht="20.100000000000001" customHeight="1" x14ac:dyDescent="0.25">
      <c r="B175" s="249">
        <v>42485</v>
      </c>
      <c r="C175" s="250">
        <v>2087.79</v>
      </c>
      <c r="D175" s="175">
        <f t="shared" si="57"/>
        <v>-1.8120272712494688E-3</v>
      </c>
      <c r="E175" s="251">
        <f t="shared" si="58"/>
        <v>-6.9680942143414753E-3</v>
      </c>
      <c r="F175" s="252">
        <v>4895.78</v>
      </c>
      <c r="G175" s="175">
        <f t="shared" si="59"/>
        <v>-2.140114302485794E-3</v>
      </c>
      <c r="H175" s="253">
        <f t="shared" si="60"/>
        <v>-3.8478307834318611E-2</v>
      </c>
      <c r="I175" s="254">
        <v>325541.03000000003</v>
      </c>
      <c r="J175" s="255">
        <v>400000</v>
      </c>
      <c r="K175" s="255">
        <f t="shared" si="51"/>
        <v>-5930.679999999993</v>
      </c>
      <c r="L175" s="175">
        <f t="shared" si="45"/>
        <v>-1.7891964294630129E-2</v>
      </c>
      <c r="M175" s="256">
        <f t="shared" si="54"/>
        <v>-74458.969999999972</v>
      </c>
      <c r="N175" s="257">
        <f t="shared" si="55"/>
        <v>-0.18614742499999992</v>
      </c>
      <c r="O175" s="256" t="b">
        <f t="shared" si="53"/>
        <v>0</v>
      </c>
      <c r="P175" s="257">
        <f>COUNTIF(O$2:O175, TRUE)/(COUNTIF(O$2:O175,FALSE) + COUNTIF(O$2:O175, TRUE))</f>
        <v>0.48275862068965519</v>
      </c>
      <c r="Q175" s="255">
        <v>238708.14</v>
      </c>
      <c r="R175" s="255">
        <f t="shared" si="52"/>
        <v>86832.890000000014</v>
      </c>
      <c r="S175" s="255"/>
      <c r="T175" s="255"/>
      <c r="U175" s="257">
        <f>STDEV(D$2:D175)*SQRT(252)</f>
        <v>0.18744374998531149</v>
      </c>
      <c r="V175" s="257">
        <f>STDEV(L$2:L175)*SQRT(252)</f>
        <v>0.39413441432117591</v>
      </c>
      <c r="W175" s="256">
        <f t="shared" si="43"/>
        <v>-0.47229426874738822</v>
      </c>
    </row>
    <row r="176" spans="2:23" ht="20.100000000000001" customHeight="1" x14ac:dyDescent="0.25">
      <c r="B176" s="249">
        <v>42486</v>
      </c>
      <c r="C176" s="340">
        <v>2091.6999999999998</v>
      </c>
      <c r="D176" s="175">
        <f t="shared" si="57"/>
        <v>1.8727937196748019E-3</v>
      </c>
      <c r="E176" s="251">
        <f t="shared" si="58"/>
        <v>-5.1083502977493939E-3</v>
      </c>
      <c r="F176" s="252">
        <v>4888.28</v>
      </c>
      <c r="G176" s="175">
        <f t="shared" si="59"/>
        <v>-1.5319315818929772E-3</v>
      </c>
      <c r="H176" s="253">
        <f t="shared" si="60"/>
        <v>-3.9951293281222398E-2</v>
      </c>
      <c r="I176" s="254">
        <v>336797.26</v>
      </c>
      <c r="J176" s="255">
        <v>400000</v>
      </c>
      <c r="K176" s="255">
        <f t="shared" si="51"/>
        <v>11256.229999999981</v>
      </c>
      <c r="L176" s="175">
        <f t="shared" si="45"/>
        <v>3.4576993259497826E-2</v>
      </c>
      <c r="M176" s="256">
        <f t="shared" si="54"/>
        <v>-63202.739999999991</v>
      </c>
      <c r="N176" s="257">
        <f t="shared" si="55"/>
        <v>-0.15800684999999998</v>
      </c>
      <c r="O176" s="256" t="b">
        <f t="shared" si="53"/>
        <v>1</v>
      </c>
      <c r="P176" s="257">
        <f>COUNTIF(O$2:O176, TRUE)/(COUNTIF(O$2:O176,FALSE) + COUNTIF(O$2:O176, TRUE))</f>
        <v>0.48571428571428571</v>
      </c>
      <c r="Q176" s="255">
        <v>231627.32</v>
      </c>
      <c r="R176" s="255">
        <f t="shared" si="52"/>
        <v>105169.94</v>
      </c>
      <c r="S176" s="255"/>
      <c r="T176" s="255"/>
      <c r="U176" s="257">
        <f>STDEV(D$2:D176)*SQRT(252)</f>
        <v>0.18691439115354258</v>
      </c>
      <c r="V176" s="257">
        <f>STDEV(L$2:L176)*SQRT(252)</f>
        <v>0.39523474671048564</v>
      </c>
      <c r="W176" s="256">
        <f t="shared" si="43"/>
        <v>-0.39977975447523584</v>
      </c>
    </row>
    <row r="177" spans="2:23" ht="20.100000000000001" customHeight="1" x14ac:dyDescent="0.25">
      <c r="B177" s="249">
        <v>42487</v>
      </c>
      <c r="C177" s="340">
        <v>2095.15</v>
      </c>
      <c r="D177" s="175">
        <f t="shared" si="57"/>
        <v>1.6493761055602013E-3</v>
      </c>
      <c r="E177" s="251">
        <f t="shared" si="58"/>
        <v>-3.4673997831091321E-3</v>
      </c>
      <c r="F177" s="252">
        <v>4863.1400000000003</v>
      </c>
      <c r="G177" s="175">
        <f t="shared" si="59"/>
        <v>-5.1429132537414834E-3</v>
      </c>
      <c r="H177" s="253">
        <f t="shared" si="60"/>
        <v>-4.4888740499243768E-2</v>
      </c>
      <c r="I177" s="254">
        <v>341540.33</v>
      </c>
      <c r="J177" s="255">
        <v>400000</v>
      </c>
      <c r="K177" s="255">
        <f t="shared" si="51"/>
        <v>4743.070000000007</v>
      </c>
      <c r="L177" s="175">
        <f t="shared" si="45"/>
        <v>1.4082863975793648E-2</v>
      </c>
      <c r="M177" s="256">
        <f t="shared" si="54"/>
        <v>-58459.669999999984</v>
      </c>
      <c r="N177" s="257">
        <f t="shared" si="55"/>
        <v>-0.14614917499999996</v>
      </c>
      <c r="O177" s="256" t="b">
        <f t="shared" si="53"/>
        <v>1</v>
      </c>
      <c r="P177" s="257">
        <f>COUNTIF(O$2:O177, TRUE)/(COUNTIF(O$2:O177,FALSE) + COUNTIF(O$2:O177, TRUE))</f>
        <v>0.48863636363636365</v>
      </c>
      <c r="Q177" s="255">
        <v>245489.82</v>
      </c>
      <c r="R177" s="255">
        <f t="shared" si="52"/>
        <v>96050.510000000009</v>
      </c>
      <c r="S177" s="255"/>
      <c r="T177" s="255"/>
      <c r="U177" s="257">
        <f>STDEV(D$2:D177)*SQRT(252)</f>
        <v>0.18638651777551687</v>
      </c>
      <c r="V177" s="257">
        <f>STDEV(L$2:L177)*SQRT(252)</f>
        <v>0.39446713655061666</v>
      </c>
      <c r="W177" s="256">
        <f t="shared" si="43"/>
        <v>-0.37049772074294612</v>
      </c>
    </row>
    <row r="178" spans="2:23" ht="20.100000000000001" customHeight="1" x14ac:dyDescent="0.25">
      <c r="B178" s="249">
        <v>42488</v>
      </c>
      <c r="C178" s="340">
        <v>2075.81</v>
      </c>
      <c r="D178" s="175">
        <f t="shared" si="57"/>
        <v>-9.2308426604301094E-3</v>
      </c>
      <c r="E178" s="251">
        <f t="shared" si="58"/>
        <v>-1.2666235421700553E-2</v>
      </c>
      <c r="F178" s="252">
        <v>4805.29</v>
      </c>
      <c r="G178" s="175">
        <f t="shared" si="59"/>
        <v>-1.1895606542275229E-2</v>
      </c>
      <c r="H178" s="253">
        <f t="shared" si="60"/>
        <v>-5.6250368246361697E-2</v>
      </c>
      <c r="I178" s="254">
        <v>336936.02</v>
      </c>
      <c r="J178" s="255">
        <v>400000</v>
      </c>
      <c r="K178" s="255">
        <f t="shared" si="51"/>
        <v>-4604.3099999999977</v>
      </c>
      <c r="L178" s="175">
        <f t="shared" si="45"/>
        <v>-1.3481014086974729E-2</v>
      </c>
      <c r="M178" s="256">
        <f t="shared" si="54"/>
        <v>-63063.979999999981</v>
      </c>
      <c r="N178" s="257">
        <f t="shared" si="55"/>
        <v>-0.15765994999999997</v>
      </c>
      <c r="O178" s="256" t="b">
        <f t="shared" si="53"/>
        <v>0</v>
      </c>
      <c r="P178" s="257">
        <f>COUNTIF(O$2:O178, TRUE)/(COUNTIF(O$2:O178,FALSE) + COUNTIF(O$2:O178, TRUE))</f>
        <v>0.48587570621468928</v>
      </c>
      <c r="Q178" s="255">
        <v>254190.85</v>
      </c>
      <c r="R178" s="255">
        <f t="shared" si="52"/>
        <v>82745.170000000013</v>
      </c>
      <c r="S178" s="255"/>
      <c r="T178" s="255"/>
      <c r="U178" s="257">
        <f>STDEV(D$2:D178)*SQRT(252)</f>
        <v>0.18618462851964468</v>
      </c>
      <c r="V178" s="257">
        <f>STDEV(L$2:L178)*SQRT(252)</f>
        <v>0.39366590594633838</v>
      </c>
      <c r="W178" s="256">
        <f t="shared" si="43"/>
        <v>-0.40049175612757026</v>
      </c>
    </row>
    <row r="179" spans="2:23" ht="20.100000000000001" customHeight="1" x14ac:dyDescent="0.25">
      <c r="B179" s="249">
        <v>42489</v>
      </c>
      <c r="C179" s="340">
        <v>2065.3000000000002</v>
      </c>
      <c r="D179" s="175">
        <f t="shared" si="57"/>
        <v>-5.0630838082482326E-3</v>
      </c>
      <c r="E179" s="251">
        <f t="shared" si="58"/>
        <v>-1.7665189018473713E-2</v>
      </c>
      <c r="F179" s="252">
        <v>4775.3599999999997</v>
      </c>
      <c r="G179" s="175">
        <f t="shared" si="59"/>
        <v>-6.2285522830048323E-3</v>
      </c>
      <c r="H179" s="253">
        <f t="shared" si="60"/>
        <v>-6.2128562169805793E-2</v>
      </c>
      <c r="I179" s="489">
        <v>329545.53999999998</v>
      </c>
      <c r="J179" s="255">
        <v>400000</v>
      </c>
      <c r="K179" s="255">
        <f t="shared" si="51"/>
        <v>-7390.4800000000396</v>
      </c>
      <c r="L179" s="175">
        <f t="shared" si="45"/>
        <v>-2.1934371991454163E-2</v>
      </c>
      <c r="M179" s="256">
        <f t="shared" si="54"/>
        <v>-70454.460000000021</v>
      </c>
      <c r="N179" s="257">
        <f t="shared" si="55"/>
        <v>-0.17613615000000005</v>
      </c>
      <c r="O179" s="256" t="b">
        <f t="shared" si="53"/>
        <v>0</v>
      </c>
      <c r="P179" s="257">
        <f>COUNTIF(O$2:O179, TRUE)/(COUNTIF(O$2:O179,FALSE) + COUNTIF(O$2:O179, TRUE))</f>
        <v>0.48314606741573035</v>
      </c>
      <c r="Q179" s="255">
        <v>264639.32</v>
      </c>
      <c r="R179" s="255">
        <f t="shared" si="52"/>
        <v>64906.219999999972</v>
      </c>
      <c r="S179" s="255"/>
      <c r="T179" s="255"/>
      <c r="U179" s="257">
        <f>STDEV(D$2:D179)*SQRT(252)</f>
        <v>0.18575305494733241</v>
      </c>
      <c r="V179" s="257">
        <f>STDEV(L$2:L179)*SQRT(252)</f>
        <v>0.39340624271023572</v>
      </c>
      <c r="W179" s="256">
        <f t="shared" si="43"/>
        <v>-0.44772078039883456</v>
      </c>
    </row>
    <row r="180" spans="2:23" ht="20.100000000000001" customHeight="1" x14ac:dyDescent="0.25">
      <c r="B180" s="176">
        <v>42492</v>
      </c>
      <c r="C180" s="220">
        <v>2081.4299999999998</v>
      </c>
      <c r="D180" s="175">
        <f t="shared" si="57"/>
        <v>7.8100033893379424E-3</v>
      </c>
      <c r="E180" s="214">
        <f t="shared" si="58"/>
        <v>-9.9931508152433443E-3</v>
      </c>
      <c r="F180" s="224">
        <v>4817.59</v>
      </c>
      <c r="G180" s="175">
        <f t="shared" si="59"/>
        <v>8.8433123366616281E-3</v>
      </c>
      <c r="H180" s="208">
        <f t="shared" si="60"/>
        <v>-5.3834672113439459E-2</v>
      </c>
      <c r="I180" s="226">
        <v>323730.93</v>
      </c>
      <c r="J180" s="177">
        <v>400000</v>
      </c>
      <c r="K180" s="177">
        <f t="shared" si="51"/>
        <v>-5814.609999999986</v>
      </c>
      <c r="L180" s="175">
        <f t="shared" si="45"/>
        <v>-1.7644329217746314E-2</v>
      </c>
      <c r="M180" s="187">
        <f t="shared" si="54"/>
        <v>-76269.070000000007</v>
      </c>
      <c r="N180" s="189">
        <f t="shared" si="55"/>
        <v>-0.19067267500000001</v>
      </c>
      <c r="O180" s="187" t="b">
        <f t="shared" si="53"/>
        <v>0</v>
      </c>
      <c r="P180" s="189">
        <f>COUNTIF(O$2:O180, TRUE)/(COUNTIF(O$2:O180,FALSE) + COUNTIF(O$2:O180, TRUE))</f>
        <v>0.48044692737430167</v>
      </c>
      <c r="Q180" s="177">
        <v>258410.3</v>
      </c>
      <c r="R180" s="177">
        <f t="shared" si="52"/>
        <v>65320.630000000005</v>
      </c>
      <c r="S180" s="177"/>
      <c r="T180" s="177"/>
      <c r="U180" s="189">
        <f>STDEV(D$2:D180)*SQRT(252)</f>
        <v>0.18546248521467029</v>
      </c>
      <c r="V180" s="189">
        <f>STDEV(L$2:L180)*SQRT(252)</f>
        <v>0.39283799176483652</v>
      </c>
      <c r="W180" s="187">
        <f t="shared" si="43"/>
        <v>-0.48537228831508195</v>
      </c>
    </row>
    <row r="181" spans="2:23" ht="20.100000000000001" customHeight="1" x14ac:dyDescent="0.25">
      <c r="B181" s="176">
        <v>42493</v>
      </c>
      <c r="C181" s="220">
        <v>2063.37</v>
      </c>
      <c r="D181" s="175">
        <f t="shared" si="57"/>
        <v>-8.6767270578400179E-3</v>
      </c>
      <c r="E181" s="214">
        <f t="shared" si="58"/>
        <v>-1.8583170031011665E-2</v>
      </c>
      <c r="F181" s="224">
        <v>4763.22</v>
      </c>
      <c r="G181" s="175">
        <f t="shared" si="59"/>
        <v>-1.1285725850477083E-2</v>
      </c>
      <c r="H181" s="208">
        <f t="shared" si="60"/>
        <v>-6.4512834613193945E-2</v>
      </c>
      <c r="I181" s="226">
        <v>314233.52</v>
      </c>
      <c r="J181" s="177">
        <v>400000</v>
      </c>
      <c r="K181" s="177">
        <f t="shared" si="51"/>
        <v>-9497.4099999999744</v>
      </c>
      <c r="L181" s="175">
        <f t="shared" si="45"/>
        <v>-2.9337357415925549E-2</v>
      </c>
      <c r="M181" s="187">
        <f t="shared" si="54"/>
        <v>-85766.479999999981</v>
      </c>
      <c r="N181" s="189">
        <f t="shared" si="55"/>
        <v>-0.21441619999999995</v>
      </c>
      <c r="O181" s="187" t="b">
        <f t="shared" si="53"/>
        <v>0</v>
      </c>
      <c r="P181" s="189">
        <f>COUNTIF(O$2:O181, TRUE)/(COUNTIF(O$2:O181,FALSE) + COUNTIF(O$2:O181, TRUE))</f>
        <v>0.4777777777777778</v>
      </c>
      <c r="Q181" s="177">
        <v>250705.72</v>
      </c>
      <c r="R181" s="177">
        <f t="shared" si="52"/>
        <v>63527.800000000017</v>
      </c>
      <c r="S181" s="177"/>
      <c r="T181" s="177"/>
      <c r="U181" s="189">
        <f>STDEV(D$2:D181)*SQRT(252)</f>
        <v>0.18522787612316166</v>
      </c>
      <c r="V181" s="189">
        <f>STDEV(L$2:L181)*SQRT(252)</f>
        <v>0.3932386492905699</v>
      </c>
      <c r="W181" s="187">
        <f t="shared" si="43"/>
        <v>-0.5452571876818868</v>
      </c>
    </row>
    <row r="182" spans="2:23" ht="20.100000000000001" customHeight="1" x14ac:dyDescent="0.25">
      <c r="B182" s="176">
        <v>42494</v>
      </c>
      <c r="C182" s="220">
        <v>2051.12</v>
      </c>
      <c r="D182" s="175">
        <f t="shared" si="57"/>
        <v>-5.9368896513955329E-3</v>
      </c>
      <c r="E182" s="214">
        <f t="shared" si="58"/>
        <v>-2.4409733452559961E-2</v>
      </c>
      <c r="F182" s="224">
        <v>4725.6400000000003</v>
      </c>
      <c r="G182" s="175">
        <f t="shared" si="59"/>
        <v>-7.8896208867110743E-3</v>
      </c>
      <c r="H182" s="208">
        <f t="shared" si="60"/>
        <v>-7.1893473692479823E-2</v>
      </c>
      <c r="I182" s="226">
        <v>304379.90999999997</v>
      </c>
      <c r="J182" s="177">
        <v>400000</v>
      </c>
      <c r="K182" s="177">
        <f t="shared" si="51"/>
        <v>-9853.6100000000442</v>
      </c>
      <c r="L182" s="175">
        <f t="shared" si="45"/>
        <v>-3.135760309721268E-2</v>
      </c>
      <c r="M182" s="187">
        <f t="shared" si="54"/>
        <v>-95620.090000000026</v>
      </c>
      <c r="N182" s="189">
        <f t="shared" si="55"/>
        <v>-0.23905022500000006</v>
      </c>
      <c r="O182" s="187" t="b">
        <f t="shared" si="53"/>
        <v>0</v>
      </c>
      <c r="P182" s="189">
        <f>COUNTIF(O$2:O182, TRUE)/(COUNTIF(O$2:O182,FALSE) + COUNTIF(O$2:O182, TRUE))</f>
        <v>0.47513812154696133</v>
      </c>
      <c r="Q182" s="177">
        <v>275717.40999999997</v>
      </c>
      <c r="R182" s="177">
        <f t="shared" si="52"/>
        <v>28662.5</v>
      </c>
      <c r="S182" s="177"/>
      <c r="T182" s="177"/>
      <c r="U182" s="189">
        <f>STDEV(D$2:D182)*SQRT(252)</f>
        <v>0.18484162325464118</v>
      </c>
      <c r="V182" s="189">
        <f>STDEV(L$2:L182)*SQRT(252)</f>
        <v>0.39383207665570702</v>
      </c>
      <c r="W182" s="187">
        <f t="shared" si="43"/>
        <v>-0.60698515730342806</v>
      </c>
    </row>
    <row r="183" spans="2:23" ht="20.100000000000001" customHeight="1" x14ac:dyDescent="0.25">
      <c r="B183" s="176">
        <v>42495</v>
      </c>
      <c r="C183" s="220">
        <v>2050.63</v>
      </c>
      <c r="D183" s="175">
        <f t="shared" si="57"/>
        <v>-2.3889387261583024E-4</v>
      </c>
      <c r="E183" s="214">
        <f t="shared" si="58"/>
        <v>-2.464279598942179E-2</v>
      </c>
      <c r="F183" s="224">
        <v>4717.09</v>
      </c>
      <c r="G183" s="175">
        <f t="shared" si="59"/>
        <v>-1.8092787431967271E-3</v>
      </c>
      <c r="H183" s="208">
        <f t="shared" si="60"/>
        <v>-7.3572677101950174E-2</v>
      </c>
      <c r="I183" s="226">
        <v>304854.58</v>
      </c>
      <c r="J183" s="177">
        <v>400000</v>
      </c>
      <c r="K183" s="177">
        <f t="shared" si="51"/>
        <v>474.67000000004191</v>
      </c>
      <c r="L183" s="175">
        <f t="shared" si="45"/>
        <v>1.5594656033640392E-3</v>
      </c>
      <c r="M183" s="187">
        <f t="shared" si="54"/>
        <v>-95145.419999999984</v>
      </c>
      <c r="N183" s="189">
        <f t="shared" si="55"/>
        <v>-0.23786354999999995</v>
      </c>
      <c r="O183" s="187" t="b">
        <f t="shared" si="53"/>
        <v>1</v>
      </c>
      <c r="P183" s="189">
        <f>COUNTIF(O$2:O183, TRUE)/(COUNTIF(O$2:O183,FALSE) + COUNTIF(O$2:O183, TRUE))</f>
        <v>0.47802197802197804</v>
      </c>
      <c r="Q183" s="177">
        <v>244688.61</v>
      </c>
      <c r="R183" s="177">
        <f t="shared" si="52"/>
        <v>60165.97000000003</v>
      </c>
      <c r="S183" s="177"/>
      <c r="T183" s="177"/>
      <c r="U183" s="189">
        <f>STDEV(D$2:D183)*SQRT(252)</f>
        <v>0.18432756719124724</v>
      </c>
      <c r="V183" s="189">
        <f>STDEV(L$2:L183)*SQRT(252)</f>
        <v>0.39274558948509919</v>
      </c>
      <c r="W183" s="187">
        <f t="shared" si="43"/>
        <v>-0.60564282927236923</v>
      </c>
    </row>
    <row r="184" spans="2:23" ht="20.100000000000001" customHeight="1" x14ac:dyDescent="0.25">
      <c r="B184" s="176">
        <v>42496</v>
      </c>
      <c r="C184" s="220">
        <v>2057.14</v>
      </c>
      <c r="D184" s="175">
        <f t="shared" si="57"/>
        <v>3.1746341368261281E-3</v>
      </c>
      <c r="E184" s="214">
        <f t="shared" si="58"/>
        <v>-2.1546393713970519E-2</v>
      </c>
      <c r="F184" s="224">
        <v>4736.1499999999996</v>
      </c>
      <c r="G184" s="175">
        <f t="shared" si="59"/>
        <v>4.0406267423346784E-3</v>
      </c>
      <c r="H184" s="208">
        <f t="shared" si="60"/>
        <v>-6.9829330086218791E-2</v>
      </c>
      <c r="I184" s="226">
        <v>304553.01</v>
      </c>
      <c r="J184" s="177">
        <v>400000</v>
      </c>
      <c r="K184" s="177">
        <f t="shared" ref="K184:K191" si="61">I184-I183-J184+J183</f>
        <v>-301.57000000000698</v>
      </c>
      <c r="L184" s="175">
        <f t="shared" si="45"/>
        <v>-9.8922574822397935E-4</v>
      </c>
      <c r="M184" s="187">
        <f t="shared" si="54"/>
        <v>-95446.989999999991</v>
      </c>
      <c r="N184" s="189">
        <f t="shared" si="55"/>
        <v>-0.23861747499999997</v>
      </c>
      <c r="O184" s="187" t="b">
        <f t="shared" si="53"/>
        <v>0</v>
      </c>
      <c r="P184" s="189">
        <f>COUNTIF(O$2:O184, TRUE)/(COUNTIF(O$2:O184,FALSE) + COUNTIF(O$2:O184, TRUE))</f>
        <v>0.47540983606557374</v>
      </c>
      <c r="Q184" s="177">
        <v>244387.04</v>
      </c>
      <c r="R184" s="177">
        <f t="shared" si="52"/>
        <v>60165.97</v>
      </c>
      <c r="S184" s="177"/>
      <c r="T184" s="177"/>
      <c r="U184" s="189">
        <f>STDEV(D$2:D184)*SQRT(252)</f>
        <v>0.18385733310568392</v>
      </c>
      <c r="V184" s="189">
        <f>STDEV(L$2:L184)*SQRT(252)</f>
        <v>0.39165931974206192</v>
      </c>
      <c r="W184" s="187">
        <f t="shared" si="43"/>
        <v>-0.60924753471243354</v>
      </c>
    </row>
    <row r="185" spans="2:23" ht="20.100000000000001" customHeight="1" x14ac:dyDescent="0.25">
      <c r="B185" s="249">
        <v>42499</v>
      </c>
      <c r="C185" s="250">
        <v>2058.69</v>
      </c>
      <c r="D185" s="175">
        <f t="shared" si="57"/>
        <v>7.5347326871296166E-4</v>
      </c>
      <c r="E185" s="251">
        <f t="shared" si="58"/>
        <v>-2.08091550769582E-2</v>
      </c>
      <c r="F185" s="252">
        <v>4750.2</v>
      </c>
      <c r="G185" s="175">
        <f t="shared" si="59"/>
        <v>2.9665445562324214E-3</v>
      </c>
      <c r="H185" s="253">
        <f t="shared" si="60"/>
        <v>-6.706993734901899E-2</v>
      </c>
      <c r="I185" s="254">
        <v>298140.64</v>
      </c>
      <c r="J185" s="255">
        <v>400000</v>
      </c>
      <c r="K185" s="255">
        <f t="shared" si="61"/>
        <v>-6412.3699999999953</v>
      </c>
      <c r="L185" s="175">
        <f t="shared" si="45"/>
        <v>-2.1055020930510572E-2</v>
      </c>
      <c r="M185" s="256">
        <f t="shared" si="54"/>
        <v>-101859.35999999999</v>
      </c>
      <c r="N185" s="257">
        <f t="shared" si="55"/>
        <v>-0.25464839999999994</v>
      </c>
      <c r="O185" s="256" t="b">
        <f t="shared" si="53"/>
        <v>0</v>
      </c>
      <c r="P185" s="257">
        <f>COUNTIF(O$2:O185, TRUE)/(COUNTIF(O$2:O185,FALSE) + COUNTIF(O$2:O185, TRUE))</f>
        <v>0.47282608695652173</v>
      </c>
      <c r="Q185" s="255">
        <v>244388.04</v>
      </c>
      <c r="R185" s="255">
        <f t="shared" si="52"/>
        <v>53752.600000000006</v>
      </c>
      <c r="S185" s="255"/>
      <c r="T185" s="255"/>
      <c r="U185" s="257">
        <f>STDEV(D$2:D185)*SQRT(252)</f>
        <v>0.18335397650588192</v>
      </c>
      <c r="V185" s="257">
        <f>STDEV(L$2:L185)*SQRT(252)</f>
        <v>0.39131263252933984</v>
      </c>
      <c r="W185" s="256">
        <f t="shared" si="43"/>
        <v>-0.65075435554947725</v>
      </c>
    </row>
    <row r="186" spans="2:23" ht="20.100000000000001" customHeight="1" x14ac:dyDescent="0.25">
      <c r="B186" s="249">
        <v>42500</v>
      </c>
      <c r="C186" s="250">
        <v>2084.39</v>
      </c>
      <c r="D186" s="175">
        <f t="shared" si="57"/>
        <v>1.2483666797817941E-2</v>
      </c>
      <c r="E186" s="251">
        <f t="shared" si="58"/>
        <v>-8.5852628374651265E-3</v>
      </c>
      <c r="F186" s="252">
        <v>4809.88</v>
      </c>
      <c r="G186" s="175">
        <f t="shared" si="59"/>
        <v>1.2563681529198832E-2</v>
      </c>
      <c r="H186" s="253">
        <f t="shared" si="60"/>
        <v>-5.5348901152856553E-2</v>
      </c>
      <c r="I186" s="254">
        <v>304800.26</v>
      </c>
      <c r="J186" s="255">
        <v>400000</v>
      </c>
      <c r="K186" s="255">
        <f t="shared" si="61"/>
        <v>6659.6199999999953</v>
      </c>
      <c r="L186" s="175">
        <f t="shared" si="45"/>
        <v>2.2337176172963186E-2</v>
      </c>
      <c r="M186" s="256">
        <f t="shared" si="54"/>
        <v>-95199.739999999991</v>
      </c>
      <c r="N186" s="257">
        <f t="shared" si="55"/>
        <v>-0.23799934999999997</v>
      </c>
      <c r="O186" s="256" t="b">
        <f t="shared" si="53"/>
        <v>1</v>
      </c>
      <c r="P186" s="257">
        <f>COUNTIF(O$2:O186, TRUE)/(COUNTIF(O$2:O186,FALSE) + COUNTIF(O$2:O186, TRUE))</f>
        <v>0.4756756756756757</v>
      </c>
      <c r="Q186" s="255">
        <v>245950.62</v>
      </c>
      <c r="R186" s="255">
        <f t="shared" si="52"/>
        <v>58849.640000000014</v>
      </c>
      <c r="S186" s="255"/>
      <c r="T186" s="255"/>
      <c r="U186" s="257">
        <f>STDEV(D$2:D186)*SQRT(252)</f>
        <v>0.1834395508093867</v>
      </c>
      <c r="V186" s="257">
        <f>STDEV(L$2:L186)*SQRT(252)</f>
        <v>0.39117995017069312</v>
      </c>
      <c r="W186" s="256">
        <f t="shared" si="43"/>
        <v>-0.6084139790297225</v>
      </c>
    </row>
    <row r="187" spans="2:23" ht="20.100000000000001" customHeight="1" x14ac:dyDescent="0.25">
      <c r="B187" s="249">
        <v>42501</v>
      </c>
      <c r="C187" s="250">
        <v>2064.46</v>
      </c>
      <c r="D187" s="175">
        <f t="shared" si="57"/>
        <v>-9.5615503816463502E-3</v>
      </c>
      <c r="E187" s="251">
        <f t="shared" si="58"/>
        <v>-1.8064724795951378E-2</v>
      </c>
      <c r="F187" s="252">
        <v>4760.68</v>
      </c>
      <c r="G187" s="175">
        <f t="shared" si="59"/>
        <v>-1.0228945420675737E-2</v>
      </c>
      <c r="H187" s="253">
        <f t="shared" si="60"/>
        <v>-6.5011685684545351E-2</v>
      </c>
      <c r="I187" s="254">
        <v>308835.23</v>
      </c>
      <c r="J187" s="255">
        <v>400000</v>
      </c>
      <c r="K187" s="255">
        <f t="shared" si="61"/>
        <v>4034.9699999999721</v>
      </c>
      <c r="L187" s="175">
        <f t="shared" si="45"/>
        <v>1.3238079258856183E-2</v>
      </c>
      <c r="M187" s="256">
        <f t="shared" si="54"/>
        <v>-91164.770000000019</v>
      </c>
      <c r="N187" s="257">
        <f t="shared" si="55"/>
        <v>-0.22791192500000004</v>
      </c>
      <c r="O187" s="256" t="b">
        <f t="shared" si="53"/>
        <v>1</v>
      </c>
      <c r="P187" s="257">
        <f>COUNTIF(O$2:O187, TRUE)/(COUNTIF(O$2:O187,FALSE) + COUNTIF(O$2:O187, TRUE))</f>
        <v>0.478494623655914</v>
      </c>
      <c r="Q187" s="255">
        <v>248232.13</v>
      </c>
      <c r="R187" s="255">
        <f t="shared" si="52"/>
        <v>60603.099999999977</v>
      </c>
      <c r="S187" s="255"/>
      <c r="T187" s="255"/>
      <c r="U187" s="257">
        <f>STDEV(D$2:D187)*SQRT(252)</f>
        <v>0.18328184052807739</v>
      </c>
      <c r="V187" s="257">
        <f>STDEV(L$2:L187)*SQRT(252)</f>
        <v>0.39045309819153251</v>
      </c>
      <c r="W187" s="256">
        <f t="shared" si="43"/>
        <v>-0.58371140107639852</v>
      </c>
    </row>
    <row r="188" spans="2:23" ht="20.100000000000001" customHeight="1" x14ac:dyDescent="0.25">
      <c r="B188" s="249">
        <v>42502</v>
      </c>
      <c r="C188" s="250">
        <v>2064.11</v>
      </c>
      <c r="D188" s="175">
        <f t="shared" si="57"/>
        <v>-1.6953585925612947E-4</v>
      </c>
      <c r="E188" s="251">
        <f t="shared" si="58"/>
        <v>-1.8231198036567E-2</v>
      </c>
      <c r="F188" s="252">
        <v>4737.33</v>
      </c>
      <c r="G188" s="175">
        <f t="shared" si="59"/>
        <v>-4.9047615046590746E-3</v>
      </c>
      <c r="H188" s="253">
        <f t="shared" si="60"/>
        <v>-6.9597580375905868E-2</v>
      </c>
      <c r="I188" s="254">
        <v>304301.34000000003</v>
      </c>
      <c r="J188" s="255">
        <v>400000</v>
      </c>
      <c r="K188" s="255">
        <f t="shared" si="61"/>
        <v>-4533.8899999999558</v>
      </c>
      <c r="L188" s="175">
        <f t="shared" si="45"/>
        <v>-1.4680611405635154E-2</v>
      </c>
      <c r="M188" s="256">
        <f t="shared" si="54"/>
        <v>-95698.659999999974</v>
      </c>
      <c r="N188" s="257">
        <f t="shared" si="55"/>
        <v>-0.23924664999999995</v>
      </c>
      <c r="O188" s="256" t="b">
        <f t="shared" si="53"/>
        <v>0</v>
      </c>
      <c r="P188" s="257">
        <f>COUNTIF(O$2:O188, TRUE)/(COUNTIF(O$2:O188,FALSE) + COUNTIF(O$2:O188, TRUE))</f>
        <v>0.47593582887700536</v>
      </c>
      <c r="Q188" s="255">
        <v>280165.89</v>
      </c>
      <c r="R188" s="255">
        <f t="shared" si="52"/>
        <v>24135.450000000012</v>
      </c>
      <c r="S188" s="255"/>
      <c r="T188" s="255"/>
      <c r="U188" s="257">
        <f>STDEV(D$2:D188)*SQRT(252)</f>
        <v>0.1827858829252009</v>
      </c>
      <c r="V188" s="257">
        <f>STDEV(L$2:L188)*SQRT(252)</f>
        <v>0.38974137838139039</v>
      </c>
      <c r="W188" s="256">
        <f t="shared" si="43"/>
        <v>-0.61386001915834465</v>
      </c>
    </row>
    <row r="189" spans="2:23" ht="20.100000000000001" customHeight="1" x14ac:dyDescent="0.25">
      <c r="B189" s="249">
        <v>42503</v>
      </c>
      <c r="C189" s="250">
        <v>2046.61</v>
      </c>
      <c r="D189" s="175">
        <f t="shared" si="57"/>
        <v>-8.4782303268722235E-3</v>
      </c>
      <c r="E189" s="251">
        <f t="shared" si="58"/>
        <v>-2.6554860067350389E-2</v>
      </c>
      <c r="F189" s="252">
        <v>4717.68</v>
      </c>
      <c r="G189" s="175">
        <f t="shared" si="59"/>
        <v>-4.1479060990050592E-3</v>
      </c>
      <c r="H189" s="253">
        <f t="shared" si="60"/>
        <v>-7.3456802246793712E-2</v>
      </c>
      <c r="I189" s="254">
        <v>303736.26</v>
      </c>
      <c r="J189" s="255">
        <v>400000</v>
      </c>
      <c r="K189" s="255">
        <f t="shared" si="61"/>
        <v>-565.0800000000163</v>
      </c>
      <c r="L189" s="175">
        <f t="shared" si="45"/>
        <v>-1.8569750629425959E-3</v>
      </c>
      <c r="M189" s="256">
        <f t="shared" si="54"/>
        <v>-96263.739999999991</v>
      </c>
      <c r="N189" s="257">
        <f t="shared" si="55"/>
        <v>-0.24065934999999997</v>
      </c>
      <c r="O189" s="256" t="b">
        <f t="shared" si="53"/>
        <v>1</v>
      </c>
      <c r="P189" s="257">
        <f>COUNTIF(O$2:O189, TRUE)/(COUNTIF(O$2:O189,FALSE) + COUNTIF(O$2:O189, TRUE))</f>
        <v>0.47872340425531917</v>
      </c>
      <c r="Q189" s="255">
        <v>251738</v>
      </c>
      <c r="R189" s="255">
        <f t="shared" si="52"/>
        <v>51998.260000000009</v>
      </c>
      <c r="S189" s="255"/>
      <c r="T189" s="255"/>
      <c r="U189" s="257">
        <f>STDEV(D$2:D189)*SQRT(252)</f>
        <v>0.18255729754579855</v>
      </c>
      <c r="V189" s="257">
        <f>STDEV(L$2:L189)*SQRT(252)</f>
        <v>0.38869471253740751</v>
      </c>
      <c r="W189" s="256">
        <f t="shared" si="43"/>
        <v>-0.6191474754801024</v>
      </c>
    </row>
    <row r="190" spans="2:23" ht="20.100000000000001" customHeight="1" x14ac:dyDescent="0.25">
      <c r="B190" s="176">
        <v>42506</v>
      </c>
      <c r="C190" s="220">
        <v>2066.66</v>
      </c>
      <c r="D190" s="175">
        <f t="shared" si="57"/>
        <v>9.7966881819203239E-3</v>
      </c>
      <c r="E190" s="214">
        <f t="shared" si="58"/>
        <v>-1.7018321569224424E-2</v>
      </c>
      <c r="F190" s="224">
        <v>4775.45</v>
      </c>
      <c r="G190" s="175">
        <f t="shared" si="59"/>
        <v>1.224542571772556E-2</v>
      </c>
      <c r="H190" s="208">
        <f t="shared" si="60"/>
        <v>-6.2110886344442916E-2</v>
      </c>
      <c r="I190" s="226">
        <v>310136.52</v>
      </c>
      <c r="J190" s="177">
        <v>400000</v>
      </c>
      <c r="K190" s="177">
        <f t="shared" si="61"/>
        <v>6400.2600000000093</v>
      </c>
      <c r="L190" s="175">
        <f t="shared" si="45"/>
        <v>2.1071767987134657E-2</v>
      </c>
      <c r="M190" s="187">
        <f t="shared" si="54"/>
        <v>-89863.479999999981</v>
      </c>
      <c r="N190" s="189">
        <f t="shared" ref="N190:N191" si="62">M190/J190</f>
        <v>-0.22465869999999996</v>
      </c>
      <c r="O190" s="187" t="b">
        <f t="shared" si="53"/>
        <v>1</v>
      </c>
      <c r="P190" s="189">
        <f>COUNTIF(O$2:O190, TRUE)/(COUNTIF(O$2:O190,FALSE) + COUNTIF(O$2:O190, TRUE))</f>
        <v>0.48148148148148145</v>
      </c>
      <c r="Q190" s="177">
        <v>258123.64</v>
      </c>
      <c r="R190" s="177">
        <f t="shared" si="52"/>
        <v>52012.880000000005</v>
      </c>
      <c r="S190" s="177"/>
      <c r="T190" s="177"/>
      <c r="U190" s="189">
        <f>STDEV(D$2:D190)*SQRT(252)</f>
        <v>0.18242711588099725</v>
      </c>
      <c r="V190" s="189">
        <f>STDEV(L$2:L190)*SQRT(252)</f>
        <v>0.38847097955636578</v>
      </c>
      <c r="W190" s="187">
        <f t="shared" si="43"/>
        <v>-0.57831527146908224</v>
      </c>
    </row>
    <row r="191" spans="2:23" ht="20.100000000000001" customHeight="1" x14ac:dyDescent="0.25">
      <c r="B191" s="176">
        <v>42507</v>
      </c>
      <c r="C191" s="220">
        <v>2047.21</v>
      </c>
      <c r="D191" s="175">
        <f>(C191-C190)/C190</f>
        <v>-9.4113206816795313E-3</v>
      </c>
      <c r="E191" s="214">
        <f t="shared" si="58"/>
        <v>-2.6269477369152042E-2</v>
      </c>
      <c r="F191" s="224">
        <v>4715.7299999999996</v>
      </c>
      <c r="G191" s="175">
        <f>(F191-F190)/F190</f>
        <v>-1.2505627741888252E-2</v>
      </c>
      <c r="H191" s="208">
        <f t="shared" si="60"/>
        <v>-7.3839778462988837E-2</v>
      </c>
      <c r="I191" s="226">
        <v>311039.01</v>
      </c>
      <c r="J191" s="177">
        <v>400000</v>
      </c>
      <c r="K191" s="177">
        <f t="shared" si="61"/>
        <v>902.48999999999069</v>
      </c>
      <c r="L191" s="175">
        <f t="shared" si="45"/>
        <v>2.9099765483922711E-3</v>
      </c>
      <c r="M191" s="187">
        <f t="shared" si="54"/>
        <v>-88960.989999999991</v>
      </c>
      <c r="N191" s="189">
        <f t="shared" si="62"/>
        <v>-0.22240247499999999</v>
      </c>
      <c r="O191" s="187" t="b">
        <f t="shared" si="53"/>
        <v>1</v>
      </c>
      <c r="P191" s="189">
        <f>COUNTIF(O$2:O191, TRUE)/(COUNTIF(O$2:O191,FALSE) + COUNTIF(O$2:O191, TRUE))</f>
        <v>0.48421052631578948</v>
      </c>
      <c r="Q191" s="177">
        <v>255974.63</v>
      </c>
      <c r="R191" s="177">
        <f t="shared" si="52"/>
        <v>55064.380000000005</v>
      </c>
      <c r="S191" s="177"/>
      <c r="T191" s="177"/>
      <c r="U191" s="189">
        <f>STDEV(D$2:D191)*SQRT(252)</f>
        <v>0.18226379341821147</v>
      </c>
      <c r="V191" s="189">
        <f>STDEV(L$2:L191)*SQRT(252)</f>
        <v>0.38745717293573728</v>
      </c>
      <c r="W191" s="187">
        <f t="shared" si="43"/>
        <v>-0.57400531087054396</v>
      </c>
    </row>
    <row r="192" spans="2:23" ht="20.100000000000001" customHeight="1" x14ac:dyDescent="0.25">
      <c r="B192" s="176">
        <v>42508</v>
      </c>
      <c r="C192" s="220">
        <v>2047.63</v>
      </c>
      <c r="D192" s="175">
        <f>(C192-C191)/C191</f>
        <v>2.051572628113739E-4</v>
      </c>
      <c r="E192" s="214">
        <f t="shared" ref="E192" si="63">(C192-$C$2)/$C$2</f>
        <v>-2.6069709480413209E-2</v>
      </c>
      <c r="F192" s="224">
        <v>4739.1099999999997</v>
      </c>
      <c r="G192" s="175">
        <f t="shared" ref="G192:G255" si="64">(F192-F191)/F191</f>
        <v>4.9578750267721249E-3</v>
      </c>
      <c r="H192" s="208">
        <f t="shared" ref="H192" si="65">(F192-F$2)/F$2</f>
        <v>-6.9247991829840747E-2</v>
      </c>
      <c r="I192" s="226">
        <v>310817.56</v>
      </c>
      <c r="J192" s="177">
        <v>400000</v>
      </c>
      <c r="K192" s="177">
        <f t="shared" ref="K192" si="66">I192-I191-J192+J191</f>
        <v>-221.45000000001164</v>
      </c>
      <c r="L192" s="175">
        <f t="shared" si="45"/>
        <v>-7.1196857268807415E-4</v>
      </c>
      <c r="M192" s="187">
        <f t="shared" ref="M192" si="67">I192-J192</f>
        <v>-89182.44</v>
      </c>
      <c r="N192" s="189">
        <f t="shared" ref="N192" si="68">M192/J192</f>
        <v>-0.22295610000000002</v>
      </c>
      <c r="O192" s="187" t="b">
        <f t="shared" ref="O192" si="69">L192&gt;D192</f>
        <v>0</v>
      </c>
      <c r="P192" s="189">
        <f>COUNTIF(O$2:O192, TRUE)/(COUNTIF(O$2:O192,FALSE) + COUNTIF(O$2:O192, TRUE))</f>
        <v>0.48167539267015708</v>
      </c>
      <c r="Q192" s="177">
        <v>257102.48</v>
      </c>
      <c r="R192" s="177">
        <f t="shared" ref="R192" si="70">I192-Q192</f>
        <v>53715.079999999987</v>
      </c>
      <c r="S192" s="177"/>
      <c r="T192" s="177"/>
      <c r="U192" s="189">
        <f>STDEV(D$2:D192)*SQRT(252)</f>
        <v>0.18178126131382988</v>
      </c>
      <c r="V192" s="189">
        <f>STDEV(L$2:L192)*SQRT(252)</f>
        <v>0.38643084331736716</v>
      </c>
      <c r="W192" s="187">
        <f t="shared" si="43"/>
        <v>-0.5769624859289274</v>
      </c>
    </row>
    <row r="193" spans="2:23" ht="20.100000000000001" customHeight="1" x14ac:dyDescent="0.25">
      <c r="B193" s="176">
        <v>42509</v>
      </c>
      <c r="C193" s="220">
        <v>2040.04</v>
      </c>
      <c r="D193" s="175">
        <f t="shared" ref="D193:D256" si="71">(C193-C192)/C192</f>
        <v>-3.7067243593814046E-3</v>
      </c>
      <c r="E193" s="214">
        <f t="shared" ref="E193" si="72">(C193-$C$2)/$C$2</f>
        <v>-2.9679800612621567E-2</v>
      </c>
      <c r="F193" s="224">
        <v>4712.53</v>
      </c>
      <c r="G193" s="175">
        <f t="shared" si="64"/>
        <v>-5.6086480372896869E-3</v>
      </c>
      <c r="H193" s="208">
        <f t="shared" ref="H193" si="73">(F193-F$2)/F$2</f>
        <v>-7.4468252253667752E-2</v>
      </c>
      <c r="I193" s="226">
        <v>311569.3</v>
      </c>
      <c r="J193" s="177">
        <v>400000</v>
      </c>
      <c r="K193" s="177">
        <f t="shared" ref="K193" si="74">I193-I192-J193+J192</f>
        <v>751.73999999999069</v>
      </c>
      <c r="L193" s="175">
        <f t="shared" si="45"/>
        <v>2.4185892199912731E-3</v>
      </c>
      <c r="M193" s="187">
        <f t="shared" ref="M193" si="75">I193-J193</f>
        <v>-88430.700000000012</v>
      </c>
      <c r="N193" s="189">
        <f t="shared" ref="N193" si="76">M193/J193</f>
        <v>-0.22107675000000002</v>
      </c>
      <c r="O193" s="187" t="b">
        <f t="shared" ref="O193" si="77">L193&gt;D193</f>
        <v>1</v>
      </c>
      <c r="P193" s="189">
        <f>COUNTIF(O$2:O193, TRUE)/(COUNTIF(O$2:O193,FALSE) + COUNTIF(O$2:O193, TRUE))</f>
        <v>0.484375</v>
      </c>
      <c r="Q193" s="177">
        <v>263424.27</v>
      </c>
      <c r="R193" s="177">
        <f t="shared" ref="R193" si="78">I193-Q193</f>
        <v>48145.02999999997</v>
      </c>
      <c r="S193" s="177"/>
      <c r="T193" s="177"/>
      <c r="U193" s="189">
        <f>STDEV(D$2:D193)*SQRT(252)</f>
        <v>0.18135027686058963</v>
      </c>
      <c r="V193" s="189">
        <f>STDEV(L$2:L193)*SQRT(252)</f>
        <v>0.38542760333105391</v>
      </c>
      <c r="W193" s="187">
        <f t="shared" si="43"/>
        <v>-0.57358826427932663</v>
      </c>
    </row>
    <row r="194" spans="2:23" ht="20.100000000000001" customHeight="1" x14ac:dyDescent="0.25">
      <c r="B194" s="176">
        <v>42510</v>
      </c>
      <c r="C194" s="220">
        <v>2052.3200000000002</v>
      </c>
      <c r="D194" s="175">
        <f t="shared" si="71"/>
        <v>6.0194898139253154E-3</v>
      </c>
      <c r="E194" s="214">
        <f t="shared" ref="E194:E195" si="79">(C194-$C$2)/$C$2</f>
        <v>-2.3838968056163264E-2</v>
      </c>
      <c r="F194" s="224">
        <v>4769.55</v>
      </c>
      <c r="G194" s="175">
        <f t="shared" si="64"/>
        <v>1.209965772101195E-2</v>
      </c>
      <c r="H194" s="208">
        <f t="shared" ref="H194:H195" si="80">(F194-F$2)/F$2</f>
        <v>-6.3269634896007163E-2</v>
      </c>
      <c r="I194" s="226">
        <v>320418.83</v>
      </c>
      <c r="J194" s="177">
        <v>400000</v>
      </c>
      <c r="K194" s="177">
        <f t="shared" ref="K194:K195" si="81">I194-I193-J194+J193</f>
        <v>8849.5300000000279</v>
      </c>
      <c r="L194" s="175">
        <f t="shared" si="45"/>
        <v>2.8403087210453752E-2</v>
      </c>
      <c r="M194" s="187">
        <f t="shared" ref="M194:M195" si="82">I194-J194</f>
        <v>-79581.169999999984</v>
      </c>
      <c r="N194" s="189">
        <f t="shared" ref="N194:N195" si="83">M194/J194</f>
        <v>-0.19895292499999995</v>
      </c>
      <c r="O194" s="187" t="b">
        <f t="shared" ref="O194:O195" si="84">L194&gt;D194</f>
        <v>1</v>
      </c>
      <c r="P194" s="189">
        <f>COUNTIF(O$2:O194, TRUE)/(COUNTIF(O$2:O194,FALSE) + COUNTIF(O$2:O194, TRUE))</f>
        <v>0.48704663212435234</v>
      </c>
      <c r="Q194" s="177">
        <v>264120.78000000003</v>
      </c>
      <c r="R194" s="177">
        <f t="shared" ref="R194:R195" si="85">I194-Q194</f>
        <v>56298.049999999988</v>
      </c>
      <c r="S194" s="177"/>
      <c r="T194" s="177"/>
      <c r="U194" s="189">
        <f>STDEV(D$2:D194)*SQRT(252)</f>
        <v>0.18101041145584279</v>
      </c>
      <c r="V194" s="189">
        <f>STDEV(L$2:L194)*SQRT(252)</f>
        <v>0.38584361102495252</v>
      </c>
      <c r="W194" s="187">
        <f t="shared" si="43"/>
        <v>-0.51563099482586394</v>
      </c>
    </row>
    <row r="195" spans="2:23" ht="20.100000000000001" customHeight="1" x14ac:dyDescent="0.25">
      <c r="B195" s="249">
        <v>42513</v>
      </c>
      <c r="C195" s="250">
        <v>2048.04</v>
      </c>
      <c r="D195" s="175">
        <f t="shared" si="71"/>
        <v>-2.085444764949033E-3</v>
      </c>
      <c r="E195" s="251">
        <f t="shared" si="79"/>
        <v>-2.5874697969977784E-2</v>
      </c>
      <c r="F195" s="252">
        <v>4765.78</v>
      </c>
      <c r="G195" s="175">
        <f t="shared" si="64"/>
        <v>-7.9043096308885254E-4</v>
      </c>
      <c r="H195" s="253">
        <f t="shared" si="80"/>
        <v>-6.4010055580650885E-2</v>
      </c>
      <c r="I195" s="254">
        <v>322945.12</v>
      </c>
      <c r="J195" s="255">
        <v>400000</v>
      </c>
      <c r="K195" s="255">
        <f t="shared" si="81"/>
        <v>2526.289999999979</v>
      </c>
      <c r="L195" s="175">
        <f t="shared" si="45"/>
        <v>7.8843368849451784E-3</v>
      </c>
      <c r="M195" s="256">
        <f t="shared" si="82"/>
        <v>-77054.880000000005</v>
      </c>
      <c r="N195" s="257">
        <f t="shared" si="83"/>
        <v>-0.19263720000000001</v>
      </c>
      <c r="O195" s="256" t="b">
        <f t="shared" si="84"/>
        <v>1</v>
      </c>
      <c r="P195" s="257">
        <f>COUNTIF(O$2:O195, TRUE)/(COUNTIF(O$2:O195,FALSE) + COUNTIF(O$2:O195, TRUE))</f>
        <v>0.48969072164948452</v>
      </c>
      <c r="Q195" s="255">
        <v>257529.17</v>
      </c>
      <c r="R195" s="255">
        <f t="shared" si="85"/>
        <v>65415.949999999983</v>
      </c>
      <c r="S195" s="255"/>
      <c r="T195" s="255"/>
      <c r="U195" s="257">
        <f>STDEV(D$2:D195)*SQRT(252)</f>
        <v>0.18055323575964988</v>
      </c>
      <c r="V195" s="257">
        <f>STDEV(L$2:L195)*SQRT(252)</f>
        <v>0.38495329027119468</v>
      </c>
      <c r="W195" s="256">
        <f t="shared" ref="W195:W258" si="86">N195/V195</f>
        <v>-0.50041707622316867</v>
      </c>
    </row>
    <row r="196" spans="2:23" ht="20.100000000000001" customHeight="1" x14ac:dyDescent="0.25">
      <c r="B196" s="249">
        <v>42514</v>
      </c>
      <c r="C196" s="250">
        <v>2076.06</v>
      </c>
      <c r="D196" s="175">
        <f t="shared" si="71"/>
        <v>1.3681373410675565E-2</v>
      </c>
      <c r="E196" s="251">
        <f t="shared" ref="E196" si="87">(C196-$C$2)/$C$2</f>
        <v>-1.2547325964117933E-2</v>
      </c>
      <c r="F196" s="252">
        <v>4861.05</v>
      </c>
      <c r="G196" s="175">
        <f t="shared" si="64"/>
        <v>1.9990431786612146E-2</v>
      </c>
      <c r="H196" s="253">
        <f t="shared" ref="H196" si="88">(F196-F$2)/F$2</f>
        <v>-4.5299212443780983E-2</v>
      </c>
      <c r="I196" s="254">
        <v>324441.06</v>
      </c>
      <c r="J196" s="255">
        <v>400000</v>
      </c>
      <c r="K196" s="255">
        <f t="shared" ref="K196" si="89">I196-I195-J196+J195</f>
        <v>1495.9400000000023</v>
      </c>
      <c r="L196" s="175">
        <f t="shared" ref="L196:L219" si="90">K196/I195</f>
        <v>4.6321802292600125E-3</v>
      </c>
      <c r="M196" s="256">
        <f t="shared" ref="M196" si="91">I196-J196</f>
        <v>-75558.94</v>
      </c>
      <c r="N196" s="257">
        <f t="shared" ref="N196" si="92">M196/J196</f>
        <v>-0.18889735000000002</v>
      </c>
      <c r="O196" s="256" t="b">
        <f t="shared" ref="O196" si="93">L196&gt;D196</f>
        <v>0</v>
      </c>
      <c r="P196" s="257">
        <f>COUNTIF(O$2:O196, TRUE)/(COUNTIF(O$2:O196,FALSE) + COUNTIF(O$2:O196, TRUE))</f>
        <v>0.48717948717948717</v>
      </c>
      <c r="Q196" s="255">
        <v>256296.81</v>
      </c>
      <c r="R196" s="255">
        <f t="shared" ref="R196" si="94">I196-Q196</f>
        <v>68144.25</v>
      </c>
      <c r="S196" s="255"/>
      <c r="T196" s="255"/>
      <c r="U196" s="257">
        <f>STDEV(D$2:D196)*SQRT(252)</f>
        <v>0.18076572452731524</v>
      </c>
      <c r="V196" s="257">
        <f>STDEV(L$2:L196)*SQRT(252)</f>
        <v>0.38399644388523335</v>
      </c>
      <c r="W196" s="256">
        <f t="shared" si="86"/>
        <v>-0.4919247378667303</v>
      </c>
    </row>
    <row r="197" spans="2:23" ht="20.100000000000001" customHeight="1" x14ac:dyDescent="0.25">
      <c r="B197" s="249">
        <v>42515</v>
      </c>
      <c r="C197" s="250">
        <v>2090.54</v>
      </c>
      <c r="D197" s="175">
        <f t="shared" si="71"/>
        <v>6.9747502480660573E-3</v>
      </c>
      <c r="E197" s="251">
        <f t="shared" ref="E197" si="95">(C197-$C$2)/$C$2</f>
        <v>-5.6600901809326738E-3</v>
      </c>
      <c r="F197" s="252">
        <v>4894.8900000000003</v>
      </c>
      <c r="G197" s="175">
        <f t="shared" si="64"/>
        <v>6.9614589440553263E-3</v>
      </c>
      <c r="H197" s="253">
        <f t="shared" ref="H197" si="96">(F197-F$2)/F$2</f>
        <v>-3.8653102107351081E-2</v>
      </c>
      <c r="I197" s="254">
        <v>329556.86</v>
      </c>
      <c r="J197" s="255">
        <v>400000</v>
      </c>
      <c r="K197" s="255">
        <f t="shared" ref="K197" si="97">I197-I196-J197+J196</f>
        <v>5115.7999999999884</v>
      </c>
      <c r="L197" s="175">
        <f t="shared" si="90"/>
        <v>1.5768041196758474E-2</v>
      </c>
      <c r="M197" s="256">
        <f t="shared" ref="M197" si="98">I197-J197</f>
        <v>-70443.140000000014</v>
      </c>
      <c r="N197" s="257">
        <f t="shared" ref="N197" si="99">M197/J197</f>
        <v>-0.17610785000000004</v>
      </c>
      <c r="O197" s="256" t="b">
        <f t="shared" ref="O197" si="100">L197&gt;D197</f>
        <v>1</v>
      </c>
      <c r="P197" s="257">
        <f>COUNTIF(O$2:O197, TRUE)/(COUNTIF(O$2:O197,FALSE) + COUNTIF(O$2:O197, TRUE))</f>
        <v>0.48979591836734693</v>
      </c>
      <c r="Q197" s="255">
        <v>253103.72</v>
      </c>
      <c r="R197" s="255">
        <f t="shared" ref="R197" si="101">I197-Q197</f>
        <v>76453.139999999985</v>
      </c>
      <c r="S197" s="255"/>
      <c r="T197" s="255"/>
      <c r="U197" s="257">
        <f>STDEV(D$2:D197)*SQRT(252)</f>
        <v>0.18047351369657114</v>
      </c>
      <c r="V197" s="257">
        <f>STDEV(L$2:L197)*SQRT(252)</f>
        <v>0.38344132562048239</v>
      </c>
      <c r="W197" s="256">
        <f t="shared" si="86"/>
        <v>-0.45928239402736104</v>
      </c>
    </row>
    <row r="198" spans="2:23" ht="20.100000000000001" customHeight="1" x14ac:dyDescent="0.25">
      <c r="B198" s="249">
        <v>42516</v>
      </c>
      <c r="C198" s="250">
        <v>2090.1</v>
      </c>
      <c r="D198" s="175">
        <f t="shared" si="71"/>
        <v>-2.1047193548081098E-4</v>
      </c>
      <c r="E198" s="251">
        <f t="shared" ref="E198" si="102">(C198-$C$2)/$C$2</f>
        <v>-5.8693708262781081E-3</v>
      </c>
      <c r="F198" s="252">
        <v>4901.76</v>
      </c>
      <c r="G198" s="175">
        <f t="shared" si="64"/>
        <v>1.4035044709891111E-3</v>
      </c>
      <c r="H198" s="253">
        <f t="shared" ref="H198" si="103">(F198-F$2)/F$2</f>
        <v>-3.7303847437987238E-2</v>
      </c>
      <c r="I198" s="254">
        <v>327477.31</v>
      </c>
      <c r="J198" s="255">
        <v>400000</v>
      </c>
      <c r="K198" s="255">
        <f t="shared" ref="K198" si="104">I198-I197-J198+J197</f>
        <v>-2079.5499999999884</v>
      </c>
      <c r="L198" s="175">
        <f t="shared" si="90"/>
        <v>-6.3101402289122083E-3</v>
      </c>
      <c r="M198" s="256">
        <f t="shared" ref="M198" si="105">I198-J198</f>
        <v>-72522.69</v>
      </c>
      <c r="N198" s="257">
        <f t="shared" ref="N198" si="106">M198/J198</f>
        <v>-0.181306725</v>
      </c>
      <c r="O198" s="256" t="b">
        <f t="shared" ref="O198" si="107">L198&gt;D198</f>
        <v>0</v>
      </c>
      <c r="P198" s="257">
        <f>COUNTIF(O$2:O198, TRUE)/(COUNTIF(O$2:O198,FALSE) + COUNTIF(O$2:O198, TRUE))</f>
        <v>0.48730964467005078</v>
      </c>
      <c r="Q198" s="255">
        <v>253608.16</v>
      </c>
      <c r="R198" s="255">
        <f t="shared" ref="R198" si="108">I198-Q198</f>
        <v>73869.149999999994</v>
      </c>
      <c r="S198" s="255"/>
      <c r="T198" s="255"/>
      <c r="U198" s="257">
        <f>STDEV(D$2:D198)*SQRT(252)</f>
        <v>0.18001038194737823</v>
      </c>
      <c r="V198" s="257">
        <f>STDEV(L$2:L198)*SQRT(252)</f>
        <v>0.38251907030209392</v>
      </c>
      <c r="W198" s="256">
        <f t="shared" si="86"/>
        <v>-0.4739808785397634</v>
      </c>
    </row>
    <row r="199" spans="2:23" ht="20.100000000000001" customHeight="1" x14ac:dyDescent="0.25">
      <c r="B199" s="249">
        <v>42517</v>
      </c>
      <c r="C199" s="250">
        <v>2099.06</v>
      </c>
      <c r="D199" s="175">
        <f t="shared" si="71"/>
        <v>4.2868762260179112E-3</v>
      </c>
      <c r="E199" s="251">
        <f t="shared" ref="E199:E200" si="109">(C199-$C$2)/$C$2</f>
        <v>-1.6076558665170512E-3</v>
      </c>
      <c r="F199" s="252">
        <v>4933.5</v>
      </c>
      <c r="G199" s="175">
        <f t="shared" si="64"/>
        <v>6.4752252252251808E-3</v>
      </c>
      <c r="H199" s="253">
        <f t="shared" ref="H199:H200" si="110">(F199-F$2)/F$2</f>
        <v>-3.1070173026690462E-2</v>
      </c>
      <c r="I199" s="254">
        <v>327126.28999999998</v>
      </c>
      <c r="J199" s="255">
        <v>400000</v>
      </c>
      <c r="K199" s="255">
        <f t="shared" ref="K199:K200" si="111">I199-I198-J199+J198</f>
        <v>-351.02000000001863</v>
      </c>
      <c r="L199" s="175">
        <f t="shared" si="90"/>
        <v>-1.0718910571239841E-3</v>
      </c>
      <c r="M199" s="256">
        <f t="shared" ref="M199:M200" si="112">I199-J199</f>
        <v>-72873.710000000021</v>
      </c>
      <c r="N199" s="257">
        <f t="shared" ref="N199:N200" si="113">M199/J199</f>
        <v>-0.18218427500000006</v>
      </c>
      <c r="O199" s="256" t="b">
        <f t="shared" ref="O199:O200" si="114">L199&gt;D199</f>
        <v>0</v>
      </c>
      <c r="P199" s="257">
        <f>COUNTIF(O$2:O199, TRUE)/(COUNTIF(O$2:O199,FALSE) + COUNTIF(O$2:O199, TRUE))</f>
        <v>0.48484848484848486</v>
      </c>
      <c r="Q199" s="255">
        <v>252103.35</v>
      </c>
      <c r="R199" s="255">
        <f t="shared" ref="R199:R200" si="115">I199-Q199</f>
        <v>75022.939999999973</v>
      </c>
      <c r="S199" s="255">
        <v>-82653.611999999514</v>
      </c>
      <c r="T199" s="255">
        <f t="shared" ref="T199:T204" si="116">M199-S199</f>
        <v>9779.9019999994925</v>
      </c>
      <c r="U199" s="257">
        <f>STDEV(D$2:D199)*SQRT(252)</f>
        <v>0.17961500199880534</v>
      </c>
      <c r="V199" s="257">
        <f>STDEV(L$2:L199)*SQRT(252)</f>
        <v>0.38154311840719901</v>
      </c>
      <c r="W199" s="256">
        <f t="shared" si="86"/>
        <v>-0.47749327981736855</v>
      </c>
    </row>
    <row r="200" spans="2:23" ht="20.100000000000001" customHeight="1" x14ac:dyDescent="0.25">
      <c r="B200" s="176">
        <v>42521</v>
      </c>
      <c r="C200" s="220">
        <v>2096.9499999999998</v>
      </c>
      <c r="D200" s="175">
        <f t="shared" si="71"/>
        <v>-1.0052118567359328E-3</v>
      </c>
      <c r="E200" s="214">
        <f t="shared" si="109"/>
        <v>-2.6112516885144102E-3</v>
      </c>
      <c r="F200" s="224">
        <v>4948.05</v>
      </c>
      <c r="G200" s="175">
        <f t="shared" si="64"/>
        <v>2.9492246883551601E-3</v>
      </c>
      <c r="H200" s="208">
        <f t="shared" si="110"/>
        <v>-2.8212581259697084E-2</v>
      </c>
      <c r="I200" s="490">
        <v>330773</v>
      </c>
      <c r="J200" s="177">
        <v>400000</v>
      </c>
      <c r="K200" s="177">
        <f t="shared" si="111"/>
        <v>3646.710000000021</v>
      </c>
      <c r="L200" s="175">
        <f t="shared" si="90"/>
        <v>1.1147713013221962E-2</v>
      </c>
      <c r="M200" s="187">
        <f t="shared" si="112"/>
        <v>-69227</v>
      </c>
      <c r="N200" s="189">
        <f t="shared" si="113"/>
        <v>-0.17306750000000001</v>
      </c>
      <c r="O200" s="187" t="b">
        <f t="shared" si="114"/>
        <v>1</v>
      </c>
      <c r="P200" s="189">
        <f>COUNTIF(O$2:O200, TRUE)/(COUNTIF(O$2:O200,FALSE) + COUNTIF(O$2:O200, TRUE))</f>
        <v>0.48743718592964824</v>
      </c>
      <c r="Q200" s="177">
        <v>253849.33</v>
      </c>
      <c r="R200" s="177">
        <f t="shared" si="115"/>
        <v>76923.670000000013</v>
      </c>
      <c r="S200" s="177">
        <v>-78775</v>
      </c>
      <c r="T200" s="177">
        <f t="shared" si="116"/>
        <v>9548</v>
      </c>
      <c r="U200" s="189">
        <f>STDEV(D$2:D200)*SQRT(252)</f>
        <v>0.17916254338672621</v>
      </c>
      <c r="V200" s="189">
        <f>STDEV(L$2:L200)*SQRT(252)</f>
        <v>0.38079113185082497</v>
      </c>
      <c r="W200" s="187">
        <f t="shared" si="86"/>
        <v>-0.45449456545589734</v>
      </c>
    </row>
    <row r="201" spans="2:23" ht="20.100000000000001" customHeight="1" x14ac:dyDescent="0.25">
      <c r="B201" s="176">
        <v>42522</v>
      </c>
      <c r="C201" s="220">
        <v>2099.33</v>
      </c>
      <c r="D201" s="175">
        <f t="shared" si="71"/>
        <v>1.1349817592217789E-3</v>
      </c>
      <c r="E201" s="214">
        <f t="shared" ref="E201" si="117">(C201-$C$2)/$C$2</f>
        <v>-1.4792336523278321E-3</v>
      </c>
      <c r="F201" s="224">
        <v>4952.25</v>
      </c>
      <c r="G201" s="175">
        <f t="shared" si="64"/>
        <v>8.4881923181855839E-4</v>
      </c>
      <c r="H201" s="208">
        <f t="shared" ref="H201" si="118">(F201-F$2)/F$2</f>
        <v>-2.7387709409430999E-2</v>
      </c>
      <c r="I201" s="226">
        <v>334317.64</v>
      </c>
      <c r="J201" s="177">
        <v>400000</v>
      </c>
      <c r="K201" s="177">
        <f t="shared" ref="K201" si="119">I201-I200-J201+J200</f>
        <v>3544.640000000014</v>
      </c>
      <c r="L201" s="175">
        <f t="shared" si="90"/>
        <v>1.0716231373177417E-2</v>
      </c>
      <c r="M201" s="187">
        <f t="shared" ref="M201" si="120">I201-J201</f>
        <v>-65682.359999999986</v>
      </c>
      <c r="N201" s="189">
        <f t="shared" ref="N201" si="121">M201/J201</f>
        <v>-0.16420589999999996</v>
      </c>
      <c r="O201" s="187" t="b">
        <f t="shared" ref="O201" si="122">L201&gt;D201</f>
        <v>1</v>
      </c>
      <c r="P201" s="189">
        <f>COUNTIF(O$2:O201, TRUE)/(COUNTIF(O$2:O201,FALSE) + COUNTIF(O$2:O201, TRUE))</f>
        <v>0.49</v>
      </c>
      <c r="Q201" s="177">
        <v>248634.19</v>
      </c>
      <c r="R201" s="177">
        <f t="shared" ref="R201" si="123">I201-Q201</f>
        <v>85683.450000000012</v>
      </c>
      <c r="S201" s="177">
        <v>-75736.72</v>
      </c>
      <c r="T201" s="177">
        <f t="shared" si="116"/>
        <v>10054.360000000015</v>
      </c>
      <c r="U201" s="189">
        <f>STDEV(D$2:D201)*SQRT(252)</f>
        <v>0.17871370889489749</v>
      </c>
      <c r="V201" s="189">
        <f>STDEV(L$2:L201)*SQRT(252)</f>
        <v>0.3800270839694988</v>
      </c>
      <c r="W201" s="187">
        <f t="shared" si="86"/>
        <v>-0.43208999286266453</v>
      </c>
    </row>
    <row r="202" spans="2:23" ht="20.100000000000001" customHeight="1" x14ac:dyDescent="0.25">
      <c r="B202" s="176">
        <v>42523</v>
      </c>
      <c r="C202" s="220">
        <v>2105.2600000000002</v>
      </c>
      <c r="D202" s="175">
        <f t="shared" si="71"/>
        <v>2.8247107410460915E-3</v>
      </c>
      <c r="E202" s="214">
        <f t="shared" ref="E202" si="124">(C202-$C$2)/$C$2</f>
        <v>1.3412986815320121E-3</v>
      </c>
      <c r="F202" s="224">
        <v>4971.3599999999997</v>
      </c>
      <c r="G202" s="175">
        <f t="shared" si="64"/>
        <v>3.8588520369528339E-3</v>
      </c>
      <c r="H202" s="208">
        <f t="shared" ref="H202" si="125">(F202-F$2)/F$2</f>
        <v>-2.3634542490720223E-2</v>
      </c>
      <c r="I202" s="226">
        <v>335688.99</v>
      </c>
      <c r="J202" s="177">
        <v>400000</v>
      </c>
      <c r="K202" s="177">
        <f t="shared" ref="K202" si="126">I202-I201-J202+J201</f>
        <v>1371.3499999999767</v>
      </c>
      <c r="L202" s="175">
        <f t="shared" si="90"/>
        <v>4.1019373072864974E-3</v>
      </c>
      <c r="M202" s="187">
        <f t="shared" ref="M202" si="127">I202-J202</f>
        <v>-64311.010000000009</v>
      </c>
      <c r="N202" s="189">
        <f t="shared" ref="N202" si="128">M202/J202</f>
        <v>-0.16077752500000003</v>
      </c>
      <c r="O202" s="187" t="b">
        <f t="shared" ref="O202" si="129">L202&gt;D202</f>
        <v>1</v>
      </c>
      <c r="P202" s="189">
        <f>COUNTIF(O$2:O202, TRUE)/(COUNTIF(O$2:O202,FALSE) + COUNTIF(O$2:O202, TRUE))</f>
        <v>0.4925373134328358</v>
      </c>
      <c r="Q202" s="177">
        <v>250005.54</v>
      </c>
      <c r="R202" s="177">
        <f t="shared" ref="R202" si="130">I202-Q202</f>
        <v>85683.449999999983</v>
      </c>
      <c r="S202" s="177">
        <v>-74052.52</v>
      </c>
      <c r="T202" s="177">
        <f t="shared" si="116"/>
        <v>9741.5099999999948</v>
      </c>
      <c r="U202" s="189">
        <f>STDEV(D$2:D202)*SQRT(252)</f>
        <v>0.17829120938366202</v>
      </c>
      <c r="V202" s="189">
        <f>STDEV(L$2:L202)*SQRT(252)</f>
        <v>0.37910108221879157</v>
      </c>
      <c r="W202" s="187">
        <f t="shared" si="86"/>
        <v>-0.42410199427288919</v>
      </c>
    </row>
    <row r="203" spans="2:23" ht="20.100000000000001" customHeight="1" x14ac:dyDescent="0.25">
      <c r="B203" s="176">
        <v>42524</v>
      </c>
      <c r="C203" s="220">
        <v>2099.13</v>
      </c>
      <c r="D203" s="175">
        <f t="shared" si="71"/>
        <v>-2.911754367631603E-3</v>
      </c>
      <c r="E203" s="214">
        <f t="shared" ref="E203" si="131">(C203-$C$2)/$C$2</f>
        <v>-1.5743612183938402E-3</v>
      </c>
      <c r="F203" s="224">
        <v>4942.51</v>
      </c>
      <c r="G203" s="175">
        <f t="shared" si="64"/>
        <v>-5.8032409642430755E-3</v>
      </c>
      <c r="H203" s="208">
        <f t="shared" ref="H203" si="132">(F203-F$2)/F$2</f>
        <v>-2.9300626509810006E-2</v>
      </c>
      <c r="I203" s="226">
        <v>333931.11</v>
      </c>
      <c r="J203" s="177">
        <v>400000</v>
      </c>
      <c r="K203" s="177">
        <f t="shared" ref="K203" si="133">I203-I202-J203+J202</f>
        <v>-1757.8800000000047</v>
      </c>
      <c r="L203" s="175">
        <f t="shared" si="90"/>
        <v>-5.2366328725884179E-3</v>
      </c>
      <c r="M203" s="187">
        <f t="shared" ref="M203" si="134">I203-J203</f>
        <v>-66068.890000000014</v>
      </c>
      <c r="N203" s="189">
        <f t="shared" ref="N203" si="135">M203/J203</f>
        <v>-0.16517222500000003</v>
      </c>
      <c r="O203" s="187" t="b">
        <f t="shared" ref="O203" si="136">L203&gt;D203</f>
        <v>0</v>
      </c>
      <c r="P203" s="189">
        <f>COUNTIF(O$2:O203, TRUE)/(COUNTIF(O$2:O203,FALSE) + COUNTIF(O$2:O203, TRUE))</f>
        <v>0.49009900990099009</v>
      </c>
      <c r="Q203" s="177">
        <v>260288.76</v>
      </c>
      <c r="R203" s="177">
        <f t="shared" ref="R203" si="137">I203-Q203</f>
        <v>73642.349999999977</v>
      </c>
      <c r="S203" s="177">
        <v>-75134.75</v>
      </c>
      <c r="T203" s="177">
        <f t="shared" si="116"/>
        <v>9065.859999999986</v>
      </c>
      <c r="U203" s="189">
        <f>STDEV(D$2:D203)*SQRT(252)</f>
        <v>0.17787624865882645</v>
      </c>
      <c r="V203" s="189">
        <f>STDEV(L$2:L203)*SQRT(252)</f>
        <v>0.37819539294836535</v>
      </c>
      <c r="W203" s="187">
        <f t="shared" si="86"/>
        <v>-0.4367378029444976</v>
      </c>
    </row>
    <row r="204" spans="2:23" ht="20.100000000000001" customHeight="1" x14ac:dyDescent="0.25">
      <c r="B204" s="249">
        <v>42527</v>
      </c>
      <c r="C204" s="250">
        <v>2109.41</v>
      </c>
      <c r="D204" s="175">
        <f t="shared" si="71"/>
        <v>4.8972669629797792E-3</v>
      </c>
      <c r="E204" s="251">
        <f t="shared" ref="E204" si="138">(C204-$C$2)/$C$2</f>
        <v>3.3151956774033027E-3</v>
      </c>
      <c r="F204" s="252">
        <v>4968.71</v>
      </c>
      <c r="G204" s="175">
        <f t="shared" si="64"/>
        <v>5.300950326858179E-3</v>
      </c>
      <c r="H204" s="253">
        <f t="shared" ref="H204" si="139">(F204-F$2)/F$2</f>
        <v>-2.4154997348626153E-2</v>
      </c>
      <c r="I204" s="254">
        <v>340934.25</v>
      </c>
      <c r="J204" s="255">
        <v>400000</v>
      </c>
      <c r="K204" s="255">
        <f t="shared" ref="K204" si="140">I204-I203-J204+J203</f>
        <v>7003.140000000014</v>
      </c>
      <c r="L204" s="175">
        <f t="shared" si="90"/>
        <v>2.0971810622855757E-2</v>
      </c>
      <c r="M204" s="256">
        <f t="shared" ref="M204" si="141">I204-J204</f>
        <v>-59065.75</v>
      </c>
      <c r="N204" s="257">
        <f t="shared" ref="N204" si="142">M204/J204</f>
        <v>-0.14766437499999999</v>
      </c>
      <c r="O204" s="256" t="b">
        <f t="shared" ref="O204" si="143">L204&gt;D204</f>
        <v>1</v>
      </c>
      <c r="P204" s="257">
        <f>COUNTIF(O$2:O204, TRUE)/(COUNTIF(O$2:O204,FALSE) + COUNTIF(O$2:O204, TRUE))</f>
        <v>0.49261083743842365</v>
      </c>
      <c r="Q204" s="255">
        <v>226096.58</v>
      </c>
      <c r="R204" s="255">
        <f t="shared" ref="R204" si="144">I204-Q204</f>
        <v>114837.67000000001</v>
      </c>
      <c r="S204" s="255">
        <v>-68552.800000000003</v>
      </c>
      <c r="T204" s="255">
        <f t="shared" si="116"/>
        <v>9487.0500000000029</v>
      </c>
      <c r="U204" s="257">
        <f>STDEV(D$2:D204)*SQRT(252)</f>
        <v>0.17751563901521938</v>
      </c>
      <c r="V204" s="257">
        <f>STDEV(L$2:L204)*SQRT(252)</f>
        <v>0.3779906391006832</v>
      </c>
      <c r="W204" s="256">
        <f t="shared" si="86"/>
        <v>-0.39065616902927447</v>
      </c>
    </row>
    <row r="205" spans="2:23" ht="20.100000000000001" customHeight="1" x14ac:dyDescent="0.25">
      <c r="B205" s="249">
        <v>42528</v>
      </c>
      <c r="C205" s="250">
        <v>2112.13</v>
      </c>
      <c r="D205" s="175">
        <f t="shared" si="71"/>
        <v>1.289460085995731E-3</v>
      </c>
      <c r="E205" s="251">
        <f t="shared" ref="E205" si="145">(C205-$C$2)/$C$2</f>
        <v>4.6089305759023109E-3</v>
      </c>
      <c r="F205" s="252">
        <v>4961.75</v>
      </c>
      <c r="G205" s="175">
        <f t="shared" si="64"/>
        <v>-1.4007659935878802E-3</v>
      </c>
      <c r="H205" s="253">
        <f t="shared" ref="H205" si="146">(F205-F$2)/F$2</f>
        <v>-2.5521927843352873E-2</v>
      </c>
      <c r="I205" s="254">
        <v>347691.97</v>
      </c>
      <c r="J205" s="255">
        <v>400000</v>
      </c>
      <c r="K205" s="255">
        <f t="shared" ref="K205" si="147">I205-I204-J205+J204</f>
        <v>6757.7199999999721</v>
      </c>
      <c r="L205" s="175">
        <f t="shared" si="90"/>
        <v>1.9821182530062532E-2</v>
      </c>
      <c r="M205" s="256">
        <f t="shared" ref="M205" si="148">I205-J205</f>
        <v>-52308.030000000028</v>
      </c>
      <c r="N205" s="257">
        <f t="shared" ref="N205" si="149">M205/J205</f>
        <v>-0.13077007500000007</v>
      </c>
      <c r="O205" s="256" t="b">
        <f t="shared" ref="O205" si="150">L205&gt;D205</f>
        <v>1</v>
      </c>
      <c r="P205" s="257">
        <f>COUNTIF(O$2:O205, TRUE)/(COUNTIF(O$2:O205,FALSE) + COUNTIF(O$2:O205, TRUE))</f>
        <v>0.49509803921568629</v>
      </c>
      <c r="Q205" s="255">
        <v>221341.46</v>
      </c>
      <c r="R205" s="255">
        <f t="shared" ref="R205" si="151">I205-Q205</f>
        <v>126350.50999999998</v>
      </c>
      <c r="S205" s="255">
        <v>-62220.480000000003</v>
      </c>
      <c r="T205" s="255">
        <f t="shared" ref="T205" si="152">M205-S205</f>
        <v>9912.4499999999753</v>
      </c>
      <c r="U205" s="257">
        <f>STDEV(D$2:D205)*SQRT(252)</f>
        <v>0.1770808372915795</v>
      </c>
      <c r="V205" s="257">
        <f>STDEV(L$2:L205)*SQRT(252)</f>
        <v>0.37770326655936998</v>
      </c>
      <c r="W205" s="256">
        <f t="shared" si="86"/>
        <v>-0.34622436864586859</v>
      </c>
    </row>
    <row r="206" spans="2:23" ht="20.100000000000001" customHeight="1" x14ac:dyDescent="0.25">
      <c r="B206" s="249">
        <v>42529</v>
      </c>
      <c r="C206" s="250">
        <v>2119.12</v>
      </c>
      <c r="D206" s="175">
        <f t="shared" si="71"/>
        <v>3.3094553839014555E-3</v>
      </c>
      <c r="E206" s="251">
        <f t="shared" ref="E206" si="153">(C206-$C$2)/$C$2</f>
        <v>7.9336390099122144E-3</v>
      </c>
      <c r="F206" s="252">
        <v>4974.6400000000003</v>
      </c>
      <c r="G206" s="175">
        <f t="shared" si="64"/>
        <v>2.5978737340656677E-3</v>
      </c>
      <c r="H206" s="253">
        <f>(F206-F$2)/F$2</f>
        <v>-2.2990356855274171E-2</v>
      </c>
      <c r="I206" s="254">
        <v>345415.56</v>
      </c>
      <c r="J206" s="255">
        <v>400000</v>
      </c>
      <c r="K206" s="255">
        <f>I206-I205-J206+J205</f>
        <v>-2276.4099999999744</v>
      </c>
      <c r="L206" s="175">
        <f t="shared" si="90"/>
        <v>-6.5472032615535372E-3</v>
      </c>
      <c r="M206" s="256">
        <f t="shared" ref="M206" si="154">I206-J206</f>
        <v>-54584.44</v>
      </c>
      <c r="N206" s="257">
        <f t="shared" ref="N206" si="155">M206/J206</f>
        <v>-0.1364611</v>
      </c>
      <c r="O206" s="256" t="b">
        <f t="shared" ref="O206" si="156">L206&gt;D206</f>
        <v>0</v>
      </c>
      <c r="P206" s="257">
        <f>COUNTIF(O$2:O206, TRUE)/(COUNTIF(O$2:O206,FALSE) + COUNTIF(O$2:O206, TRUE))</f>
        <v>0.49268292682926829</v>
      </c>
      <c r="Q206" s="255">
        <v>224599.69</v>
      </c>
      <c r="R206" s="255">
        <f t="shared" ref="R206" si="157">I206-Q206</f>
        <v>120815.87</v>
      </c>
      <c r="S206" s="255">
        <v>-64591.5</v>
      </c>
      <c r="T206" s="255">
        <f t="shared" ref="T206" si="158">M206-S206</f>
        <v>10007.059999999998</v>
      </c>
      <c r="U206" s="257">
        <f>STDEV(D$2:D206)*SQRT(252)</f>
        <v>0.1766804976423699</v>
      </c>
      <c r="V206" s="257">
        <f>STDEV(L$2:L206)*SQRT(252)</f>
        <v>0.37684312307903423</v>
      </c>
      <c r="W206" s="256">
        <f t="shared" si="86"/>
        <v>-0.36211646609079928</v>
      </c>
    </row>
    <row r="207" spans="2:23" ht="20.100000000000001" customHeight="1" x14ac:dyDescent="0.25">
      <c r="B207" s="249">
        <v>42530</v>
      </c>
      <c r="C207" s="250">
        <v>2115.48</v>
      </c>
      <c r="D207" s="175">
        <f t="shared" si="71"/>
        <v>-1.7176941371889619E-3</v>
      </c>
      <c r="E207" s="251">
        <f t="shared" ref="E207" si="159">(C207-$C$2)/$C$2</f>
        <v>6.2023173075093528E-3</v>
      </c>
      <c r="F207" s="252">
        <v>4958.6099999999997</v>
      </c>
      <c r="G207" s="175">
        <f t="shared" si="64"/>
        <v>-3.2223437273854296E-3</v>
      </c>
      <c r="H207" s="253">
        <f>(F207-F$2)/F$2</f>
        <v>-2.6138617750456655E-2</v>
      </c>
      <c r="I207" s="254">
        <v>343338.01</v>
      </c>
      <c r="J207" s="255">
        <v>400000</v>
      </c>
      <c r="K207" s="255">
        <f>I207-I206-J207+J206</f>
        <v>-2077.5499999999884</v>
      </c>
      <c r="L207" s="175">
        <f t="shared" si="90"/>
        <v>-6.0146392941881031E-3</v>
      </c>
      <c r="M207" s="256">
        <f t="shared" ref="M207" si="160">I207-J207</f>
        <v>-56661.989999999991</v>
      </c>
      <c r="N207" s="257">
        <f t="shared" ref="N207" si="161">M207/J207</f>
        <v>-0.14165497499999999</v>
      </c>
      <c r="O207" s="256" t="b">
        <f t="shared" ref="O207" si="162">L207&gt;D207</f>
        <v>0</v>
      </c>
      <c r="P207" s="257">
        <f>COUNTIF(O$2:O207, TRUE)/(COUNTIF(O$2:O207,FALSE) + COUNTIF(O$2:O207, TRUE))</f>
        <v>0.49029126213592233</v>
      </c>
      <c r="Q207" s="255">
        <v>224600.69</v>
      </c>
      <c r="R207" s="255">
        <f t="shared" ref="R207" si="163">I207-Q207</f>
        <v>118737.32</v>
      </c>
      <c r="S207" s="255">
        <v>-66856.5</v>
      </c>
      <c r="T207" s="255">
        <f t="shared" ref="T207" si="164">M207-S207</f>
        <v>10194.510000000009</v>
      </c>
      <c r="U207" s="257">
        <f>STDEV(D$2:D207)*SQRT(252)</f>
        <v>0.17625845275295093</v>
      </c>
      <c r="V207" s="257">
        <f>STDEV(L$2:L207)*SQRT(252)</f>
        <v>0.37597781518957712</v>
      </c>
      <c r="W207" s="256">
        <f t="shared" si="86"/>
        <v>-0.37676418468620049</v>
      </c>
    </row>
    <row r="208" spans="2:23" ht="20.100000000000001" customHeight="1" x14ac:dyDescent="0.25">
      <c r="B208" s="249">
        <v>42531</v>
      </c>
      <c r="C208" s="250">
        <v>2096.0700000000002</v>
      </c>
      <c r="D208" s="175">
        <f t="shared" si="71"/>
        <v>-9.1752226445061431E-3</v>
      </c>
      <c r="E208" s="251">
        <f t="shared" ref="E208:E209" si="165">(C208-$C$2)/$C$2</f>
        <v>-3.0298129792050619E-3</v>
      </c>
      <c r="F208" s="252">
        <v>4894.54</v>
      </c>
      <c r="G208" s="175">
        <f t="shared" si="64"/>
        <v>-1.2920959704433242E-2</v>
      </c>
      <c r="H208" s="253">
        <f>(F208-F$2)/F$2</f>
        <v>-3.8721841428206664E-2</v>
      </c>
      <c r="I208" s="254">
        <v>332939.06</v>
      </c>
      <c r="J208" s="255">
        <v>400000</v>
      </c>
      <c r="K208" s="255">
        <f>I208-I207-J208+J207</f>
        <v>-10398.950000000012</v>
      </c>
      <c r="L208" s="175">
        <f t="shared" si="90"/>
        <v>-3.0287791322609493E-2</v>
      </c>
      <c r="M208" s="256">
        <f t="shared" ref="M208:M209" si="166">I208-J208</f>
        <v>-67060.94</v>
      </c>
      <c r="N208" s="257">
        <f t="shared" ref="N208:N209" si="167">M208/J208</f>
        <v>-0.16765235000000001</v>
      </c>
      <c r="O208" s="256" t="b">
        <f t="shared" ref="O208:O209" si="168">L208&gt;D208</f>
        <v>0</v>
      </c>
      <c r="P208" s="257">
        <f>COUNTIF(O$2:O208, TRUE)/(COUNTIF(O$2:O208,FALSE) + COUNTIF(O$2:O208, TRUE))</f>
        <v>0.48792270531400966</v>
      </c>
      <c r="Q208" s="255">
        <v>258667.11</v>
      </c>
      <c r="R208" s="255">
        <f t="shared" ref="R208:R209" si="169">I208-Q208</f>
        <v>74271.950000000012</v>
      </c>
      <c r="S208" s="255">
        <v>-76706.92</v>
      </c>
      <c r="T208" s="255">
        <f>M208-S208</f>
        <v>9645.9799999999959</v>
      </c>
      <c r="U208" s="257">
        <f>STDEV(D$2:D208)*SQRT(252)</f>
        <v>0.17612650252391751</v>
      </c>
      <c r="V208" s="257">
        <f>STDEV(L$2:L208)*SQRT(252)</f>
        <v>0.37655142178170292</v>
      </c>
      <c r="W208" s="256">
        <f t="shared" si="86"/>
        <v>-0.44523095731980167</v>
      </c>
    </row>
    <row r="209" spans="2:23" ht="20.100000000000001" customHeight="1" x14ac:dyDescent="0.25">
      <c r="B209" s="176">
        <v>42534</v>
      </c>
      <c r="C209" s="220">
        <v>2079.06</v>
      </c>
      <c r="D209" s="175">
        <f t="shared" si="71"/>
        <v>-8.1151869928009161E-3</v>
      </c>
      <c r="E209" s="214">
        <f t="shared" si="165"/>
        <v>-1.1120412473126515E-2</v>
      </c>
      <c r="F209" s="224">
        <v>4848.4399999999996</v>
      </c>
      <c r="G209" s="175">
        <f t="shared" si="64"/>
        <v>-9.4186583417441398E-3</v>
      </c>
      <c r="H209" s="208">
        <f t="shared" ref="H209" si="170">(F209-F$2)/F$2</f>
        <v>-4.7775791975175327E-2</v>
      </c>
      <c r="I209" s="226">
        <v>329797.69</v>
      </c>
      <c r="J209" s="177">
        <v>400000</v>
      </c>
      <c r="K209" s="177">
        <f t="shared" ref="K209" si="171">I209-I208-J209+J208</f>
        <v>-3141.3699999999953</v>
      </c>
      <c r="L209" s="175">
        <f t="shared" si="90"/>
        <v>-9.4352702263290934E-3</v>
      </c>
      <c r="M209" s="187">
        <f t="shared" si="166"/>
        <v>-70202.31</v>
      </c>
      <c r="N209" s="189">
        <f t="shared" si="167"/>
        <v>-0.175505775</v>
      </c>
      <c r="O209" s="187" t="b">
        <f t="shared" si="168"/>
        <v>0</v>
      </c>
      <c r="P209" s="189">
        <f>COUNTIF(O$2:O209, TRUE)/(COUNTIF(O$2:O209,FALSE) + COUNTIF(O$2:O209, TRUE))</f>
        <v>0.48557692307692307</v>
      </c>
      <c r="Q209" s="177">
        <v>255528.93</v>
      </c>
      <c r="R209" s="177">
        <f t="shared" si="169"/>
        <v>74268.760000000009</v>
      </c>
      <c r="S209" s="177">
        <v>-78829.440000000002</v>
      </c>
      <c r="T209" s="177">
        <f t="shared" ref="T209" si="172">M209-S209</f>
        <v>8627.1300000000047</v>
      </c>
      <c r="U209" s="189">
        <f>STDEV(D$2:D209)*SQRT(252)</f>
        <v>0.17592912166326158</v>
      </c>
      <c r="V209" s="189">
        <f>STDEV(L$2:L209)*SQRT(252)</f>
        <v>0.3757757250288794</v>
      </c>
      <c r="W209" s="187">
        <f t="shared" si="86"/>
        <v>-0.4670492618609462</v>
      </c>
    </row>
    <row r="210" spans="2:23" ht="20.100000000000001" customHeight="1" x14ac:dyDescent="0.25">
      <c r="B210" s="176">
        <v>42535</v>
      </c>
      <c r="C210" s="220">
        <v>2075.3200000000002</v>
      </c>
      <c r="D210" s="175">
        <f t="shared" si="71"/>
        <v>-1.7988898829277566E-3</v>
      </c>
      <c r="E210" s="214">
        <f t="shared" ref="E210:E211" si="173">(C210-$C$2)/$C$2</f>
        <v>-1.2899297958562379E-2</v>
      </c>
      <c r="F210" s="224">
        <v>4843.55</v>
      </c>
      <c r="G210" s="175">
        <f t="shared" si="64"/>
        <v>-1.0085718292893008E-3</v>
      </c>
      <c r="H210" s="208">
        <f t="shared" ref="H210:H211" si="174">(F210-F$2)/F$2</f>
        <v>-4.8736178486556481E-2</v>
      </c>
      <c r="I210" s="226">
        <v>327192.19</v>
      </c>
      <c r="J210" s="177">
        <v>400000</v>
      </c>
      <c r="K210" s="177">
        <f t="shared" ref="K210" si="175">I210-I209-J210+J209</f>
        <v>-2605.5</v>
      </c>
      <c r="L210" s="175">
        <f t="shared" si="90"/>
        <v>-7.9002979068773949E-3</v>
      </c>
      <c r="M210" s="187">
        <f t="shared" ref="M210" si="176">I210-J210</f>
        <v>-72807.81</v>
      </c>
      <c r="N210" s="189">
        <f t="shared" ref="N210" si="177">M210/J210</f>
        <v>-0.18201952499999999</v>
      </c>
      <c r="O210" s="187" t="b">
        <f t="shared" ref="O210" si="178">L210&gt;D210</f>
        <v>0</v>
      </c>
      <c r="P210" s="189">
        <f>COUNTIF(O$2:O210, TRUE)/(COUNTIF(O$2:O210,FALSE) + COUNTIF(O$2:O210, TRUE))</f>
        <v>0.48325358851674644</v>
      </c>
      <c r="Q210" s="177">
        <v>272585.19</v>
      </c>
      <c r="R210" s="177">
        <f t="shared" ref="R210" si="179">I210-Q210</f>
        <v>54607</v>
      </c>
      <c r="S210" s="177">
        <v>-80356</v>
      </c>
      <c r="T210" s="177">
        <f t="shared" ref="T210" si="180">M210-S210</f>
        <v>7548.1900000000023</v>
      </c>
      <c r="U210" s="189">
        <f>STDEV(D$2:D210)*SQRT(252)</f>
        <v>0.17551491583407813</v>
      </c>
      <c r="V210" s="189">
        <f>STDEV(L$2:L210)*SQRT(252)</f>
        <v>0.37496263559037396</v>
      </c>
      <c r="W210" s="187">
        <f t="shared" si="86"/>
        <v>-0.48543376785639597</v>
      </c>
    </row>
    <row r="211" spans="2:23" ht="20.100000000000001" customHeight="1" x14ac:dyDescent="0.25">
      <c r="B211" s="176">
        <v>42536</v>
      </c>
      <c r="C211" s="220">
        <v>2071.5</v>
      </c>
      <c r="D211" s="175">
        <f t="shared" si="71"/>
        <v>-1.8406799915194588E-3</v>
      </c>
      <c r="E211" s="214">
        <f t="shared" si="173"/>
        <v>-1.4716234470424866E-2</v>
      </c>
      <c r="F211" s="224">
        <v>4834.93</v>
      </c>
      <c r="G211" s="175">
        <f t="shared" si="64"/>
        <v>-1.7796863870507976E-3</v>
      </c>
      <c r="H211" s="208">
        <f t="shared" si="174"/>
        <v>-5.042912976019788E-2</v>
      </c>
      <c r="I211" s="226">
        <v>325610.21000000002</v>
      </c>
      <c r="J211" s="177">
        <v>400000</v>
      </c>
      <c r="K211" s="177">
        <f t="shared" ref="K211" si="181">I211-I210-J211+J210</f>
        <v>-1581.9799999999814</v>
      </c>
      <c r="L211" s="175">
        <f t="shared" si="90"/>
        <v>-4.8350176084581403E-3</v>
      </c>
      <c r="M211" s="187">
        <f t="shared" ref="M211" si="182">I211-J211</f>
        <v>-74389.789999999979</v>
      </c>
      <c r="N211" s="189">
        <f t="shared" ref="N211" si="183">M211/J211</f>
        <v>-0.18597447499999994</v>
      </c>
      <c r="O211" s="187" t="b">
        <f t="shared" ref="O211" si="184">L211&gt;D211</f>
        <v>0</v>
      </c>
      <c r="P211" s="189">
        <f>COUNTIF(O$2:O211, TRUE)/(COUNTIF(O$2:O211,FALSE) + COUNTIF(O$2:O211, TRUE))</f>
        <v>0.48095238095238096</v>
      </c>
      <c r="Q211" s="177">
        <v>269122.73</v>
      </c>
      <c r="R211" s="177">
        <f t="shared" ref="R211" si="185">I211-Q211</f>
        <v>56487.48000000004</v>
      </c>
      <c r="S211" s="177">
        <v>-82018</v>
      </c>
      <c r="T211" s="177">
        <f t="shared" ref="T211" si="186">M211-S211</f>
        <v>7628.210000000021</v>
      </c>
      <c r="U211" s="189">
        <f>STDEV(D$2:D211)*SQRT(252)</f>
        <v>0.17510414280535444</v>
      </c>
      <c r="V211" s="189">
        <f>STDEV(L$2:L211)*SQRT(252)</f>
        <v>0.37409419523712373</v>
      </c>
      <c r="W211" s="187">
        <f t="shared" si="86"/>
        <v>-0.49713274722725376</v>
      </c>
    </row>
    <row r="212" spans="2:23" ht="20.100000000000001" customHeight="1" x14ac:dyDescent="0.25">
      <c r="B212" s="176">
        <v>42537</v>
      </c>
      <c r="C212" s="220">
        <v>2077.9899999999998</v>
      </c>
      <c r="D212" s="175">
        <f t="shared" si="71"/>
        <v>3.1329954139511377E-3</v>
      </c>
      <c r="E212" s="214">
        <f t="shared" ref="E212" si="187">(C212-$C$2)/$C$2</f>
        <v>-1.1629344951580198E-2</v>
      </c>
      <c r="F212" s="224">
        <v>4844.91</v>
      </c>
      <c r="G212" s="175">
        <f t="shared" si="64"/>
        <v>2.0641457063493292E-3</v>
      </c>
      <c r="H212" s="208">
        <f t="shared" ref="H212" si="188">(F212-F$2)/F$2</f>
        <v>-4.8469077125517991E-2</v>
      </c>
      <c r="I212" s="226">
        <v>321688.28999999998</v>
      </c>
      <c r="J212" s="177">
        <v>400000</v>
      </c>
      <c r="K212" s="177">
        <f t="shared" ref="K212" si="189">I212-I211-J212+J211</f>
        <v>-3921.9200000000419</v>
      </c>
      <c r="L212" s="175">
        <f t="shared" si="90"/>
        <v>-1.2044831149490188E-2</v>
      </c>
      <c r="M212" s="187">
        <f t="shared" ref="M212" si="190">I212-J212</f>
        <v>-78311.710000000021</v>
      </c>
      <c r="N212" s="189">
        <f t="shared" ref="N212" si="191">M212/J212</f>
        <v>-0.19577927500000006</v>
      </c>
      <c r="O212" s="187" t="b">
        <f t="shared" ref="O212" si="192">L212&gt;D212</f>
        <v>0</v>
      </c>
      <c r="P212" s="189">
        <f>COUNTIF(O$2:O212, TRUE)/(COUNTIF(O$2:O212,FALSE) + COUNTIF(O$2:O212, TRUE))</f>
        <v>0.47867298578199052</v>
      </c>
      <c r="Q212" s="177">
        <v>270659.01</v>
      </c>
      <c r="R212" s="177">
        <f t="shared" ref="R212" si="193">I212-Q212</f>
        <v>51029.27999999997</v>
      </c>
      <c r="S212" s="177">
        <v>-85365</v>
      </c>
      <c r="T212" s="177">
        <f t="shared" ref="T212" si="194">M212-S212</f>
        <v>7053.289999999979</v>
      </c>
      <c r="U212" s="189">
        <f>STDEV(D$2:D212)*SQRT(252)</f>
        <v>0.17471866463196331</v>
      </c>
      <c r="V212" s="189">
        <f>STDEV(L$2:L212)*SQRT(252)</f>
        <v>0.37342122618774559</v>
      </c>
      <c r="W212" s="187">
        <f t="shared" si="86"/>
        <v>-0.52428534124508441</v>
      </c>
    </row>
    <row r="213" spans="2:23" ht="20.100000000000001" customHeight="1" x14ac:dyDescent="0.25">
      <c r="B213" s="176">
        <v>42538</v>
      </c>
      <c r="C213" s="220">
        <v>2071.2199999999998</v>
      </c>
      <c r="D213" s="175">
        <f t="shared" si="71"/>
        <v>-3.2579560055630598E-3</v>
      </c>
      <c r="E213" s="214">
        <f t="shared" ref="E213:E214" si="195">(C213-$C$2)/$C$2</f>
        <v>-1.4849413062917493E-2</v>
      </c>
      <c r="F213" s="224">
        <v>4800.34</v>
      </c>
      <c r="G213" s="175">
        <f t="shared" si="64"/>
        <v>-9.1993452922757516E-3</v>
      </c>
      <c r="H213" s="208">
        <f t="shared" ref="H213:H214" si="196">(F213-F$2)/F$2</f>
        <v>-5.7222538641318162E-2</v>
      </c>
      <c r="I213" s="226">
        <v>328584.48</v>
      </c>
      <c r="J213" s="177">
        <v>400000</v>
      </c>
      <c r="K213" s="177">
        <f t="shared" ref="K213:K214" si="197">I213-I212-J213+J212</f>
        <v>6896.1900000000023</v>
      </c>
      <c r="L213" s="175">
        <f t="shared" si="90"/>
        <v>2.1437491554324228E-2</v>
      </c>
      <c r="M213" s="187">
        <f t="shared" ref="M213:M214" si="198">I213-J213</f>
        <v>-71415.520000000019</v>
      </c>
      <c r="N213" s="189">
        <f t="shared" ref="N213:N214" si="199">M213/J213</f>
        <v>-0.17853880000000005</v>
      </c>
      <c r="O213" s="187" t="b">
        <f t="shared" ref="O213:O214" si="200">L213&gt;D213</f>
        <v>1</v>
      </c>
      <c r="P213" s="189">
        <f>COUNTIF(O$2:O213, TRUE)/(COUNTIF(O$2:O213,FALSE) + COUNTIF(O$2:O213, TRUE))</f>
        <v>0.48113207547169812</v>
      </c>
      <c r="Q213" s="177">
        <v>269293.38</v>
      </c>
      <c r="R213" s="177">
        <f t="shared" ref="R213:R214" si="201">I213-Q213</f>
        <v>59291.099999999977</v>
      </c>
      <c r="S213" s="177">
        <v>-78578</v>
      </c>
      <c r="T213" s="177">
        <f t="shared" ref="T213:T214" si="202">M213-S213</f>
        <v>7162.4799999999814</v>
      </c>
      <c r="U213" s="189">
        <f>STDEV(D$2:D213)*SQRT(252)</f>
        <v>0.1743386358196137</v>
      </c>
      <c r="V213" s="189">
        <f>STDEV(L$2:L213)*SQRT(252)</f>
        <v>0.37328913049687473</v>
      </c>
      <c r="W213" s="187">
        <f t="shared" si="86"/>
        <v>-0.47828555779899629</v>
      </c>
    </row>
    <row r="214" spans="2:23" ht="20.100000000000001" customHeight="1" x14ac:dyDescent="0.25">
      <c r="B214" s="249">
        <v>42541</v>
      </c>
      <c r="C214" s="250">
        <v>2083.25</v>
      </c>
      <c r="D214" s="175">
        <f t="shared" si="71"/>
        <v>5.808171029634805E-3</v>
      </c>
      <c r="E214" s="251">
        <f t="shared" si="195"/>
        <v>-9.1274899640418055E-3</v>
      </c>
      <c r="F214" s="252">
        <v>4837.21</v>
      </c>
      <c r="G214" s="175">
        <f t="shared" si="64"/>
        <v>7.6807059499951853E-3</v>
      </c>
      <c r="H214" s="253">
        <f t="shared" si="196"/>
        <v>-4.9981342184339181E-2</v>
      </c>
      <c r="I214" s="254">
        <v>341742.75</v>
      </c>
      <c r="J214" s="255">
        <v>400000</v>
      </c>
      <c r="K214" s="255">
        <f t="shared" si="197"/>
        <v>13158.270000000019</v>
      </c>
      <c r="L214" s="175">
        <f t="shared" si="90"/>
        <v>4.0045318025976211E-2</v>
      </c>
      <c r="M214" s="256">
        <f t="shared" si="198"/>
        <v>-58257.25</v>
      </c>
      <c r="N214" s="257">
        <f t="shared" si="199"/>
        <v>-0.14564312500000001</v>
      </c>
      <c r="O214" s="256" t="b">
        <f t="shared" si="200"/>
        <v>1</v>
      </c>
      <c r="P214" s="257">
        <f>COUNTIF(O$2:O214, TRUE)/(COUNTIF(O$2:O214,FALSE) + COUNTIF(O$2:O214, TRUE))</f>
        <v>0.48356807511737088</v>
      </c>
      <c r="Q214" s="255">
        <v>253651.64</v>
      </c>
      <c r="R214" s="255">
        <f t="shared" si="201"/>
        <v>88091.109999999986</v>
      </c>
      <c r="S214" s="255">
        <v>-65989</v>
      </c>
      <c r="T214" s="255">
        <f t="shared" si="202"/>
        <v>7731.75</v>
      </c>
      <c r="U214" s="257">
        <f>STDEV(D$2:D214)*SQRT(252)</f>
        <v>0.1740406908760673</v>
      </c>
      <c r="V214" s="257">
        <f>STDEV(L$2:L214)*SQRT(252)</f>
        <v>0.37498171296802196</v>
      </c>
      <c r="W214" s="256">
        <f t="shared" si="86"/>
        <v>-0.38840060718486369</v>
      </c>
    </row>
    <row r="215" spans="2:23" ht="20.100000000000001" customHeight="1" x14ac:dyDescent="0.25">
      <c r="B215" s="249">
        <v>42542</v>
      </c>
      <c r="C215" s="250">
        <v>2088.9</v>
      </c>
      <c r="D215" s="175">
        <f t="shared" si="71"/>
        <v>2.7121084843394171E-3</v>
      </c>
      <c r="E215" s="251">
        <f t="shared" ref="E215" si="203">(C215-$C$2)/$C$2</f>
        <v>-6.4401362226745888E-3</v>
      </c>
      <c r="F215" s="252">
        <v>4843.76</v>
      </c>
      <c r="G215" s="175">
        <f t="shared" si="64"/>
        <v>1.3540863431606611E-3</v>
      </c>
      <c r="H215" s="253">
        <f t="shared" ref="H215" si="204">(F215-F$2)/F$2</f>
        <v>-4.8694934894043168E-2</v>
      </c>
      <c r="I215" s="254">
        <v>348811.35</v>
      </c>
      <c r="J215" s="255">
        <v>400000</v>
      </c>
      <c r="K215" s="255">
        <f t="shared" ref="K215" si="205">I215-I214-J215+J214</f>
        <v>7068.5999999999767</v>
      </c>
      <c r="L215" s="175">
        <f t="shared" si="90"/>
        <v>2.0683979396783039E-2</v>
      </c>
      <c r="M215" s="256">
        <f t="shared" ref="M215" si="206">I215-J215</f>
        <v>-51188.650000000023</v>
      </c>
      <c r="N215" s="257">
        <f t="shared" ref="N215" si="207">M215/J215</f>
        <v>-0.12797162500000006</v>
      </c>
      <c r="O215" s="256" t="b">
        <f t="shared" ref="O215" si="208">L215&gt;D215</f>
        <v>1</v>
      </c>
      <c r="P215" s="257">
        <f>COUNTIF(O$2:O215, TRUE)/(COUNTIF(O$2:O215,FALSE) + COUNTIF(O$2:O215, TRUE))</f>
        <v>0.48598130841121495</v>
      </c>
      <c r="Q215" s="255">
        <v>239827.20000000001</v>
      </c>
      <c r="R215" s="255">
        <f t="shared" ref="R215" si="209">I215-Q215</f>
        <v>108984.14999999997</v>
      </c>
      <c r="S215" s="255">
        <v>-59378</v>
      </c>
      <c r="T215" s="255">
        <f t="shared" ref="T215" si="210">M215-S215</f>
        <v>8189.3499999999767</v>
      </c>
      <c r="U215" s="257">
        <f>STDEV(D$2:D215)*SQRT(252)</f>
        <v>0.17365448408627729</v>
      </c>
      <c r="V215" s="257">
        <f>STDEV(L$2:L215)*SQRT(252)</f>
        <v>0.37477394701034494</v>
      </c>
      <c r="W215" s="256">
        <f t="shared" si="86"/>
        <v>-0.34146350358891847</v>
      </c>
    </row>
    <row r="216" spans="2:23" ht="20.100000000000001" customHeight="1" x14ac:dyDescent="0.25">
      <c r="B216" s="249">
        <v>42543</v>
      </c>
      <c r="C216" s="250">
        <v>2085.4499999999998</v>
      </c>
      <c r="D216" s="175">
        <f t="shared" si="71"/>
        <v>-1.6515869596439622E-3</v>
      </c>
      <c r="E216" s="251">
        <f t="shared" ref="E216" si="211">(C216-$C$2)/$C$2</f>
        <v>-8.081086737314851E-3</v>
      </c>
      <c r="F216" s="252">
        <v>4833.3100000000004</v>
      </c>
      <c r="G216" s="175">
        <f t="shared" si="64"/>
        <v>-2.1574149008208123E-3</v>
      </c>
      <c r="H216" s="253">
        <f t="shared" ref="H216" si="212">(F216-F$2)/F$2</f>
        <v>-5.0747294616729076E-2</v>
      </c>
      <c r="I216" s="254">
        <v>345838.5</v>
      </c>
      <c r="J216" s="255">
        <v>400000</v>
      </c>
      <c r="K216" s="255">
        <f t="shared" ref="K216" si="213">I216-I215-J216+J215</f>
        <v>-2972.8499999999767</v>
      </c>
      <c r="L216" s="175">
        <f t="shared" si="90"/>
        <v>-8.5228017952970192E-3</v>
      </c>
      <c r="M216" s="256">
        <f t="shared" ref="M216" si="214">I216-J216</f>
        <v>-54161.5</v>
      </c>
      <c r="N216" s="257">
        <f t="shared" ref="N216" si="215">M216/J216</f>
        <v>-0.13540374999999999</v>
      </c>
      <c r="O216" s="256" t="b">
        <f t="shared" ref="O216" si="216">L216&gt;D216</f>
        <v>0</v>
      </c>
      <c r="P216" s="257">
        <f>COUNTIF(O$2:O216, TRUE)/(COUNTIF(O$2:O216,FALSE) + COUNTIF(O$2:O216, TRUE))</f>
        <v>0.48372093023255813</v>
      </c>
      <c r="Q216" s="255">
        <v>250911.65</v>
      </c>
      <c r="R216" s="255">
        <f t="shared" ref="R216" si="217">I216-Q216</f>
        <v>94926.85</v>
      </c>
      <c r="S216" s="255">
        <v>-62340</v>
      </c>
      <c r="T216" s="255">
        <f t="shared" ref="T216" si="218">M216-S216</f>
        <v>8178.5</v>
      </c>
      <c r="U216" s="257">
        <f>STDEV(D$2:D216)*SQRT(252)</f>
        <v>0.17325596668423277</v>
      </c>
      <c r="V216" s="257">
        <f>STDEV(L$2:L216)*SQRT(252)</f>
        <v>0.37400942044017926</v>
      </c>
      <c r="W216" s="256">
        <f t="shared" si="86"/>
        <v>-0.36203299328835242</v>
      </c>
    </row>
    <row r="217" spans="2:23" ht="20.100000000000001" customHeight="1" x14ac:dyDescent="0.25">
      <c r="B217" s="249">
        <v>42544</v>
      </c>
      <c r="C217" s="250">
        <v>2113.3200000000002</v>
      </c>
      <c r="D217" s="175">
        <f t="shared" si="71"/>
        <v>1.3364022153492219E-2</v>
      </c>
      <c r="E217" s="251">
        <f t="shared" ref="E217" si="219">(C217-$C$2)/$C$2</f>
        <v>5.1749395939956E-3</v>
      </c>
      <c r="F217" s="252">
        <v>4910.04</v>
      </c>
      <c r="G217" s="175">
        <f t="shared" si="64"/>
        <v>1.5875249052926369E-2</v>
      </c>
      <c r="H217" s="253">
        <f t="shared" ref="H217" si="220">(F217-F$2)/F$2</f>
        <v>-3.5677671504605504E-2</v>
      </c>
      <c r="I217" s="254">
        <v>355595.65</v>
      </c>
      <c r="J217" s="255">
        <v>400000</v>
      </c>
      <c r="K217" s="255">
        <f t="shared" ref="K217" si="221">I217-I216-J217+J216</f>
        <v>9757.1500000000233</v>
      </c>
      <c r="L217" s="175">
        <f t="shared" si="90"/>
        <v>2.8213024287348065E-2</v>
      </c>
      <c r="M217" s="256">
        <f t="shared" ref="M217" si="222">I217-J217</f>
        <v>-44404.349999999977</v>
      </c>
      <c r="N217" s="257">
        <f t="shared" ref="N217" si="223">M217/J217</f>
        <v>-0.11101087499999994</v>
      </c>
      <c r="O217" s="256" t="b">
        <f t="shared" ref="O217" si="224">L217&gt;D217</f>
        <v>1</v>
      </c>
      <c r="P217" s="257">
        <f>COUNTIF(O$2:O217, TRUE)/(COUNTIF(O$2:O217,FALSE) + COUNTIF(O$2:O217, TRUE))</f>
        <v>0.4861111111111111</v>
      </c>
      <c r="Q217" s="255">
        <v>222188.6</v>
      </c>
      <c r="R217" s="255">
        <f t="shared" ref="R217" si="225">I217-Q217</f>
        <v>133407.05000000002</v>
      </c>
      <c r="S217" s="255">
        <v>-52883</v>
      </c>
      <c r="T217" s="255">
        <f t="shared" ref="T217" si="226">M217-S217</f>
        <v>8478.6500000000233</v>
      </c>
      <c r="U217" s="257">
        <f>STDEV(D$2:D217)*SQRT(252)</f>
        <v>0.17345322733352617</v>
      </c>
      <c r="V217" s="257">
        <f>STDEV(L$2:L217)*SQRT(252)</f>
        <v>0.37437996728891731</v>
      </c>
      <c r="W217" s="256">
        <f t="shared" si="86"/>
        <v>-0.29651927106006287</v>
      </c>
    </row>
    <row r="218" spans="2:23" ht="20.100000000000001" customHeight="1" x14ac:dyDescent="0.25">
      <c r="B218" s="249">
        <v>42545</v>
      </c>
      <c r="C218" s="250">
        <v>2037.3</v>
      </c>
      <c r="D218" s="175">
        <f t="shared" si="71"/>
        <v>-3.5971835784452996E-2</v>
      </c>
      <c r="E218" s="251">
        <f t="shared" ref="E218" si="227">(C218-$C$2)/$C$2</f>
        <v>-3.0983048267727069E-2</v>
      </c>
      <c r="F218" s="252">
        <v>4707.9799999999996</v>
      </c>
      <c r="G218" s="175">
        <f t="shared" si="64"/>
        <v>-4.1152414236951311E-2</v>
      </c>
      <c r="H218" s="253">
        <f t="shared" ref="H218" si="228">(F218-F$2)/F$2</f>
        <v>-7.5361863424789413E-2</v>
      </c>
      <c r="I218" s="254">
        <v>344597.21</v>
      </c>
      <c r="J218" s="255">
        <v>400000</v>
      </c>
      <c r="K218" s="255">
        <f t="shared" ref="K218" si="229">I218-I217-J218+J217</f>
        <v>-10998.440000000002</v>
      </c>
      <c r="L218" s="175">
        <f t="shared" si="90"/>
        <v>-3.092962470153952E-2</v>
      </c>
      <c r="M218" s="256">
        <f t="shared" ref="M218" si="230">I218-J218</f>
        <v>-55402.789999999979</v>
      </c>
      <c r="N218" s="257">
        <f t="shared" ref="N218" si="231">M218/J218</f>
        <v>-0.13850697499999995</v>
      </c>
      <c r="O218" s="256" t="b">
        <f t="shared" ref="O218" si="232">L218&gt;D218</f>
        <v>1</v>
      </c>
      <c r="P218" s="257">
        <f>COUNTIF(O$2:O218, TRUE)/(COUNTIF(O$2:O218,FALSE) + COUNTIF(O$2:O218, TRUE))</f>
        <v>0.48847926267281105</v>
      </c>
      <c r="Q218" s="255">
        <v>292212.87</v>
      </c>
      <c r="R218" s="255">
        <f t="shared" ref="R218" si="233">I218-Q218</f>
        <v>52384.340000000026</v>
      </c>
      <c r="S218" s="255">
        <v>-60319</v>
      </c>
      <c r="T218" s="255">
        <f t="shared" ref="T218" si="234">M218-S218</f>
        <v>4916.210000000021</v>
      </c>
      <c r="U218" s="257">
        <f>STDEV(D$2:D218)*SQRT(252)</f>
        <v>0.17737738991567559</v>
      </c>
      <c r="V218" s="257">
        <f>STDEV(L$2:L218)*SQRT(252)</f>
        <v>0.37501491948250398</v>
      </c>
      <c r="W218" s="256">
        <f t="shared" si="86"/>
        <v>-0.36933723914539318</v>
      </c>
    </row>
    <row r="219" spans="2:23" ht="20.100000000000001" customHeight="1" x14ac:dyDescent="0.25">
      <c r="B219" s="176">
        <v>42548</v>
      </c>
      <c r="C219" s="220">
        <v>2000.54</v>
      </c>
      <c r="D219" s="175">
        <f t="shared" si="71"/>
        <v>-1.8043488931428847E-2</v>
      </c>
      <c r="E219" s="214">
        <f t="shared" ref="E219" si="235">(C219-$C$2)/$C$2</f>
        <v>-4.8467494910675257E-2</v>
      </c>
      <c r="F219" s="224">
        <v>4594.4399999999996</v>
      </c>
      <c r="G219" s="175">
        <f t="shared" si="64"/>
        <v>-2.4116500070093749E-2</v>
      </c>
      <c r="H219" s="208">
        <f t="shared" ref="H219" si="236">(F219-F$2)/F$2</f>
        <v>-9.7660899110316834E-2</v>
      </c>
      <c r="I219" s="226">
        <v>328090.52</v>
      </c>
      <c r="J219" s="177">
        <v>400000</v>
      </c>
      <c r="K219" s="177">
        <f t="shared" ref="K219" si="237">I219-I218-J219+J218</f>
        <v>-16506.690000000002</v>
      </c>
      <c r="L219" s="175">
        <f t="shared" si="90"/>
        <v>-4.7901403496563424E-2</v>
      </c>
      <c r="M219" s="187">
        <f t="shared" ref="M219" si="238">I219-J219</f>
        <v>-71909.479999999981</v>
      </c>
      <c r="N219" s="189">
        <f t="shared" ref="N219" si="239">M219/J219</f>
        <v>-0.17977369999999995</v>
      </c>
      <c r="O219" s="187" t="b">
        <f t="shared" ref="O219" si="240">L219&gt;D219</f>
        <v>0</v>
      </c>
      <c r="P219" s="189">
        <f>COUNTIF(O$2:O219, TRUE)/(COUNTIF(O$2:O219,FALSE) + COUNTIF(O$2:O219, TRUE))</f>
        <v>0.48623853211009177</v>
      </c>
      <c r="Q219" s="177">
        <v>330827.23</v>
      </c>
      <c r="R219" s="177">
        <f t="shared" ref="R219" si="241">I219-Q219</f>
        <v>-2736.7099999999627</v>
      </c>
      <c r="S219" s="177">
        <v>-73004</v>
      </c>
      <c r="T219" s="177">
        <f t="shared" ref="T219" si="242">M219-S219</f>
        <v>1094.5200000000186</v>
      </c>
      <c r="U219" s="189">
        <f>STDEV(D$2:D219)*SQRT(252)</f>
        <v>0.17802153758815042</v>
      </c>
      <c r="V219" s="189">
        <f>STDEV(L$2:L219)*SQRT(252)</f>
        <v>0.37769251793384978</v>
      </c>
      <c r="W219" s="187">
        <f t="shared" si="86"/>
        <v>-0.47597898148325529</v>
      </c>
    </row>
    <row r="220" spans="2:23" ht="20.100000000000001" customHeight="1" x14ac:dyDescent="0.25">
      <c r="B220" s="176">
        <v>42549</v>
      </c>
      <c r="C220" s="220">
        <v>2036.09</v>
      </c>
      <c r="D220" s="175">
        <f t="shared" si="71"/>
        <v>1.7770202045447707E-2</v>
      </c>
      <c r="E220" s="214">
        <f t="shared" ref="E220" si="243">(C220-$C$2)/$C$2</f>
        <v>-3.1558570042426959E-2</v>
      </c>
      <c r="F220" s="224">
        <v>4691.8599999999997</v>
      </c>
      <c r="G220" s="175">
        <f t="shared" si="64"/>
        <v>2.1203889919119649E-2</v>
      </c>
      <c r="H220" s="208">
        <f t="shared" ref="H220" si="244">(F220-F$2)/F$2</f>
        <v>-7.85278001453346E-2</v>
      </c>
      <c r="I220" s="226">
        <v>347315.97</v>
      </c>
      <c r="J220" s="177">
        <v>400000</v>
      </c>
      <c r="K220" s="177">
        <f t="shared" ref="K220" si="245">I220-I219-J220+J219</f>
        <v>19225.449999999953</v>
      </c>
      <c r="L220" s="175">
        <f t="shared" ref="L220:L247" si="246">K220/I219</f>
        <v>5.8598005209050091E-2</v>
      </c>
      <c r="M220" s="187">
        <f t="shared" ref="M220" si="247">I220-J220</f>
        <v>-52684.030000000028</v>
      </c>
      <c r="N220" s="189">
        <f t="shared" ref="N220" si="248">M220/J220</f>
        <v>-0.13171007500000007</v>
      </c>
      <c r="O220" s="187" t="b">
        <f t="shared" ref="O220" si="249">L220&gt;D220</f>
        <v>1</v>
      </c>
      <c r="P220" s="189">
        <f>COUNTIF(O$2:O220, TRUE)/(COUNTIF(O$2:O220,FALSE) + COUNTIF(O$2:O220, TRUE))</f>
        <v>0.48858447488584472</v>
      </c>
      <c r="Q220" s="177">
        <v>324005.03999999998</v>
      </c>
      <c r="R220" s="177">
        <f t="shared" ref="R220" si="250">I220-Q220</f>
        <v>23310.929999999993</v>
      </c>
      <c r="S220" s="177">
        <v>-57120</v>
      </c>
      <c r="T220" s="177">
        <f t="shared" ref="T220" si="251">M220-S220</f>
        <v>4435.9699999999721</v>
      </c>
      <c r="U220" s="189">
        <f>STDEV(D$2:D220)*SQRT(252)</f>
        <v>0.17865473175577545</v>
      </c>
      <c r="V220" s="189">
        <f>STDEV(L$2:L220)*SQRT(252)</f>
        <v>0.38208789279178124</v>
      </c>
      <c r="W220" s="187">
        <f t="shared" si="86"/>
        <v>-0.34471145902488842</v>
      </c>
    </row>
    <row r="221" spans="2:23" ht="20.100000000000001" customHeight="1" x14ac:dyDescent="0.25">
      <c r="B221" s="176">
        <v>42550</v>
      </c>
      <c r="C221" s="220">
        <v>2070.77</v>
      </c>
      <c r="D221" s="175">
        <f t="shared" si="71"/>
        <v>1.7032645904650614E-2</v>
      </c>
      <c r="E221" s="214">
        <f t="shared" ref="E221" si="252">(C221-$C$2)/$C$2</f>
        <v>-1.506345008656612E-2</v>
      </c>
      <c r="F221" s="224">
        <v>4779.24</v>
      </c>
      <c r="G221" s="175">
        <f t="shared" si="64"/>
        <v>1.8623744101486428E-2</v>
      </c>
      <c r="H221" s="208">
        <f t="shared" ref="H221" si="253">(F221-F$2)/F$2</f>
        <v>-6.1366537698607546E-2</v>
      </c>
      <c r="I221" s="226">
        <v>354799.59</v>
      </c>
      <c r="J221" s="177">
        <v>400000</v>
      </c>
      <c r="K221" s="177">
        <f t="shared" ref="K221" si="254">I221-I220-J221+J220</f>
        <v>7483.6200000000536</v>
      </c>
      <c r="L221" s="175">
        <f t="shared" si="246"/>
        <v>2.154700804572866E-2</v>
      </c>
      <c r="M221" s="187">
        <f t="shared" ref="M221" si="255">I221-J221</f>
        <v>-45200.409999999974</v>
      </c>
      <c r="N221" s="189">
        <f t="shared" ref="N221" si="256">M221/J221</f>
        <v>-0.11300102499999994</v>
      </c>
      <c r="O221" s="187" t="b">
        <f t="shared" ref="O221" si="257">L221&gt;D221</f>
        <v>1</v>
      </c>
      <c r="P221" s="189">
        <f>COUNTIF(O$2:O221, TRUE)/(COUNTIF(O$2:O221,FALSE) + COUNTIF(O$2:O221, TRUE))</f>
        <v>0.49090909090909091</v>
      </c>
      <c r="Q221" s="177">
        <v>321658.87</v>
      </c>
      <c r="R221" s="177">
        <f t="shared" ref="R221" si="258">I221-Q221</f>
        <v>33140.72000000003</v>
      </c>
      <c r="S221" s="177">
        <v>-52035</v>
      </c>
      <c r="T221" s="177">
        <f t="shared" ref="T221" si="259">M221-S221</f>
        <v>6834.5900000000256</v>
      </c>
      <c r="U221" s="189">
        <f>STDEV(D$2:D221)*SQRT(252)</f>
        <v>0.17918768492627107</v>
      </c>
      <c r="V221" s="189">
        <f>STDEV(L$2:L221)*SQRT(252)</f>
        <v>0.38190631702856759</v>
      </c>
      <c r="W221" s="187">
        <f t="shared" si="86"/>
        <v>-0.29588676584144369</v>
      </c>
    </row>
    <row r="222" spans="2:23" ht="20.100000000000001" customHeight="1" x14ac:dyDescent="0.25">
      <c r="B222" s="176">
        <v>42551</v>
      </c>
      <c r="C222" s="220">
        <v>2098.86</v>
      </c>
      <c r="D222" s="175">
        <f t="shared" si="71"/>
        <v>1.3565002390415229E-2</v>
      </c>
      <c r="E222" s="214">
        <f t="shared" ref="E222" si="260">(C222-$C$2)/$C$2</f>
        <v>-1.7027834325830592E-3</v>
      </c>
      <c r="F222" s="224">
        <v>4842.67</v>
      </c>
      <c r="G222" s="175">
        <f t="shared" si="64"/>
        <v>1.3271984667018248E-2</v>
      </c>
      <c r="H222" s="208">
        <f t="shared" ref="H222" si="261">(F222-F$2)/F$2</f>
        <v>-4.8909008778993214E-2</v>
      </c>
      <c r="I222" s="490">
        <v>358404.16</v>
      </c>
      <c r="J222" s="177">
        <v>400000</v>
      </c>
      <c r="K222" s="177">
        <f t="shared" ref="K222" si="262">I222-I221-J222+J221</f>
        <v>3604.5699999999488</v>
      </c>
      <c r="L222" s="175">
        <f t="shared" si="246"/>
        <v>1.0159453679188154E-2</v>
      </c>
      <c r="M222" s="187">
        <f t="shared" ref="M222" si="263">I222-J222</f>
        <v>-41595.840000000026</v>
      </c>
      <c r="N222" s="189">
        <f t="shared" ref="N222" si="264">M222/J222</f>
        <v>-0.10398960000000007</v>
      </c>
      <c r="O222" s="187" t="b">
        <f t="shared" ref="O222" si="265">L222&gt;D222</f>
        <v>0</v>
      </c>
      <c r="P222" s="189">
        <f>COUNTIF(O$2:O222, TRUE)/(COUNTIF(O$2:O222,FALSE) + COUNTIF(O$2:O222, TRUE))</f>
        <v>0.48868778280542985</v>
      </c>
      <c r="Q222" s="177">
        <v>320795.08</v>
      </c>
      <c r="R222" s="177">
        <f t="shared" ref="R222" si="266">I222-Q222</f>
        <v>37609.079999999958</v>
      </c>
      <c r="S222" s="177">
        <v>-50056</v>
      </c>
      <c r="T222" s="177">
        <f t="shared" ref="T222" si="267">M222-S222</f>
        <v>8460.1599999999744</v>
      </c>
      <c r="U222" s="189">
        <f>STDEV(D$2:D222)*SQRT(252)</f>
        <v>0.17936712847918884</v>
      </c>
      <c r="V222" s="189">
        <f>STDEV(L$2:L222)*SQRT(252)</f>
        <v>0.38118352520471832</v>
      </c>
      <c r="W222" s="187">
        <f t="shared" si="86"/>
        <v>-0.27280717324850662</v>
      </c>
    </row>
    <row r="223" spans="2:23" ht="20.100000000000001" customHeight="1" x14ac:dyDescent="0.25">
      <c r="B223" s="176">
        <v>42552</v>
      </c>
      <c r="C223" s="220">
        <v>2102.9499999999998</v>
      </c>
      <c r="D223" s="175">
        <f t="shared" si="71"/>
        <v>1.9486769007936169E-3</v>
      </c>
      <c r="E223" s="214">
        <f t="shared" ref="E223" si="268">(C223-$C$2)/$C$2</f>
        <v>2.4257529346842884E-4</v>
      </c>
      <c r="F223" s="224">
        <v>4862.59</v>
      </c>
      <c r="G223" s="175">
        <f t="shared" si="64"/>
        <v>4.1134332919649848E-3</v>
      </c>
      <c r="H223" s="208">
        <f t="shared" ref="H223" si="269">(F223-F$2)/F$2</f>
        <v>-4.4996759432016746E-2</v>
      </c>
      <c r="I223" s="226">
        <v>358860.97</v>
      </c>
      <c r="J223" s="177">
        <v>400000</v>
      </c>
      <c r="K223" s="177">
        <f t="shared" ref="K223" si="270">I223-I222-J223+J222</f>
        <v>456.80999999999767</v>
      </c>
      <c r="L223" s="175">
        <f t="shared" si="246"/>
        <v>1.2745666791367535E-3</v>
      </c>
      <c r="M223" s="187">
        <f t="shared" ref="M223" si="271">I223-J223</f>
        <v>-41139.030000000028</v>
      </c>
      <c r="N223" s="189">
        <f t="shared" ref="N223" si="272">M223/J223</f>
        <v>-0.10284757500000007</v>
      </c>
      <c r="O223" s="187" t="b">
        <f t="shared" ref="O223" si="273">L223&gt;D223</f>
        <v>0</v>
      </c>
      <c r="P223" s="189">
        <f>COUNTIF(O$2:O223, TRUE)/(COUNTIF(O$2:O223,FALSE) + COUNTIF(O$2:O223, TRUE))</f>
        <v>0.48648648648648651</v>
      </c>
      <c r="Q223" s="177">
        <v>272845.65000000002</v>
      </c>
      <c r="R223" s="177">
        <f t="shared" ref="R223" si="274">I223-Q223</f>
        <v>86015.319999999949</v>
      </c>
      <c r="S223" s="177">
        <v>-51775</v>
      </c>
      <c r="T223" s="177">
        <f t="shared" ref="T223" si="275">M223-S223</f>
        <v>10635.969999999972</v>
      </c>
      <c r="U223" s="189">
        <f>STDEV(D$2:D223)*SQRT(252)</f>
        <v>0.17897042454940121</v>
      </c>
      <c r="V223" s="189">
        <f>STDEV(L$2:L223)*SQRT(252)</f>
        <v>0.3803179125579893</v>
      </c>
      <c r="W223" s="187">
        <f t="shared" si="86"/>
        <v>-0.27042527213155731</v>
      </c>
    </row>
    <row r="224" spans="2:23" ht="20.100000000000001" customHeight="1" x14ac:dyDescent="0.25">
      <c r="B224" s="249">
        <v>42556</v>
      </c>
      <c r="C224" s="250">
        <v>2088.5500000000002</v>
      </c>
      <c r="D224" s="175">
        <f t="shared" si="71"/>
        <v>-6.847523716683534E-3</v>
      </c>
      <c r="E224" s="251">
        <f t="shared" ref="E224" si="276">(C224-$C$2)/$C$2</f>
        <v>-6.6066094632902111E-3</v>
      </c>
      <c r="F224" s="252">
        <v>4822.8999999999996</v>
      </c>
      <c r="G224" s="175">
        <f t="shared" si="64"/>
        <v>-8.1623167900235286E-3</v>
      </c>
      <c r="H224" s="253">
        <f t="shared" ref="H224" si="277">(F224-F$2)/F$2</f>
        <v>-5.2791798417031674E-2</v>
      </c>
      <c r="I224" s="254">
        <v>346939.19</v>
      </c>
      <c r="J224" s="255">
        <v>400000</v>
      </c>
      <c r="K224" s="255">
        <f t="shared" ref="K224" si="278">I224-I223-J224+J223</f>
        <v>-11921.77999999997</v>
      </c>
      <c r="L224" s="175">
        <f t="shared" si="246"/>
        <v>-3.3221166403245163E-2</v>
      </c>
      <c r="M224" s="256">
        <f t="shared" ref="M224" si="279">I224-J224</f>
        <v>-53060.81</v>
      </c>
      <c r="N224" s="257">
        <f t="shared" ref="N224" si="280">M224/J224</f>
        <v>-0.13265202500000001</v>
      </c>
      <c r="O224" s="256" t="b">
        <f t="shared" ref="O224" si="281">L224&gt;D224</f>
        <v>0</v>
      </c>
      <c r="P224" s="257">
        <f>COUNTIF(O$2:O224, TRUE)/(COUNTIF(O$2:O224,FALSE) + COUNTIF(O$2:O224, TRUE))</f>
        <v>0.48430493273542602</v>
      </c>
      <c r="Q224" s="255">
        <v>313798.31</v>
      </c>
      <c r="R224" s="255">
        <f t="shared" ref="R224" si="282">I224-Q224</f>
        <v>33140.880000000005</v>
      </c>
      <c r="S224" s="255">
        <v>-60102</v>
      </c>
      <c r="T224" s="255">
        <f t="shared" ref="T224" si="283">M224-S224</f>
        <v>7041.1900000000023</v>
      </c>
      <c r="U224" s="257">
        <f>STDEV(D$2:D224)*SQRT(252)</f>
        <v>0.1787168459746149</v>
      </c>
      <c r="V224" s="257">
        <f>STDEV(L$2:L224)*SQRT(252)</f>
        <v>0.38112496311245453</v>
      </c>
      <c r="W224" s="256">
        <f t="shared" si="86"/>
        <v>-0.34805388740925841</v>
      </c>
    </row>
    <row r="225" spans="2:23" ht="20.100000000000001" customHeight="1" x14ac:dyDescent="0.25">
      <c r="B225" s="249">
        <v>42557</v>
      </c>
      <c r="C225" s="250">
        <v>2088.5500000000002</v>
      </c>
      <c r="D225" s="175">
        <f t="shared" si="71"/>
        <v>0</v>
      </c>
      <c r="E225" s="251">
        <f t="shared" ref="E225" si="284">(C225-$C$2)/$C$2</f>
        <v>-6.6066094632902111E-3</v>
      </c>
      <c r="F225" s="252">
        <v>4859.16</v>
      </c>
      <c r="G225" s="175">
        <f t="shared" si="64"/>
        <v>7.5182981193887954E-3</v>
      </c>
      <c r="H225" s="253">
        <f t="shared" ref="H225" si="285">(F225-F$2)/F$2</f>
        <v>-4.5670404776400803E-2</v>
      </c>
      <c r="I225" s="254">
        <v>347494.51</v>
      </c>
      <c r="J225" s="255">
        <v>400000</v>
      </c>
      <c r="K225" s="255">
        <f t="shared" ref="K225" si="286">I225-I224-J225+J224</f>
        <v>555.32000000000698</v>
      </c>
      <c r="L225" s="175">
        <f t="shared" si="246"/>
        <v>1.6006263230164543E-3</v>
      </c>
      <c r="M225" s="256">
        <f t="shared" ref="M225" si="287">I225-J225</f>
        <v>-52505.489999999991</v>
      </c>
      <c r="N225" s="257">
        <f t="shared" ref="N225" si="288">M225/J225</f>
        <v>-0.13126372499999997</v>
      </c>
      <c r="O225" s="256" t="b">
        <f t="shared" ref="O225" si="289">L225&gt;D225</f>
        <v>1</v>
      </c>
      <c r="P225" s="257">
        <f>COUNTIF(O$2:O225, TRUE)/(COUNTIF(O$2:O225,FALSE) + COUNTIF(O$2:O225, TRUE))</f>
        <v>0.48660714285714285</v>
      </c>
      <c r="Q225" s="255">
        <v>315793.82</v>
      </c>
      <c r="R225" s="255">
        <f t="shared" ref="R225" si="290">I225-Q225</f>
        <v>31700.690000000002</v>
      </c>
      <c r="S225" s="255">
        <v>-60101</v>
      </c>
      <c r="T225" s="255">
        <f t="shared" ref="T225" si="291">M225-S225</f>
        <v>7595.5100000000093</v>
      </c>
      <c r="U225" s="257">
        <f>STDEV(D$2:D225)*SQRT(252)</f>
        <v>0.17831387977448732</v>
      </c>
      <c r="V225" s="257">
        <f>STDEV(L$2:L225)*SQRT(252)</f>
        <v>0.38026911407606601</v>
      </c>
      <c r="W225" s="256">
        <f t="shared" si="86"/>
        <v>-0.3451863960051802</v>
      </c>
    </row>
    <row r="226" spans="2:23" ht="20.100000000000001" customHeight="1" x14ac:dyDescent="0.25">
      <c r="B226" s="249">
        <v>42558</v>
      </c>
      <c r="C226" s="250">
        <v>2088.5500000000002</v>
      </c>
      <c r="D226" s="175">
        <f t="shared" si="71"/>
        <v>0</v>
      </c>
      <c r="E226" s="251">
        <f t="shared" ref="E226" si="292">(C226-$C$2)/$C$2</f>
        <v>-6.6066094632902111E-3</v>
      </c>
      <c r="F226" s="252">
        <v>4876.8</v>
      </c>
      <c r="G226" s="175">
        <f t="shared" si="64"/>
        <v>3.630257081470939E-3</v>
      </c>
      <c r="H226" s="253">
        <f t="shared" ref="H226" si="293">(F226-F$2)/F$2</f>
        <v>-4.2205943005283041E-2</v>
      </c>
      <c r="I226" s="254">
        <v>350011.84</v>
      </c>
      <c r="J226" s="255">
        <v>400000</v>
      </c>
      <c r="K226" s="255">
        <f t="shared" ref="K226" si="294">I226-I225-J226+J225</f>
        <v>2517.3300000000163</v>
      </c>
      <c r="L226" s="175">
        <f t="shared" si="246"/>
        <v>7.2442295563173538E-3</v>
      </c>
      <c r="M226" s="256">
        <f t="shared" ref="M226" si="295">I226-J226</f>
        <v>-49988.159999999974</v>
      </c>
      <c r="N226" s="257">
        <f t="shared" ref="N226" si="296">M226/J226</f>
        <v>-0.12497039999999994</v>
      </c>
      <c r="O226" s="256" t="b">
        <f t="shared" ref="O226" si="297">L226&gt;D226</f>
        <v>1</v>
      </c>
      <c r="P226" s="257">
        <f>COUNTIF(O$2:O226, TRUE)/(COUNTIF(O$2:O226,FALSE) + COUNTIF(O$2:O226, TRUE))</f>
        <v>0.48888888888888887</v>
      </c>
      <c r="Q226" s="255">
        <v>315794.82</v>
      </c>
      <c r="R226" s="255">
        <f t="shared" ref="R226" si="298">I226-Q226</f>
        <v>34217.020000000019</v>
      </c>
      <c r="S226" s="255">
        <v>-60100</v>
      </c>
      <c r="T226" s="255">
        <f t="shared" ref="T226" si="299">M226-S226</f>
        <v>10111.840000000026</v>
      </c>
      <c r="U226" s="257">
        <f>STDEV(D$2:D226)*SQRT(252)</f>
        <v>0.17791362713368658</v>
      </c>
      <c r="V226" s="257">
        <f>STDEV(L$2:L226)*SQRT(252)</f>
        <v>0.3794918182893931</v>
      </c>
      <c r="W226" s="256">
        <f t="shared" si="86"/>
        <v>-0.32930986645066468</v>
      </c>
    </row>
    <row r="227" spans="2:23" ht="20.100000000000001" customHeight="1" x14ac:dyDescent="0.25">
      <c r="B227" s="249">
        <v>42559</v>
      </c>
      <c r="C227" s="250">
        <v>2088.5500000000002</v>
      </c>
      <c r="D227" s="175">
        <f t="shared" si="71"/>
        <v>0</v>
      </c>
      <c r="E227" s="251">
        <f t="shared" ref="E227" si="300">(C227-$C$2)/$C$2</f>
        <v>-6.6066094632902111E-3</v>
      </c>
      <c r="F227" s="252">
        <v>4956.75</v>
      </c>
      <c r="G227" s="175">
        <f t="shared" si="64"/>
        <v>1.6393946850393661E-2</v>
      </c>
      <c r="H227" s="253">
        <f t="shared" ref="H227" si="301">(F227-F$2)/F$2</f>
        <v>-2.6503918141288729E-2</v>
      </c>
      <c r="I227" s="254">
        <f>356591.17-44.77</f>
        <v>356546.39999999997</v>
      </c>
      <c r="J227" s="255">
        <v>400000</v>
      </c>
      <c r="K227" s="255">
        <f t="shared" ref="K227" si="302">I227-I226-J227+J226</f>
        <v>6534.5599999999395</v>
      </c>
      <c r="L227" s="175">
        <f t="shared" si="246"/>
        <v>1.8669539864708401E-2</v>
      </c>
      <c r="M227" s="256">
        <f t="shared" ref="M227" si="303">I227-J227</f>
        <v>-43453.600000000035</v>
      </c>
      <c r="N227" s="257">
        <f t="shared" ref="N227" si="304">M227/J227</f>
        <v>-0.10863400000000009</v>
      </c>
      <c r="O227" s="256" t="b">
        <f t="shared" ref="O227" si="305">L227&gt;D227</f>
        <v>1</v>
      </c>
      <c r="P227" s="257">
        <f>COUNTIF(O$2:O227, TRUE)/(COUNTIF(O$2:O227,FALSE) + COUNTIF(O$2:O227, TRUE))</f>
        <v>0.49115044247787609</v>
      </c>
      <c r="Q227" s="255">
        <v>317292.78000000003</v>
      </c>
      <c r="R227" s="255">
        <f t="shared" ref="R227" si="306">I227-Q227</f>
        <v>39253.619999999937</v>
      </c>
      <c r="S227" s="255">
        <v>-54317</v>
      </c>
      <c r="T227" s="255">
        <f t="shared" ref="T227" si="307">M227-S227</f>
        <v>10863.399999999965</v>
      </c>
      <c r="U227" s="257">
        <f>STDEV(D$2:D227)*SQRT(252)</f>
        <v>0.17751605773328505</v>
      </c>
      <c r="V227" s="257">
        <f>STDEV(L$2:L227)*SQRT(252)</f>
        <v>0.37915328642285256</v>
      </c>
      <c r="W227" s="256">
        <f t="shared" si="86"/>
        <v>-0.28651736353102708</v>
      </c>
    </row>
    <row r="228" spans="2:23" ht="20.100000000000001" customHeight="1" x14ac:dyDescent="0.25">
      <c r="B228" s="176">
        <v>42562</v>
      </c>
      <c r="C228" s="220">
        <v>2137.16</v>
      </c>
      <c r="D228" s="175">
        <f t="shared" si="71"/>
        <v>2.3274520600416397E-2</v>
      </c>
      <c r="E228" s="214">
        <f t="shared" ref="E228" si="308">(C228-$C$2)/$C$2</f>
        <v>1.6514145469073933E-2</v>
      </c>
      <c r="F228" s="224">
        <v>4988.63</v>
      </c>
      <c r="G228" s="175">
        <f t="shared" si="64"/>
        <v>6.4316336309073706E-3</v>
      </c>
      <c r="H228" s="208">
        <f t="shared" ref="H228" si="309">(F228-F$2)/F$2</f>
        <v>-2.0242748001649689E-2</v>
      </c>
      <c r="I228" s="226">
        <v>356544.06</v>
      </c>
      <c r="J228" s="177">
        <v>400000</v>
      </c>
      <c r="K228" s="177">
        <f t="shared" ref="K228" si="310">I228-I227-J228+J227</f>
        <v>-2.3399999999674037</v>
      </c>
      <c r="L228" s="175">
        <f t="shared" si="246"/>
        <v>-6.5629606692632545E-6</v>
      </c>
      <c r="M228" s="187">
        <f t="shared" ref="M228" si="311">I228-J228</f>
        <v>-43455.94</v>
      </c>
      <c r="N228" s="189">
        <f t="shared" ref="N228" si="312">M228/J228</f>
        <v>-0.10863985000000001</v>
      </c>
      <c r="O228" s="187" t="b">
        <f t="shared" ref="O228" si="313">L228&gt;D228</f>
        <v>0</v>
      </c>
      <c r="P228" s="189">
        <f>COUNTIF(O$2:O228, TRUE)/(COUNTIF(O$2:O228,FALSE) + COUNTIF(O$2:O228, TRUE))</f>
        <v>0.48898678414096919</v>
      </c>
      <c r="Q228" s="177">
        <v>315114.71999999997</v>
      </c>
      <c r="R228" s="177">
        <f t="shared" ref="R228" si="314">I228-Q228</f>
        <v>41429.340000000026</v>
      </c>
      <c r="S228" s="177">
        <v>-55783</v>
      </c>
      <c r="T228" s="177">
        <f t="shared" ref="T228" si="315">M228-S228</f>
        <v>12327.059999999998</v>
      </c>
      <c r="U228" s="189">
        <f>STDEV(D$2:D228)*SQRT(252)</f>
        <v>0.17881334891320599</v>
      </c>
      <c r="V228" s="189">
        <f>STDEV(L$2:L228)*SQRT(252)</f>
        <v>0.37830983950867753</v>
      </c>
      <c r="W228" s="187">
        <f t="shared" si="86"/>
        <v>-0.28717162139132801</v>
      </c>
    </row>
    <row r="229" spans="2:23" ht="20.100000000000001" customHeight="1" x14ac:dyDescent="0.25">
      <c r="B229" s="176">
        <v>42563</v>
      </c>
      <c r="C229" s="220">
        <v>2152.14</v>
      </c>
      <c r="D229" s="175">
        <f t="shared" si="71"/>
        <v>7.0093020644219524E-3</v>
      </c>
      <c r="E229" s="214">
        <f t="shared" ref="E229" si="316">(C229-$C$2)/$C$2</f>
        <v>2.3639200167424428E-2</v>
      </c>
      <c r="F229" s="224">
        <v>5022.82</v>
      </c>
      <c r="G229" s="175">
        <f t="shared" si="64"/>
        <v>6.8535850524090985E-3</v>
      </c>
      <c r="H229" s="208">
        <f t="shared" ref="H229" si="317">(F229-F$2)/F$2</f>
        <v>-1.3527898344364379E-2</v>
      </c>
      <c r="I229" s="226">
        <v>371135.11</v>
      </c>
      <c r="J229" s="177">
        <v>400000</v>
      </c>
      <c r="K229" s="177">
        <f t="shared" ref="K229" si="318">I229-I228-J229+J228</f>
        <v>14591.049999999988</v>
      </c>
      <c r="L229" s="175">
        <f t="shared" si="246"/>
        <v>4.092355373975376E-2</v>
      </c>
      <c r="M229" s="187">
        <f t="shared" ref="M229" si="319">I229-J229</f>
        <v>-28864.890000000014</v>
      </c>
      <c r="N229" s="189">
        <f t="shared" ref="N229" si="320">M229/J229</f>
        <v>-7.2162225000000038E-2</v>
      </c>
      <c r="O229" s="187" t="b">
        <f t="shared" ref="O229" si="321">L229&gt;D229</f>
        <v>1</v>
      </c>
      <c r="P229" s="189">
        <f>COUNTIF(O$2:O229, TRUE)/(COUNTIF(O$2:O229,FALSE) + COUNTIF(O$2:O229, TRUE))</f>
        <v>0.49122807017543857</v>
      </c>
      <c r="Q229" s="177">
        <v>321724.34999999998</v>
      </c>
      <c r="R229" s="177">
        <f t="shared" ref="R229" si="322">I229-Q229</f>
        <v>49410.760000000009</v>
      </c>
      <c r="S229" s="177">
        <v>-44731</v>
      </c>
      <c r="T229" s="177">
        <f t="shared" ref="T229" si="323">M229-S229</f>
        <v>15866.109999999986</v>
      </c>
      <c r="U229" s="189">
        <f>STDEV(D$2:D229)*SQRT(252)</f>
        <v>0.17856422908432967</v>
      </c>
      <c r="V229" s="189">
        <f>STDEV(L$2:L229)*SQRT(252)</f>
        <v>0.37990463509326544</v>
      </c>
      <c r="W229" s="187">
        <f t="shared" si="86"/>
        <v>-0.18994826157434069</v>
      </c>
    </row>
    <row r="230" spans="2:23" ht="20.100000000000001" customHeight="1" x14ac:dyDescent="0.25">
      <c r="B230" s="176">
        <v>42564</v>
      </c>
      <c r="C230" s="220">
        <v>2152.4299999999998</v>
      </c>
      <c r="D230" s="175">
        <f t="shared" si="71"/>
        <v>1.347495980744578E-4</v>
      </c>
      <c r="E230" s="214">
        <f t="shared" ref="E230" si="324">(C230-$C$2)/$C$2</f>
        <v>2.3777135138220249E-2</v>
      </c>
      <c r="F230" s="224">
        <v>5005.72</v>
      </c>
      <c r="G230" s="175">
        <f t="shared" si="64"/>
        <v>-3.4044620352709147E-3</v>
      </c>
      <c r="H230" s="208">
        <f t="shared" ref="H230" si="325">(F230-F$2)/F$2</f>
        <v>-1.6886305163304902E-2</v>
      </c>
      <c r="I230" s="226">
        <v>368490.23999999999</v>
      </c>
      <c r="J230" s="177">
        <v>400000</v>
      </c>
      <c r="K230" s="177">
        <f t="shared" ref="K230" si="326">I230-I229-J230+J229</f>
        <v>-2644.8699999999953</v>
      </c>
      <c r="L230" s="175">
        <f t="shared" si="246"/>
        <v>-7.1264343597133547E-3</v>
      </c>
      <c r="M230" s="187">
        <f t="shared" ref="M230" si="327">I230-J230</f>
        <v>-31509.760000000009</v>
      </c>
      <c r="N230" s="189">
        <f t="shared" ref="N230" si="328">M230/J230</f>
        <v>-7.8774400000000022E-2</v>
      </c>
      <c r="O230" s="187" t="b">
        <f t="shared" ref="O230" si="329">L230&gt;D230</f>
        <v>0</v>
      </c>
      <c r="P230" s="189">
        <f>COUNTIF(O$2:O230, TRUE)/(COUNTIF(O$2:O230,FALSE) + COUNTIF(O$2:O230, TRUE))</f>
        <v>0.48908296943231439</v>
      </c>
      <c r="Q230" s="177">
        <v>319923.32</v>
      </c>
      <c r="R230" s="177">
        <f t="shared" ref="R230" si="330">I230-Q230</f>
        <v>48566.919999999984</v>
      </c>
      <c r="S230" s="177">
        <v>-47124</v>
      </c>
      <c r="T230" s="177">
        <f t="shared" ref="T230" si="331">M230-S230</f>
        <v>15614.239999999991</v>
      </c>
      <c r="U230" s="189">
        <f>STDEV(D$2:D230)*SQRT(252)</f>
        <v>0.17817048471828337</v>
      </c>
      <c r="V230" s="189">
        <f>STDEV(L$2:L230)*SQRT(252)</f>
        <v>0.3791487014021947</v>
      </c>
      <c r="W230" s="187">
        <f t="shared" si="86"/>
        <v>-0.20776650350817749</v>
      </c>
    </row>
    <row r="231" spans="2:23" ht="20.100000000000001" customHeight="1" x14ac:dyDescent="0.25">
      <c r="B231" s="176">
        <v>42565</v>
      </c>
      <c r="C231" s="220">
        <v>2163.75</v>
      </c>
      <c r="D231" s="175">
        <f t="shared" si="71"/>
        <v>5.2591721914302279E-3</v>
      </c>
      <c r="E231" s="214">
        <f t="shared" ref="E231" si="332">(C231-$C$2)/$C$2</f>
        <v>2.9161355377561284E-2</v>
      </c>
      <c r="F231" s="224">
        <v>5034.05</v>
      </c>
      <c r="G231" s="175">
        <f t="shared" si="64"/>
        <v>5.6595255028247535E-3</v>
      </c>
      <c r="H231" s="208">
        <f t="shared" ref="H231" si="333">(F231-F$2)/F$2</f>
        <v>-1.1322348135200354E-2</v>
      </c>
      <c r="I231" s="226">
        <v>370497.23</v>
      </c>
      <c r="J231" s="177">
        <v>400000</v>
      </c>
      <c r="K231" s="177">
        <f t="shared" ref="K231" si="334">I231-I230-J231+J230</f>
        <v>2006.9899999999907</v>
      </c>
      <c r="L231" s="175">
        <f t="shared" si="246"/>
        <v>5.4465214601070325E-3</v>
      </c>
      <c r="M231" s="187">
        <f t="shared" ref="M231" si="335">I231-J231</f>
        <v>-29502.770000000019</v>
      </c>
      <c r="N231" s="189">
        <f t="shared" ref="N231" si="336">M231/J231</f>
        <v>-7.3756925000000043E-2</v>
      </c>
      <c r="O231" s="187" t="b">
        <f t="shared" ref="O231" si="337">L231&gt;D231</f>
        <v>1</v>
      </c>
      <c r="P231" s="189">
        <f>COUNTIF(O$2:O231, TRUE)/(COUNTIF(O$2:O231,FALSE) + COUNTIF(O$2:O231, TRUE))</f>
        <v>0.49130434782608695</v>
      </c>
      <c r="Q231" s="177">
        <v>321931.40999999997</v>
      </c>
      <c r="R231" s="177">
        <f t="shared" ref="R231" si="338">I231-Q231</f>
        <v>48565.820000000007</v>
      </c>
      <c r="S231" s="177">
        <v>-47213</v>
      </c>
      <c r="T231" s="177">
        <f t="shared" ref="T231" si="339">M231-S231</f>
        <v>17710.229999999981</v>
      </c>
      <c r="U231" s="189">
        <f>STDEV(D$2:D231)*SQRT(252)</f>
        <v>0.17785960012092625</v>
      </c>
      <c r="V231" s="189">
        <f>STDEV(L$2:L231)*SQRT(252)</f>
        <v>0.378354378552888</v>
      </c>
      <c r="W231" s="187">
        <f t="shared" si="86"/>
        <v>-0.1949413808348196</v>
      </c>
    </row>
    <row r="232" spans="2:23" ht="20.100000000000001" customHeight="1" x14ac:dyDescent="0.25">
      <c r="B232" s="176">
        <v>42566</v>
      </c>
      <c r="C232" s="220">
        <v>2161.7399999999998</v>
      </c>
      <c r="D232" s="175">
        <f t="shared" si="71"/>
        <v>-9.2894280762575077E-4</v>
      </c>
      <c r="E232" s="214">
        <f t="shared" ref="E232" si="340">(C232-$C$2)/$C$2</f>
        <v>2.8205323338596929E-2</v>
      </c>
      <c r="F232" s="224">
        <v>5029.58</v>
      </c>
      <c r="G232" s="175">
        <f t="shared" si="64"/>
        <v>-8.8795303979901958E-4</v>
      </c>
      <c r="H232" s="208">
        <f t="shared" ref="H232" si="341">(F232-F$2)/F$2</f>
        <v>-1.2200247461555059E-2</v>
      </c>
      <c r="I232" s="226">
        <v>368347.44</v>
      </c>
      <c r="J232" s="177">
        <v>400000</v>
      </c>
      <c r="K232" s="177">
        <f t="shared" ref="K232" si="342">I232-I231-J232+J231</f>
        <v>-2149.789999999979</v>
      </c>
      <c r="L232" s="175">
        <f t="shared" si="246"/>
        <v>-5.8024455405509484E-3</v>
      </c>
      <c r="M232" s="187">
        <f t="shared" ref="M232" si="343">I232-J232</f>
        <v>-31652.559999999998</v>
      </c>
      <c r="N232" s="189">
        <f t="shared" ref="N232" si="344">M232/J232</f>
        <v>-7.9131399999999991E-2</v>
      </c>
      <c r="O232" s="187" t="b">
        <f t="shared" ref="O232" si="345">L232&gt;D232</f>
        <v>0</v>
      </c>
      <c r="P232" s="189">
        <f>COUNTIF(O$2:O232, TRUE)/(COUNTIF(O$2:O232,FALSE) + COUNTIF(O$2:O232, TRUE))</f>
        <v>0.48917748917748916</v>
      </c>
      <c r="Q232" s="177">
        <v>315227.08</v>
      </c>
      <c r="R232" s="177">
        <f t="shared" ref="R232" si="346">I232-Q232</f>
        <v>53120.359999999986</v>
      </c>
      <c r="S232" s="177">
        <v>-48618</v>
      </c>
      <c r="T232" s="177">
        <f t="shared" ref="T232" si="347">M232-S232</f>
        <v>16965.440000000002</v>
      </c>
      <c r="U232" s="189">
        <f>STDEV(D$2:D232)*SQRT(252)</f>
        <v>0.17747468742677538</v>
      </c>
      <c r="V232" s="189">
        <f>STDEV(L$2:L232)*SQRT(252)</f>
        <v>0.37758235657631534</v>
      </c>
      <c r="W232" s="187">
        <f t="shared" si="86"/>
        <v>-0.20957388135800326</v>
      </c>
    </row>
    <row r="233" spans="2:23" ht="20.100000000000001" customHeight="1" x14ac:dyDescent="0.25">
      <c r="B233" s="249">
        <v>42569</v>
      </c>
      <c r="C233" s="250">
        <v>2166.89</v>
      </c>
      <c r="D233" s="175">
        <f t="shared" si="71"/>
        <v>2.3823401519147036E-3</v>
      </c>
      <c r="E233" s="251">
        <f t="shared" ref="E233" si="348">(C233-$C$2)/$C$2</f>
        <v>3.0654858164798907E-2</v>
      </c>
      <c r="F233" s="252">
        <v>5055.78</v>
      </c>
      <c r="G233" s="175">
        <f t="shared" si="64"/>
        <v>5.209182476469172E-3</v>
      </c>
      <c r="H233" s="253">
        <f t="shared" ref="H233" si="349">(F233-F$2)/F$2</f>
        <v>-7.0546183003712066E-3</v>
      </c>
      <c r="I233" s="254">
        <f>369683.39+2.9</f>
        <v>369686.29000000004</v>
      </c>
      <c r="J233" s="255">
        <v>400000</v>
      </c>
      <c r="K233" s="255">
        <f t="shared" ref="K233" si="350">I233-I232-J233+J232</f>
        <v>1338.8500000000349</v>
      </c>
      <c r="L233" s="175">
        <f t="shared" si="246"/>
        <v>3.6347476719263611E-3</v>
      </c>
      <c r="M233" s="256">
        <f t="shared" ref="M233" si="351">I233-J233</f>
        <v>-30313.709999999963</v>
      </c>
      <c r="N233" s="257">
        <f t="shared" ref="N233" si="352">M233/J233</f>
        <v>-7.5784274999999901E-2</v>
      </c>
      <c r="O233" s="256" t="b">
        <f t="shared" ref="O233" si="353">L233&gt;D233</f>
        <v>1</v>
      </c>
      <c r="P233" s="257">
        <f>COUNTIF(O$2:O233, TRUE)/(COUNTIF(O$2:O233,FALSE) + COUNTIF(O$2:O233, TRUE))</f>
        <v>0.49137931034482757</v>
      </c>
      <c r="Q233" s="255">
        <v>316103.03999999998</v>
      </c>
      <c r="R233" s="255">
        <f t="shared" ref="R233" si="354">I233-Q233</f>
        <v>53583.250000000058</v>
      </c>
      <c r="S233" s="255">
        <v>-47875</v>
      </c>
      <c r="T233" s="255">
        <f t="shared" ref="T233" si="355">M233-S233</f>
        <v>17561.290000000037</v>
      </c>
      <c r="U233" s="257">
        <f>STDEV(D$2:D233)*SQRT(252)</f>
        <v>0.17710334708213829</v>
      </c>
      <c r="V233" s="257">
        <f>STDEV(L$2:L233)*SQRT(252)</f>
        <v>0.37677647505559991</v>
      </c>
      <c r="W233" s="256">
        <f t="shared" si="86"/>
        <v>-0.201138553007633</v>
      </c>
    </row>
    <row r="234" spans="2:23" ht="20.100000000000001" customHeight="1" x14ac:dyDescent="0.25">
      <c r="B234" s="249">
        <v>42570</v>
      </c>
      <c r="C234" s="250">
        <v>2163.7800000000002</v>
      </c>
      <c r="D234" s="175">
        <f t="shared" si="71"/>
        <v>-1.4352366756040559E-3</v>
      </c>
      <c r="E234" s="251">
        <f t="shared" ref="E234" si="356">(C234-$C$2)/$C$2</f>
        <v>2.9175624512471292E-2</v>
      </c>
      <c r="F234" s="252">
        <v>5036.37</v>
      </c>
      <c r="G234" s="175">
        <f t="shared" si="64"/>
        <v>-3.8391702170584669E-3</v>
      </c>
      <c r="H234" s="253">
        <f t="shared" ref="H234" si="357">(F234-F$2)/F$2</f>
        <v>-1.0866704636958173E-2</v>
      </c>
      <c r="I234" s="254">
        <v>364028.85</v>
      </c>
      <c r="J234" s="255">
        <v>400000</v>
      </c>
      <c r="K234" s="255">
        <f t="shared" ref="K234" si="358">I234-I233-J234+J233</f>
        <v>-5657.4400000000605</v>
      </c>
      <c r="L234" s="175">
        <f t="shared" si="246"/>
        <v>-1.5303353554171728E-2</v>
      </c>
      <c r="M234" s="256">
        <f t="shared" ref="M234" si="359">I234-J234</f>
        <v>-35971.150000000023</v>
      </c>
      <c r="N234" s="257">
        <f t="shared" ref="N234" si="360">M234/J234</f>
        <v>-8.992787500000006E-2</v>
      </c>
      <c r="O234" s="256" t="b">
        <f t="shared" ref="O234" si="361">L234&gt;D234</f>
        <v>0</v>
      </c>
      <c r="P234" s="257">
        <f>COUNTIF(O$2:O234, TRUE)/(COUNTIF(O$2:O234,FALSE) + COUNTIF(O$2:O234, TRUE))</f>
        <v>0.48927038626609443</v>
      </c>
      <c r="Q234" s="255">
        <v>316420.40000000002</v>
      </c>
      <c r="R234" s="255">
        <f t="shared" ref="R234" si="362">I234-Q234</f>
        <v>47608.449999999953</v>
      </c>
      <c r="S234" s="255">
        <v>-53164</v>
      </c>
      <c r="T234" s="255">
        <f t="shared" ref="T234" si="363">M234-S234</f>
        <v>17192.849999999977</v>
      </c>
      <c r="U234" s="257">
        <f>STDEV(D$2:D234)*SQRT(252)</f>
        <v>0.17672773618130258</v>
      </c>
      <c r="V234" s="257">
        <f>STDEV(L$2:L234)*SQRT(252)</f>
        <v>0.37631344049170978</v>
      </c>
      <c r="W234" s="256">
        <f t="shared" si="86"/>
        <v>-0.23897066998854954</v>
      </c>
    </row>
    <row r="235" spans="2:23" ht="20.100000000000001" customHeight="1" x14ac:dyDescent="0.25">
      <c r="B235" s="249">
        <v>42571</v>
      </c>
      <c r="C235" s="250">
        <v>2173.02</v>
      </c>
      <c r="D235" s="175">
        <f t="shared" si="71"/>
        <v>4.2703047444748454E-3</v>
      </c>
      <c r="E235" s="251">
        <f t="shared" ref="E235" si="364">(C235-$C$2)/$C$2</f>
        <v>3.3570518064724761E-2</v>
      </c>
      <c r="F235" s="252">
        <v>5089.93</v>
      </c>
      <c r="G235" s="175">
        <f t="shared" si="64"/>
        <v>1.0634643602435961E-2</v>
      </c>
      <c r="H235" s="253">
        <f t="shared" ref="H235" si="365">(F235-F$2)/F$2</f>
        <v>-3.4762456546920032E-4</v>
      </c>
      <c r="I235" s="254">
        <v>366983.12</v>
      </c>
      <c r="J235" s="255">
        <v>400000</v>
      </c>
      <c r="K235" s="255">
        <f t="shared" ref="K235" si="366">I235-I234-J235+J234</f>
        <v>2954.2700000000186</v>
      </c>
      <c r="L235" s="175">
        <f t="shared" si="246"/>
        <v>8.1154831547005646E-3</v>
      </c>
      <c r="M235" s="256">
        <f t="shared" ref="M235" si="367">I235-J235</f>
        <v>-33016.880000000005</v>
      </c>
      <c r="N235" s="257">
        <f t="shared" ref="N235" si="368">M235/J235</f>
        <v>-8.254220000000001E-2</v>
      </c>
      <c r="O235" s="256" t="b">
        <f t="shared" ref="O235" si="369">L235&gt;D235</f>
        <v>1</v>
      </c>
      <c r="P235" s="257">
        <f>COUNTIF(O$2:O235, TRUE)/(COUNTIF(O$2:O235,FALSE) + COUNTIF(O$2:O235, TRUE))</f>
        <v>0.49145299145299143</v>
      </c>
      <c r="Q235" s="255">
        <v>315168.17</v>
      </c>
      <c r="R235" s="255">
        <f t="shared" ref="R235" si="370">I235-Q235</f>
        <v>51814.950000000012</v>
      </c>
      <c r="S235" s="255">
        <v>-50698</v>
      </c>
      <c r="T235" s="255">
        <f t="shared" ref="T235" si="371">M235-S235</f>
        <v>17681.119999999995</v>
      </c>
      <c r="U235" s="257">
        <f>STDEV(D$2:D235)*SQRT(252)</f>
        <v>0.17639759874782845</v>
      </c>
      <c r="V235" s="257">
        <f>STDEV(L$2:L235)*SQRT(252)</f>
        <v>0.37559009819227351</v>
      </c>
      <c r="W235" s="256">
        <f t="shared" si="86"/>
        <v>-0.21976670949867452</v>
      </c>
    </row>
    <row r="236" spans="2:23" ht="20.100000000000001" customHeight="1" x14ac:dyDescent="0.25">
      <c r="B236" s="249">
        <v>42572</v>
      </c>
      <c r="C236" s="250">
        <v>2165.17</v>
      </c>
      <c r="D236" s="175">
        <f t="shared" si="71"/>
        <v>-3.6124840084306217E-3</v>
      </c>
      <c r="E236" s="251">
        <f t="shared" ref="E236" si="372">(C236-$C$2)/$C$2</f>
        <v>2.9836761096630589E-2</v>
      </c>
      <c r="F236" s="252">
        <v>5073.8999999999996</v>
      </c>
      <c r="G236" s="175">
        <f t="shared" si="64"/>
        <v>-3.1493556885852365E-3</v>
      </c>
      <c r="H236" s="253">
        <f t="shared" ref="H236" si="373">(F236-F$2)/F$2</f>
        <v>-3.4958854606516846E-3</v>
      </c>
      <c r="I236" s="254">
        <f>360276.2+45</f>
        <v>360321.2</v>
      </c>
      <c r="J236" s="255">
        <v>400000</v>
      </c>
      <c r="K236" s="255">
        <f t="shared" ref="K236" si="374">I236-I235-J236+J235</f>
        <v>-6661.9199999999837</v>
      </c>
      <c r="L236" s="175">
        <f t="shared" si="246"/>
        <v>-1.8153205520733445E-2</v>
      </c>
      <c r="M236" s="256">
        <f t="shared" ref="M236" si="375">I236-J236</f>
        <v>-39678.799999999988</v>
      </c>
      <c r="N236" s="257">
        <f t="shared" ref="N236" si="376">M236/J236</f>
        <v>-9.9196999999999966E-2</v>
      </c>
      <c r="O236" s="256" t="b">
        <f t="shared" ref="O236" si="377">L236&gt;D236</f>
        <v>0</v>
      </c>
      <c r="P236" s="257">
        <f>COUNTIF(O$2:O236, TRUE)/(COUNTIF(O$2:O236,FALSE) + COUNTIF(O$2:O236, TRUE))</f>
        <v>0.48936170212765956</v>
      </c>
      <c r="Q236" s="255">
        <v>315749.06</v>
      </c>
      <c r="R236" s="255">
        <f t="shared" ref="R236" si="378">I236-Q236</f>
        <v>44572.140000000014</v>
      </c>
      <c r="S236" s="255">
        <v>-55981</v>
      </c>
      <c r="T236" s="255">
        <f t="shared" ref="T236" si="379">M236-S236</f>
        <v>16302.200000000012</v>
      </c>
      <c r="U236" s="257">
        <f>STDEV(D$2:D236)*SQRT(252)</f>
        <v>0.17606319207854554</v>
      </c>
      <c r="V236" s="257">
        <f>STDEV(L$2:L236)*SQRT(252)</f>
        <v>0.37527253812431671</v>
      </c>
      <c r="W236" s="256">
        <f t="shared" si="86"/>
        <v>-0.26433322431693346</v>
      </c>
    </row>
    <row r="237" spans="2:23" ht="20.100000000000001" customHeight="1" x14ac:dyDescent="0.25">
      <c r="B237" s="249">
        <v>42573</v>
      </c>
      <c r="C237" s="250">
        <v>2175.0300000000002</v>
      </c>
      <c r="D237" s="175">
        <f t="shared" si="71"/>
        <v>4.553914935085987E-3</v>
      </c>
      <c r="E237" s="251">
        <f t="shared" ref="E237" si="380">(C237-$C$2)/$C$2</f>
        <v>3.4526550103689116E-2</v>
      </c>
      <c r="F237" s="252">
        <v>5100.16</v>
      </c>
      <c r="G237" s="175">
        <f t="shared" si="64"/>
        <v>5.175506021009523E-3</v>
      </c>
      <c r="H237" s="253">
        <f t="shared" ref="H237" si="381">(F237-F$2)/F$2</f>
        <v>1.6615275841074762E-3</v>
      </c>
      <c r="I237" s="254">
        <v>357414.17</v>
      </c>
      <c r="J237" s="255">
        <v>400000</v>
      </c>
      <c r="K237" s="255">
        <f t="shared" ref="K237" si="382">I237-I236-J237+J236</f>
        <v>-2907.0300000000279</v>
      </c>
      <c r="L237" s="175">
        <f t="shared" si="246"/>
        <v>-8.0678849870616208E-3</v>
      </c>
      <c r="M237" s="256">
        <f>I237-J237</f>
        <v>-42585.830000000016</v>
      </c>
      <c r="N237" s="257">
        <f t="shared" ref="N237" si="383">M237/J237</f>
        <v>-0.10646457500000005</v>
      </c>
      <c r="O237" s="256" t="b">
        <f t="shared" ref="O237" si="384">L237&gt;D237</f>
        <v>0</v>
      </c>
      <c r="P237" s="257">
        <f>COUNTIF(O$2:O237, TRUE)/(COUNTIF(O$2:O237,FALSE) + COUNTIF(O$2:O237, TRUE))</f>
        <v>0.48728813559322032</v>
      </c>
      <c r="Q237" s="255">
        <v>316131.83</v>
      </c>
      <c r="R237" s="255">
        <f t="shared" ref="R237:R242" si="385">I237-Q237</f>
        <v>41282.339999999967</v>
      </c>
      <c r="S237" s="255">
        <v>-58740</v>
      </c>
      <c r="T237" s="255">
        <f t="shared" ref="T237:T242" si="386">M237-S237</f>
        <v>16154.169999999984</v>
      </c>
      <c r="U237" s="257">
        <f>STDEV(D$2:D237)*SQRT(252)</f>
        <v>0.17574477489002999</v>
      </c>
      <c r="V237" s="257">
        <f>STDEV(L$2:L237)*SQRT(252)</f>
        <v>0.37456834740512818</v>
      </c>
      <c r="W237" s="256">
        <f t="shared" si="86"/>
        <v>-0.28423270609368756</v>
      </c>
    </row>
    <row r="238" spans="2:23" ht="20.100000000000001" customHeight="1" x14ac:dyDescent="0.25">
      <c r="B238" s="176">
        <v>42576</v>
      </c>
      <c r="C238" s="220">
        <v>2168.48</v>
      </c>
      <c r="D238" s="175">
        <f t="shared" si="71"/>
        <v>-3.0114527155948108E-3</v>
      </c>
      <c r="E238" s="214">
        <f t="shared" ref="E238" si="387">(C238-$C$2)/$C$2</f>
        <v>3.141112231502443E-2</v>
      </c>
      <c r="F238" s="224">
        <v>5097.62</v>
      </c>
      <c r="G238" s="175">
        <f t="shared" si="64"/>
        <v>-4.9802359141673275E-4</v>
      </c>
      <c r="H238" s="208">
        <f t="shared" ref="H238" si="388">(F238-F$2)/F$2</f>
        <v>1.1626765127560684E-3</v>
      </c>
      <c r="I238" s="226">
        <v>355693.78</v>
      </c>
      <c r="J238" s="177">
        <v>400000</v>
      </c>
      <c r="K238" s="177">
        <f t="shared" ref="K238" si="389">I238-I237-J238+J237</f>
        <v>-1720.3899999999558</v>
      </c>
      <c r="L238" s="175">
        <f t="shared" si="246"/>
        <v>-4.8134353486879262E-3</v>
      </c>
      <c r="M238" s="187">
        <f t="shared" ref="M238" si="390">I238-J238</f>
        <v>-44306.219999999972</v>
      </c>
      <c r="N238" s="189">
        <f t="shared" ref="N238" si="391">M238/J238</f>
        <v>-0.11076554999999993</v>
      </c>
      <c r="O238" s="187" t="b">
        <f t="shared" ref="O238" si="392">L238&gt;D238</f>
        <v>0</v>
      </c>
      <c r="P238" s="189">
        <f>COUNTIF(O$2:O238, TRUE)/(COUNTIF(O$2:O238,FALSE) + COUNTIF(O$2:O238, TRUE))</f>
        <v>0.48523206751054854</v>
      </c>
      <c r="Q238" s="177">
        <v>311346.09000000003</v>
      </c>
      <c r="R238" s="177">
        <f t="shared" si="385"/>
        <v>44347.69</v>
      </c>
      <c r="S238" s="177">
        <v>-60287</v>
      </c>
      <c r="T238" s="177">
        <f t="shared" si="386"/>
        <v>15980.780000000028</v>
      </c>
      <c r="U238" s="189">
        <f>STDEV(D$2:D238)*SQRT(252)</f>
        <v>0.17540195592552774</v>
      </c>
      <c r="V238" s="189">
        <f>STDEV(L$2:L238)*SQRT(252)</f>
        <v>0.37380634336339558</v>
      </c>
      <c r="W238" s="187">
        <f t="shared" si="86"/>
        <v>-0.29631800520923551</v>
      </c>
    </row>
    <row r="239" spans="2:23" ht="20.100000000000001" customHeight="1" x14ac:dyDescent="0.25">
      <c r="B239" s="176">
        <v>42577</v>
      </c>
      <c r="C239" s="220">
        <v>2169.1799999999998</v>
      </c>
      <c r="D239" s="175">
        <f t="shared" si="71"/>
        <v>3.2280675865113727E-4</v>
      </c>
      <c r="E239" s="214">
        <f t="shared" ref="E239" si="393">(C239-$C$2)/$C$2</f>
        <v>3.1744068796255673E-2</v>
      </c>
      <c r="F239" s="224">
        <v>5110.04</v>
      </c>
      <c r="G239" s="175">
        <f t="shared" si="64"/>
        <v>2.4364311188358632E-3</v>
      </c>
      <c r="H239" s="208">
        <f t="shared" ref="H239" si="394">(F239-F$2)/F$2</f>
        <v>3.60194041282875E-3</v>
      </c>
      <c r="I239" s="226">
        <v>360934.05</v>
      </c>
      <c r="J239" s="177">
        <v>400000</v>
      </c>
      <c r="K239" s="177">
        <f t="shared" ref="K239" si="395">I239-I238-J239+J238</f>
        <v>5240.2699999999604</v>
      </c>
      <c r="L239" s="175">
        <f t="shared" si="246"/>
        <v>1.4732532011102247E-2</v>
      </c>
      <c r="M239" s="187">
        <f t="shared" ref="M239" si="396">I239-J239</f>
        <v>-39065.950000000012</v>
      </c>
      <c r="N239" s="189">
        <f t="shared" ref="N239" si="397">M239/J239</f>
        <v>-9.7664875000000026E-2</v>
      </c>
      <c r="O239" s="187" t="b">
        <f t="shared" ref="O239" si="398">L239&gt;D239</f>
        <v>1</v>
      </c>
      <c r="P239" s="189">
        <f>COUNTIF(O$2:O239, TRUE)/(COUNTIF(O$2:O239,FALSE) + COUNTIF(O$2:O239, TRUE))</f>
        <v>0.48739495798319327</v>
      </c>
      <c r="Q239" s="177">
        <v>295609.99</v>
      </c>
      <c r="R239" s="177">
        <f t="shared" si="385"/>
        <v>65324.06</v>
      </c>
      <c r="S239" s="177">
        <v>-55468</v>
      </c>
      <c r="T239" s="177">
        <f t="shared" si="386"/>
        <v>16402.049999999988</v>
      </c>
      <c r="U239" s="189">
        <f>STDEV(D$2:D239)*SQRT(252)</f>
        <v>0.17502999912472075</v>
      </c>
      <c r="V239" s="189">
        <f>STDEV(L$2:L239)*SQRT(252)</f>
        <v>0.37331560015373266</v>
      </c>
      <c r="W239" s="187">
        <f t="shared" si="86"/>
        <v>-0.26161477034386266</v>
      </c>
    </row>
    <row r="240" spans="2:23" ht="20.100000000000001" customHeight="1" x14ac:dyDescent="0.25">
      <c r="B240" s="176">
        <v>42578</v>
      </c>
      <c r="C240" s="220">
        <v>2166.58</v>
      </c>
      <c r="D240" s="175">
        <f t="shared" si="71"/>
        <v>-1.1986096128490532E-3</v>
      </c>
      <c r="E240" s="214">
        <f t="shared" ref="E240" si="399">(C240-$C$2)/$C$2</f>
        <v>3.0507410437396486E-2</v>
      </c>
      <c r="F240" s="224">
        <v>5139.8100000000004</v>
      </c>
      <c r="G240" s="175">
        <f t="shared" si="64"/>
        <v>5.8257860995218113E-3</v>
      </c>
      <c r="H240" s="208">
        <f t="shared" ref="H240" si="400">(F240-F$2)/F$2</f>
        <v>9.4487106467389254E-3</v>
      </c>
      <c r="I240" s="226">
        <f>351218.55-2.4</f>
        <v>351216.14999999997</v>
      </c>
      <c r="J240" s="177">
        <v>400000</v>
      </c>
      <c r="K240" s="177">
        <f t="shared" ref="K240" si="401">I240-I239-J240+J239</f>
        <v>-9717.9000000000233</v>
      </c>
      <c r="L240" s="175">
        <f t="shared" si="246"/>
        <v>-2.6924309302488982E-2</v>
      </c>
      <c r="M240" s="187">
        <f t="shared" ref="M240" si="402">I240-J240</f>
        <v>-48783.850000000035</v>
      </c>
      <c r="N240" s="189">
        <f t="shared" ref="N240" si="403">M240/J240</f>
        <v>-0.12195962500000009</v>
      </c>
      <c r="O240" s="187" t="b">
        <f t="shared" ref="O240" si="404">L240&gt;D240</f>
        <v>0</v>
      </c>
      <c r="P240" s="189">
        <f>COUNTIF(O$2:O240, TRUE)/(COUNTIF(O$2:O240,FALSE) + COUNTIF(O$2:O240, TRUE))</f>
        <v>0.48535564853556484</v>
      </c>
      <c r="Q240" s="177">
        <v>295103.78999999998</v>
      </c>
      <c r="R240" s="177">
        <f t="shared" si="385"/>
        <v>56112.359999999986</v>
      </c>
      <c r="S240" s="177">
        <v>-64415</v>
      </c>
      <c r="T240" s="177">
        <f t="shared" si="386"/>
        <v>15631.149999999965</v>
      </c>
      <c r="U240" s="189">
        <f>STDEV(D$2:D240)*SQRT(252)</f>
        <v>0.17466621287076281</v>
      </c>
      <c r="V240" s="189">
        <f>STDEV(L$2:L240)*SQRT(252)</f>
        <v>0.37357383869513988</v>
      </c>
      <c r="W240" s="187">
        <f t="shared" si="86"/>
        <v>-0.32646725323698839</v>
      </c>
    </row>
    <row r="241" spans="1:23" ht="20.100000000000001" customHeight="1" x14ac:dyDescent="0.25">
      <c r="B241" s="176">
        <v>42579</v>
      </c>
      <c r="C241" s="220">
        <v>2170.06</v>
      </c>
      <c r="D241" s="175">
        <f t="shared" si="71"/>
        <v>1.6062180948776498E-3</v>
      </c>
      <c r="E241" s="214">
        <f t="shared" ref="E241" si="405">(C241-$C$2)/$C$2</f>
        <v>3.2162630086946545E-2</v>
      </c>
      <c r="F241" s="224">
        <v>5154.9799999999996</v>
      </c>
      <c r="G241" s="175">
        <f t="shared" si="64"/>
        <v>2.9514709687710563E-3</v>
      </c>
      <c r="H241" s="208">
        <f t="shared" ref="H241" si="406">(F241-F$2)/F$2</f>
        <v>1.2428069210676148E-2</v>
      </c>
      <c r="I241" s="226">
        <v>351887.73</v>
      </c>
      <c r="J241" s="177">
        <v>400000</v>
      </c>
      <c r="K241" s="177">
        <f t="shared" ref="K241" si="407">I241-I240-J241+J240</f>
        <v>671.5800000000163</v>
      </c>
      <c r="L241" s="175">
        <f t="shared" si="246"/>
        <v>1.9121558049082206E-3</v>
      </c>
      <c r="M241" s="187">
        <f t="shared" ref="M241" si="408">I241-J241</f>
        <v>-48112.270000000019</v>
      </c>
      <c r="N241" s="189">
        <f t="shared" ref="N241" si="409">M241/J241</f>
        <v>-0.12028067500000005</v>
      </c>
      <c r="O241" s="187" t="b">
        <f t="shared" ref="O241" si="410">L241&gt;D241</f>
        <v>1</v>
      </c>
      <c r="P241" s="189">
        <f>COUNTIF(O$2:O241, TRUE)/(COUNTIF(O$2:O241,FALSE) + COUNTIF(O$2:O241, TRUE))</f>
        <v>0.48749999999999999</v>
      </c>
      <c r="Q241" s="177">
        <v>306491.34999999998</v>
      </c>
      <c r="R241" s="177">
        <f t="shared" si="385"/>
        <v>45396.380000000005</v>
      </c>
      <c r="S241" s="177">
        <v>-63248</v>
      </c>
      <c r="T241" s="177">
        <f t="shared" si="386"/>
        <v>15135.729999999981</v>
      </c>
      <c r="U241" s="189">
        <f>STDEV(D$2:D241)*SQRT(252)</f>
        <v>0.17430497581384302</v>
      </c>
      <c r="V241" s="189">
        <f>STDEV(L$2:L241)*SQRT(252)</f>
        <v>0.37279274055236694</v>
      </c>
      <c r="W241" s="187">
        <f t="shared" si="86"/>
        <v>-0.32264757844205921</v>
      </c>
    </row>
    <row r="242" spans="1:23" ht="20.100000000000001" customHeight="1" x14ac:dyDescent="0.25">
      <c r="B242" s="176">
        <v>42580</v>
      </c>
      <c r="C242" s="220">
        <v>2173.6</v>
      </c>
      <c r="D242" s="175">
        <f t="shared" si="71"/>
        <v>1.6312913007013464E-3</v>
      </c>
      <c r="E242" s="214">
        <f t="shared" ref="E242" si="411">(C242-$C$2)/$C$2</f>
        <v>3.3846388006316397E-2</v>
      </c>
      <c r="F242" s="224">
        <v>5162.13</v>
      </c>
      <c r="G242" s="175">
        <f t="shared" si="64"/>
        <v>1.3870082910119044E-3</v>
      </c>
      <c r="H242" s="208">
        <f t="shared" ref="H242" si="412">(F242-F$2)/F$2</f>
        <v>1.3832315336724531E-2</v>
      </c>
      <c r="I242" s="425">
        <v>352850.19</v>
      </c>
      <c r="J242" s="177">
        <v>400000</v>
      </c>
      <c r="K242" s="177">
        <f t="shared" ref="K242" si="413">I242-I241-J242+J241</f>
        <v>962.46000000002095</v>
      </c>
      <c r="L242" s="175">
        <f t="shared" si="246"/>
        <v>2.7351337314319569E-3</v>
      </c>
      <c r="M242" s="187">
        <f t="shared" ref="M242" si="414">I242-J242</f>
        <v>-47149.81</v>
      </c>
      <c r="N242" s="189">
        <f t="shared" ref="N242" si="415">M242/J242</f>
        <v>-0.11787452499999999</v>
      </c>
      <c r="O242" s="187" t="b">
        <f t="shared" ref="O242" si="416">L242&gt;D242</f>
        <v>1</v>
      </c>
      <c r="P242" s="189">
        <f>COUNTIF(O$2:O242, TRUE)/(COUNTIF(O$2:O242,FALSE) + COUNTIF(O$2:O242, TRUE))</f>
        <v>0.48962655601659749</v>
      </c>
      <c r="Q242" s="177">
        <v>298371.77</v>
      </c>
      <c r="R242" s="177">
        <f t="shared" si="385"/>
        <v>54478.419999999984</v>
      </c>
      <c r="S242" s="177">
        <v>-61571</v>
      </c>
      <c r="T242" s="177">
        <f t="shared" si="386"/>
        <v>14421.190000000002</v>
      </c>
      <c r="U242" s="189">
        <f>STDEV(D$2:D242)*SQRT(252)</f>
        <v>0.173946186031568</v>
      </c>
      <c r="V242" s="189">
        <f>STDEV(L$2:L242)*SQRT(252)</f>
        <v>0.37202162492103208</v>
      </c>
      <c r="W242" s="187">
        <f t="shared" si="86"/>
        <v>-0.3168485838021402</v>
      </c>
    </row>
    <row r="243" spans="1:23" ht="20.100000000000001" customHeight="1" x14ac:dyDescent="0.25">
      <c r="B243" s="249">
        <v>42583</v>
      </c>
      <c r="C243" s="250">
        <v>2170.84</v>
      </c>
      <c r="D243" s="175">
        <f t="shared" si="71"/>
        <v>-1.2697828487301084E-3</v>
      </c>
      <c r="E243" s="251">
        <f t="shared" ref="E243" si="417">(C243-$C$2)/$C$2</f>
        <v>3.253362759460441E-2</v>
      </c>
      <c r="F243" s="252">
        <v>5184.1899999999996</v>
      </c>
      <c r="G243" s="175">
        <f t="shared" si="64"/>
        <v>4.2734297663947806E-3</v>
      </c>
      <c r="H243" s="253">
        <f t="shared" ref="H243" si="418">(F243-F$2)/F$2</f>
        <v>1.8164856531217428E-2</v>
      </c>
      <c r="I243" s="254">
        <v>345131.68</v>
      </c>
      <c r="J243" s="255">
        <v>400000</v>
      </c>
      <c r="K243" s="255">
        <f t="shared" ref="K243" si="419">I243-I242-J243+J242</f>
        <v>-7718.5100000000093</v>
      </c>
      <c r="L243" s="175">
        <f t="shared" si="246"/>
        <v>-2.1874750868066725E-2</v>
      </c>
      <c r="M243" s="256">
        <f t="shared" ref="M243" si="420">I243-J243</f>
        <v>-54868.320000000007</v>
      </c>
      <c r="N243" s="257">
        <f t="shared" ref="N243" si="421">M243/J243</f>
        <v>-0.13717080000000001</v>
      </c>
      <c r="O243" s="256" t="b">
        <f t="shared" ref="O243" si="422">L243&gt;D243</f>
        <v>0</v>
      </c>
      <c r="P243" s="257">
        <f>COUNTIF(O$2:O243, TRUE)/(COUNTIF(O$2:O243,FALSE) + COUNTIF(O$2:O243, TRUE))</f>
        <v>0.48760330578512395</v>
      </c>
      <c r="Q243" s="255">
        <v>293278.65999999997</v>
      </c>
      <c r="R243" s="255">
        <f t="shared" ref="R243" si="423">I243-Q243</f>
        <v>51853.020000000019</v>
      </c>
      <c r="S243" s="255">
        <v>-69701</v>
      </c>
      <c r="T243" s="255">
        <f t="shared" ref="T243" si="424">M243-S243</f>
        <v>14832.679999999993</v>
      </c>
      <c r="U243" s="257">
        <f>STDEV(D$2:D243)*SQRT(252)</f>
        <v>0.17358991388387063</v>
      </c>
      <c r="V243" s="257">
        <f>STDEV(L$2:L243)*SQRT(252)</f>
        <v>0.37192751121581696</v>
      </c>
      <c r="W243" s="256">
        <f t="shared" si="86"/>
        <v>-0.36881057696322023</v>
      </c>
    </row>
    <row r="244" spans="1:23" ht="20.100000000000001" customHeight="1" x14ac:dyDescent="0.25">
      <c r="B244" s="249">
        <v>42584</v>
      </c>
      <c r="C244" s="250">
        <v>2157.0300000000002</v>
      </c>
      <c r="D244" s="175">
        <f t="shared" si="71"/>
        <v>-6.3615927475078517E-3</v>
      </c>
      <c r="E244" s="251">
        <f t="shared" ref="E244" si="425">(C244-$C$2)/$C$2</f>
        <v>2.5965069157740599E-2</v>
      </c>
      <c r="F244" s="252">
        <v>5137.7299999999996</v>
      </c>
      <c r="G244" s="175">
        <f t="shared" si="64"/>
        <v>-8.9618628946855801E-3</v>
      </c>
      <c r="H244" s="253">
        <f t="shared" ref="H244" si="426">(F244-F$2)/F$2</f>
        <v>9.0402026827974442E-3</v>
      </c>
      <c r="I244" s="254">
        <v>341216.81</v>
      </c>
      <c r="J244" s="255">
        <v>400000</v>
      </c>
      <c r="K244" s="255">
        <f t="shared" ref="K244" si="427">I244-I243-J244+J243</f>
        <v>-3914.8699999999953</v>
      </c>
      <c r="L244" s="175">
        <f t="shared" si="246"/>
        <v>-1.1343119820237875E-2</v>
      </c>
      <c r="M244" s="256">
        <f t="shared" ref="M244" si="428">I244-J244</f>
        <v>-58783.19</v>
      </c>
      <c r="N244" s="257">
        <f t="shared" ref="N244" si="429">M244/J244</f>
        <v>-0.14695797500000002</v>
      </c>
      <c r="O244" s="256" t="b">
        <f t="shared" ref="O244" si="430">L244&gt;D244</f>
        <v>0</v>
      </c>
      <c r="P244" s="257">
        <f>COUNTIF(O$2:O244, TRUE)/(COUNTIF(O$2:O244,FALSE) + COUNTIF(O$2:O244, TRUE))</f>
        <v>0.48559670781893005</v>
      </c>
      <c r="Q244" s="255">
        <v>294933.84999999998</v>
      </c>
      <c r="R244" s="255">
        <f t="shared" ref="R244" si="431">I244-Q244</f>
        <v>46282.960000000021</v>
      </c>
      <c r="S244" s="255">
        <v>-70463</v>
      </c>
      <c r="T244" s="255">
        <f t="shared" ref="T244" si="432">M244-S244</f>
        <v>11679.809999999998</v>
      </c>
      <c r="U244" s="257">
        <f>STDEV(D$2:D244)*SQRT(252)</f>
        <v>0.17335845617207907</v>
      </c>
      <c r="V244" s="257">
        <f>STDEV(L$2:L244)*SQRT(252)</f>
        <v>0.37133699496327655</v>
      </c>
      <c r="W244" s="256">
        <f t="shared" si="86"/>
        <v>-0.39575366040362731</v>
      </c>
    </row>
    <row r="245" spans="1:23" ht="20.100000000000001" customHeight="1" x14ac:dyDescent="0.25">
      <c r="B245" s="249">
        <v>42585</v>
      </c>
      <c r="C245" s="250">
        <v>2163.79</v>
      </c>
      <c r="D245" s="175">
        <f t="shared" si="71"/>
        <v>3.1339387954732955E-3</v>
      </c>
      <c r="E245" s="251">
        <f t="shared" ref="E245" si="433">(C245-$C$2)/$C$2</f>
        <v>2.9180380890774484E-2</v>
      </c>
      <c r="F245" s="252">
        <v>5159.7299999999996</v>
      </c>
      <c r="G245" s="175">
        <f t="shared" si="64"/>
        <v>4.2820467404865578E-3</v>
      </c>
      <c r="H245" s="253">
        <f t="shared" ref="H245" si="434">(F245-F$2)/F$2</f>
        <v>1.3360959993715213E-2</v>
      </c>
      <c r="I245" s="254">
        <v>347416.57</v>
      </c>
      <c r="J245" s="255">
        <v>400000</v>
      </c>
      <c r="K245" s="255">
        <f t="shared" ref="K245" si="435">I245-I244-J245+J244</f>
        <v>6199.7600000000093</v>
      </c>
      <c r="L245" s="175">
        <f t="shared" si="246"/>
        <v>1.8169562044730473E-2</v>
      </c>
      <c r="M245" s="256">
        <f t="shared" ref="M245" si="436">I245-J245</f>
        <v>-52583.429999999993</v>
      </c>
      <c r="N245" s="257">
        <f t="shared" ref="N245" si="437">M245/J245</f>
        <v>-0.13145857499999999</v>
      </c>
      <c r="O245" s="256" t="b">
        <f t="shared" ref="O245" si="438">L245&gt;D245</f>
        <v>1</v>
      </c>
      <c r="P245" s="257">
        <f>COUNTIF(O$2:O245, TRUE)/(COUNTIF(O$2:O245,FALSE) + COUNTIF(O$2:O245, TRUE))</f>
        <v>0.48770491803278687</v>
      </c>
      <c r="Q245" s="255">
        <v>306485.61</v>
      </c>
      <c r="R245" s="255">
        <f t="shared" ref="R245" si="439">I245-Q245</f>
        <v>40930.960000000021</v>
      </c>
      <c r="S245" s="255">
        <v>-64757</v>
      </c>
      <c r="T245" s="255">
        <f t="shared" ref="T245" si="440">M245-S245</f>
        <v>12173.570000000007</v>
      </c>
      <c r="U245" s="257">
        <f>STDEV(D$2:D245)*SQRT(252)</f>
        <v>0.17302631654204345</v>
      </c>
      <c r="V245" s="257">
        <f>STDEV(L$2:L245)*SQRT(252)</f>
        <v>0.37103067638911486</v>
      </c>
      <c r="W245" s="256">
        <f t="shared" si="86"/>
        <v>-0.35430648559671674</v>
      </c>
    </row>
    <row r="246" spans="1:23" ht="20.100000000000001" customHeight="1" x14ac:dyDescent="0.25">
      <c r="B246" s="249">
        <v>42586</v>
      </c>
      <c r="C246" s="250">
        <v>2164.25</v>
      </c>
      <c r="D246" s="175">
        <f t="shared" si="71"/>
        <v>2.1258994634416298E-4</v>
      </c>
      <c r="E246" s="251">
        <f t="shared" ref="E246" si="441">(C246-$C$2)/$C$2</f>
        <v>2.939917429272652E-2</v>
      </c>
      <c r="F246" s="252">
        <v>5166.24</v>
      </c>
      <c r="G246" s="175">
        <f t="shared" si="64"/>
        <v>1.2616939258449993E-3</v>
      </c>
      <c r="H246" s="253">
        <f t="shared" ref="H246" si="442">(F246-F$2)/F$2</f>
        <v>1.4639511361627741E-2</v>
      </c>
      <c r="I246" s="254">
        <v>348668.66</v>
      </c>
      <c r="J246" s="255">
        <v>400000</v>
      </c>
      <c r="K246" s="255">
        <f t="shared" ref="K246" si="443">I246-I245-J246+J245</f>
        <v>1252.0899999999674</v>
      </c>
      <c r="L246" s="175">
        <f t="shared" si="246"/>
        <v>3.6040019622551895E-3</v>
      </c>
      <c r="M246" s="256">
        <f t="shared" ref="M246" si="444">I246-J246</f>
        <v>-51331.340000000026</v>
      </c>
      <c r="N246" s="257">
        <f t="shared" ref="N246" si="445">M246/J246</f>
        <v>-0.12832835000000006</v>
      </c>
      <c r="O246" s="256" t="b">
        <f t="shared" ref="O246" si="446">L246&gt;D246</f>
        <v>1</v>
      </c>
      <c r="P246" s="257">
        <f>COUNTIF(O$2:O246, TRUE)/(COUNTIF(O$2:O246,FALSE) + COUNTIF(O$2:O246, TRUE))</f>
        <v>0.48979591836734693</v>
      </c>
      <c r="Q246" s="255">
        <v>306486.61</v>
      </c>
      <c r="R246" s="255">
        <f t="shared" ref="R246" si="447">I246-Q246</f>
        <v>42182.049999999988</v>
      </c>
      <c r="S246" s="255">
        <v>-64756</v>
      </c>
      <c r="T246" s="255">
        <f t="shared" ref="T246" si="448">M246-S246</f>
        <v>13424.659999999974</v>
      </c>
      <c r="U246" s="257">
        <f>STDEV(D$2:D246)*SQRT(252)</f>
        <v>0.1726699319358726</v>
      </c>
      <c r="V246" s="257">
        <f>STDEV(L$2:L246)*SQRT(252)</f>
        <v>0.37028383202660053</v>
      </c>
      <c r="W246" s="256">
        <f t="shared" si="86"/>
        <v>-0.34656752172420313</v>
      </c>
    </row>
    <row r="247" spans="1:23" ht="20.100000000000001" customHeight="1" x14ac:dyDescent="0.25">
      <c r="B247" s="249">
        <v>42587</v>
      </c>
      <c r="C247" s="250">
        <v>2182.87</v>
      </c>
      <c r="D247" s="175">
        <f t="shared" si="71"/>
        <v>8.6034423010280196E-3</v>
      </c>
      <c r="E247" s="251">
        <f t="shared" ref="E247" si="449">(C247-$C$2)/$C$2</f>
        <v>3.8255550693479877E-2</v>
      </c>
      <c r="F247" s="252">
        <v>5221.12</v>
      </c>
      <c r="G247" s="175">
        <f t="shared" si="64"/>
        <v>1.0622812722599049E-2</v>
      </c>
      <c r="H247" s="253">
        <f t="shared" ref="H247" si="450">(F247-F$2)/F$2</f>
        <v>2.5417836871771723E-2</v>
      </c>
      <c r="I247" s="254">
        <v>357514.04</v>
      </c>
      <c r="J247" s="255">
        <v>400000</v>
      </c>
      <c r="K247" s="255">
        <f t="shared" ref="K247" si="451">I247-I246-J247+J246</f>
        <v>8845.3800000000047</v>
      </c>
      <c r="L247" s="175">
        <f t="shared" si="246"/>
        <v>2.5369013664721128E-2</v>
      </c>
      <c r="M247" s="256">
        <f t="shared" ref="M247" si="452">I247-J247</f>
        <v>-42485.960000000021</v>
      </c>
      <c r="N247" s="257">
        <f t="shared" ref="N247" si="453">M247/J247</f>
        <v>-0.10621490000000006</v>
      </c>
      <c r="O247" s="256" t="b">
        <f t="shared" ref="O247" si="454">L247&gt;D247</f>
        <v>1</v>
      </c>
      <c r="P247" s="257">
        <f>COUNTIF(O$2:O247, TRUE)/(COUNTIF(O$2:O247,FALSE) + COUNTIF(O$2:O247, TRUE))</f>
        <v>0.491869918699187</v>
      </c>
      <c r="Q247" s="255">
        <v>296324.56</v>
      </c>
      <c r="R247" s="255">
        <f t="shared" ref="R247" si="455">I247-Q247</f>
        <v>61189.479999999981</v>
      </c>
      <c r="S247" s="255">
        <v>-56695</v>
      </c>
      <c r="T247" s="255">
        <f t="shared" ref="T247" si="456">M247-S247</f>
        <v>14209.039999999979</v>
      </c>
      <c r="U247" s="257">
        <f>STDEV(D$2:D247)*SQRT(252)</f>
        <v>0.17252748561218473</v>
      </c>
      <c r="V247" s="257">
        <f>STDEV(L$2:L247)*SQRT(252)</f>
        <v>0.37041269754030803</v>
      </c>
      <c r="W247" s="256">
        <f t="shared" si="86"/>
        <v>-0.28674745953718778</v>
      </c>
    </row>
    <row r="248" spans="1:23" ht="20.100000000000001" customHeight="1" x14ac:dyDescent="0.25">
      <c r="B248" s="176">
        <v>42590</v>
      </c>
      <c r="C248" s="220">
        <v>2180.89</v>
      </c>
      <c r="D248" s="175">
        <f t="shared" si="71"/>
        <v>-9.0706272018032145E-4</v>
      </c>
      <c r="E248" s="214">
        <f t="shared" ref="E248" si="457">(C248-$C$2)/$C$2</f>
        <v>3.7313787789425533E-2</v>
      </c>
      <c r="F248" s="224">
        <v>5213.1400000000003</v>
      </c>
      <c r="G248" s="175">
        <f t="shared" si="64"/>
        <v>-1.528407697965104E-3</v>
      </c>
      <c r="H248" s="208">
        <f t="shared" ref="H248" si="458">(F248-F$2)/F$2</f>
        <v>2.3850580356266179E-2</v>
      </c>
      <c r="I248" s="226">
        <v>360717.48</v>
      </c>
      <c r="J248" s="177">
        <v>400000</v>
      </c>
      <c r="K248" s="177">
        <f t="shared" ref="K248" si="459">I248-I247-J248+J247</f>
        <v>3203.4400000000023</v>
      </c>
      <c r="L248" s="175">
        <f>K248/I247</f>
        <v>8.9603194324899878E-3</v>
      </c>
      <c r="M248" s="187">
        <f t="shared" ref="M248" si="460">I248-J248</f>
        <v>-39282.520000000019</v>
      </c>
      <c r="N248" s="189">
        <f t="shared" ref="N248" si="461">M248/J248</f>
        <v>-9.8206300000000052E-2</v>
      </c>
      <c r="O248" s="187" t="b">
        <f t="shared" ref="O248" si="462">L248&gt;D248</f>
        <v>1</v>
      </c>
      <c r="P248" s="189">
        <f>COUNTIF(O$2:O248, TRUE)/(COUNTIF(O$2:O248,FALSE) + COUNTIF(O$2:O248, TRUE))</f>
        <v>0.49392712550607287</v>
      </c>
      <c r="Q248" s="177">
        <v>306053.2</v>
      </c>
      <c r="R248" s="177">
        <f t="shared" ref="R248" si="463">I248-Q248</f>
        <v>54664.27999999997</v>
      </c>
      <c r="S248" s="177">
        <v>-53403</v>
      </c>
      <c r="T248" s="177">
        <f t="shared" ref="T248" si="464">M248-S248</f>
        <v>14120.479999999981</v>
      </c>
      <c r="U248" s="189">
        <f>STDEV(D$2:D248)*SQRT(252)</f>
        <v>0.17217875518634856</v>
      </c>
      <c r="V248" s="189">
        <f>STDEV(L$2:L248)*SQRT(252)</f>
        <v>0.36976250802064314</v>
      </c>
      <c r="W248" s="187">
        <f t="shared" si="86"/>
        <v>-0.26559290860964568</v>
      </c>
    </row>
    <row r="249" spans="1:23" ht="20.100000000000001" customHeight="1" x14ac:dyDescent="0.25">
      <c r="B249" s="176">
        <v>42591</v>
      </c>
      <c r="C249" s="220">
        <v>2181.89</v>
      </c>
      <c r="D249" s="175">
        <f t="shared" si="71"/>
        <v>4.5852839895638939E-4</v>
      </c>
      <c r="E249" s="214">
        <f t="shared" ref="E249" si="465">(C249-$C$2)/$C$2</f>
        <v>3.7789425619756005E-2</v>
      </c>
      <c r="F249" s="224">
        <v>5214.1400000000003</v>
      </c>
      <c r="G249" s="175">
        <f t="shared" si="64"/>
        <v>1.9182297041706148E-4</v>
      </c>
      <c r="H249" s="208">
        <f t="shared" ref="H249" si="466">(F249-F$2)/F$2</f>
        <v>2.4046978415853352E-2</v>
      </c>
      <c r="I249" s="226">
        <v>360792.14</v>
      </c>
      <c r="J249" s="177">
        <v>400000</v>
      </c>
      <c r="K249" s="177">
        <f t="shared" ref="K249" si="467">I249-I248-J249+J248</f>
        <v>74.660000000032596</v>
      </c>
      <c r="L249" s="175">
        <f t="shared" ref="L249:L260" si="468">K249/I248</f>
        <v>2.0697638495376658E-4</v>
      </c>
      <c r="M249" s="187">
        <f t="shared" ref="M249" si="469">I249-J249</f>
        <v>-39207.859999999986</v>
      </c>
      <c r="N249" s="189">
        <f t="shared" ref="N249" si="470">M249/J249</f>
        <v>-9.8019649999999958E-2</v>
      </c>
      <c r="O249" s="187" t="b">
        <f t="shared" ref="O249" si="471">L249&gt;D249</f>
        <v>0</v>
      </c>
      <c r="P249" s="189">
        <f>COUNTIF(O$2:O249, TRUE)/(COUNTIF(O$2:O249,FALSE) + COUNTIF(O$2:O249, TRUE))</f>
        <v>0.49193548387096775</v>
      </c>
      <c r="Q249" s="177">
        <v>312485.65999999997</v>
      </c>
      <c r="R249" s="177">
        <f t="shared" ref="R249" si="472">I249-Q249</f>
        <v>48306.48000000004</v>
      </c>
      <c r="S249" s="177">
        <v>-52872</v>
      </c>
      <c r="T249" s="177">
        <f t="shared" ref="T249" si="473">M249-S249</f>
        <v>13664.140000000014</v>
      </c>
      <c r="U249" s="189">
        <f>STDEV(D$2:D249)*SQRT(252)</f>
        <v>0.17182862889451342</v>
      </c>
      <c r="V249" s="189">
        <f>STDEV(L$2:L249)*SQRT(252)</f>
        <v>0.36901019344056429</v>
      </c>
      <c r="W249" s="187">
        <f t="shared" si="86"/>
        <v>-0.26562857000260015</v>
      </c>
    </row>
    <row r="250" spans="1:23" ht="20.100000000000001" customHeight="1" x14ac:dyDescent="0.25">
      <c r="B250" s="176">
        <v>42592</v>
      </c>
      <c r="C250" s="220">
        <v>2175.4899999999998</v>
      </c>
      <c r="D250" s="175">
        <f t="shared" si="71"/>
        <v>-2.9332367809560022E-3</v>
      </c>
      <c r="E250" s="214">
        <f t="shared" ref="E250:E251" si="474">(C250-$C$2)/$C$2</f>
        <v>3.4745343505640937E-2</v>
      </c>
      <c r="F250" s="224">
        <v>5204.58</v>
      </c>
      <c r="G250" s="175">
        <f t="shared" si="64"/>
        <v>-1.8334758943949338E-3</v>
      </c>
      <c r="H250" s="208">
        <f t="shared" ref="H250:H251" si="475">(F250-F$2)/F$2</f>
        <v>2.2169412966199915E-2</v>
      </c>
      <c r="I250" s="226">
        <v>354430.79</v>
      </c>
      <c r="J250" s="177">
        <v>400000</v>
      </c>
      <c r="K250" s="177">
        <f t="shared" ref="K250" si="476">I250-I249-J250+J249</f>
        <v>-6361.3500000000349</v>
      </c>
      <c r="L250" s="175">
        <f t="shared" si="468"/>
        <v>-1.7631620245385709E-2</v>
      </c>
      <c r="M250" s="187">
        <f t="shared" ref="M250" si="477">I250-J250</f>
        <v>-45569.210000000021</v>
      </c>
      <c r="N250" s="189">
        <f t="shared" ref="N250" si="478">M250/J250</f>
        <v>-0.11392302500000005</v>
      </c>
      <c r="O250" s="187" t="b">
        <f t="shared" ref="O250" si="479">L250&gt;D250</f>
        <v>0</v>
      </c>
      <c r="P250" s="189">
        <f>COUNTIF(O$2:O250, TRUE)/(COUNTIF(O$2:O250,FALSE) + COUNTIF(O$2:O250, TRUE))</f>
        <v>0.48995983935742971</v>
      </c>
      <c r="Q250" s="177">
        <v>304644.53999999998</v>
      </c>
      <c r="R250" s="177">
        <f t="shared" ref="R250" si="480">I250-Q250</f>
        <v>49786.25</v>
      </c>
      <c r="S250" s="177">
        <v>-58573</v>
      </c>
      <c r="T250" s="177">
        <f t="shared" ref="T250" si="481">M250-S250</f>
        <v>13003.789999999979</v>
      </c>
      <c r="U250" s="189">
        <f>STDEV(D$2:D250)*SQRT(252)</f>
        <v>0.17150968940597233</v>
      </c>
      <c r="V250" s="189">
        <f>STDEV(L$2:L250)*SQRT(252)</f>
        <v>0.36870219429475543</v>
      </c>
      <c r="W250" s="187">
        <f t="shared" si="86"/>
        <v>-0.30898385407743301</v>
      </c>
    </row>
    <row r="251" spans="1:23" ht="20.100000000000001" customHeight="1" x14ac:dyDescent="0.25">
      <c r="A251" s="170" t="s">
        <v>271</v>
      </c>
      <c r="B251" s="249">
        <v>42597</v>
      </c>
      <c r="C251" s="250">
        <v>2190.15</v>
      </c>
      <c r="D251" s="175">
        <f t="shared" si="71"/>
        <v>6.7387117385050311E-3</v>
      </c>
      <c r="E251" s="251">
        <f t="shared" si="474"/>
        <v>4.1718194098285817E-2</v>
      </c>
      <c r="F251" s="252">
        <v>5262.01</v>
      </c>
      <c r="G251" s="175">
        <f t="shared" si="64"/>
        <v>1.1034511910663356E-2</v>
      </c>
      <c r="H251" s="253">
        <f t="shared" si="475"/>
        <v>3.3448553528291222E-2</v>
      </c>
      <c r="I251" s="254">
        <v>368660.8</v>
      </c>
      <c r="J251" s="255">
        <v>400000</v>
      </c>
      <c r="K251" s="255">
        <f t="shared" ref="K251" si="482">I251-I250-J251+J250</f>
        <v>14230.010000000009</v>
      </c>
      <c r="L251" s="175">
        <f t="shared" si="468"/>
        <v>4.0148910313350626E-2</v>
      </c>
      <c r="M251" s="256">
        <f t="shared" ref="M251" si="483">I251-J251</f>
        <v>-31339.200000000012</v>
      </c>
      <c r="N251" s="257">
        <f t="shared" ref="N251" si="484">M251/J251</f>
        <v>-7.8348000000000029E-2</v>
      </c>
      <c r="O251" s="256" t="b">
        <f t="shared" ref="O251" si="485">L251&gt;D251</f>
        <v>1</v>
      </c>
      <c r="P251" s="257">
        <f>COUNTIF(O$2:O251, TRUE)/(COUNTIF(O$2:O251,FALSE) + COUNTIF(O$2:O251, TRUE))</f>
        <v>0.49199999999999999</v>
      </c>
      <c r="Q251" s="255">
        <v>269504.8</v>
      </c>
      <c r="R251" s="255">
        <f t="shared" ref="R251" si="486">I251-Q251</f>
        <v>99156</v>
      </c>
      <c r="S251" s="255">
        <v>-45515</v>
      </c>
      <c r="T251" s="255">
        <f t="shared" ref="T251" si="487">M251-S251</f>
        <v>14175.799999999988</v>
      </c>
      <c r="U251" s="257">
        <f>STDEV(D$2:D251)*SQRT(252)</f>
        <v>0.17129006286582368</v>
      </c>
      <c r="V251" s="257">
        <f>STDEV(L$2:L251)*SQRT(252)</f>
        <v>0.37015124159076757</v>
      </c>
      <c r="W251" s="256">
        <f t="shared" si="86"/>
        <v>-0.2116648310114819</v>
      </c>
    </row>
    <row r="252" spans="1:23" ht="20.100000000000001" customHeight="1" x14ac:dyDescent="0.25">
      <c r="B252" s="249">
        <v>42598</v>
      </c>
      <c r="C252" s="250">
        <v>2178.15</v>
      </c>
      <c r="D252" s="175">
        <f t="shared" si="71"/>
        <v>-5.479076775563317E-3</v>
      </c>
      <c r="E252" s="251">
        <f t="shared" ref="E252" si="488">(C252-$C$2)/$C$2</f>
        <v>3.6010540134320139E-2</v>
      </c>
      <c r="F252" s="252">
        <v>5227.1099999999997</v>
      </c>
      <c r="G252" s="175">
        <f t="shared" si="64"/>
        <v>-6.6324465365897338E-3</v>
      </c>
      <c r="H252" s="253">
        <f t="shared" ref="H252" si="489">(F252-F$2)/F$2</f>
        <v>2.6594261248698837E-2</v>
      </c>
      <c r="I252" s="254">
        <f>368660.8+2262.39</f>
        <v>370923.19</v>
      </c>
      <c r="J252" s="255">
        <v>400000</v>
      </c>
      <c r="K252" s="255">
        <f t="shared" ref="K252" si="490">I252-I251-J252+J251</f>
        <v>2262.390000000014</v>
      </c>
      <c r="L252" s="175">
        <f t="shared" si="468"/>
        <v>6.1367793917878281E-3</v>
      </c>
      <c r="M252" s="256">
        <f t="shared" ref="M252" si="491">I252-J252</f>
        <v>-29076.809999999998</v>
      </c>
      <c r="N252" s="257">
        <f t="shared" ref="N252" si="492">M252/J252</f>
        <v>-7.2692024999999993E-2</v>
      </c>
      <c r="O252" s="256" t="b">
        <f t="shared" ref="O252" si="493">L252&gt;D252</f>
        <v>1</v>
      </c>
      <c r="P252" s="257">
        <f>COUNTIF(O$2:O252, TRUE)/(COUNTIF(O$2:O252,FALSE) + COUNTIF(O$2:O252, TRUE))</f>
        <v>0.49402390438247012</v>
      </c>
      <c r="Q252" s="255"/>
      <c r="R252" s="255"/>
      <c r="S252" s="255"/>
      <c r="T252" s="255"/>
      <c r="U252" s="257">
        <f>STDEV(D$2:D252)*SQRT(252)</f>
        <v>0.17104156878989371</v>
      </c>
      <c r="V252" s="257">
        <f>STDEV(L$2:L252)*SQRT(252)</f>
        <v>0.36945344751699344</v>
      </c>
      <c r="W252" s="256">
        <f t="shared" si="86"/>
        <v>-0.19675557364140292</v>
      </c>
    </row>
    <row r="253" spans="1:23" ht="20.100000000000001" customHeight="1" x14ac:dyDescent="0.25">
      <c r="B253" s="249">
        <v>42599</v>
      </c>
      <c r="C253" s="250">
        <v>2182.2199999999998</v>
      </c>
      <c r="D253" s="175">
        <f t="shared" si="71"/>
        <v>1.8685581801068378E-3</v>
      </c>
      <c r="E253" s="251">
        <f t="shared" ref="E253" si="494">(C253-$C$2)/$C$2</f>
        <v>3.794638610376503E-2</v>
      </c>
      <c r="F253" s="252">
        <v>5228.6499999999996</v>
      </c>
      <c r="G253" s="175">
        <f t="shared" si="64"/>
        <v>2.946178672344687E-4</v>
      </c>
      <c r="H253" s="253">
        <f t="shared" ref="H253" si="495">(F253-F$2)/F$2</f>
        <v>2.6896714260463073E-2</v>
      </c>
      <c r="I253" s="254">
        <v>375295.13</v>
      </c>
      <c r="J253" s="255">
        <v>400000</v>
      </c>
      <c r="K253" s="255">
        <f t="shared" ref="K253" si="496">I253-I252-J253+J252</f>
        <v>4371.9400000000023</v>
      </c>
      <c r="L253" s="175">
        <f t="shared" si="468"/>
        <v>1.1786645100296917E-2</v>
      </c>
      <c r="M253" s="256">
        <f t="shared" ref="M253" si="497">I253-J253</f>
        <v>-24704.869999999995</v>
      </c>
      <c r="N253" s="257">
        <f t="shared" ref="N253" si="498">M253/J253</f>
        <v>-6.1762174999999989E-2</v>
      </c>
      <c r="O253" s="256" t="b">
        <f t="shared" ref="O253" si="499">L253&gt;D253</f>
        <v>1</v>
      </c>
      <c r="P253" s="257">
        <f>COUNTIF(O$2:O253, TRUE)/(COUNTIF(O$2:O253,FALSE) + COUNTIF(O$2:O253, TRUE))</f>
        <v>0.49603174603174605</v>
      </c>
      <c r="Q253" s="255">
        <v>255293.6</v>
      </c>
      <c r="R253" s="255">
        <f t="shared" ref="R253" si="500">I253-Q253</f>
        <v>120001.53</v>
      </c>
      <c r="S253" s="255">
        <v>-39008</v>
      </c>
      <c r="T253" s="255">
        <f t="shared" ref="T253" si="501">M253-S253</f>
        <v>14303.130000000005</v>
      </c>
      <c r="U253" s="257">
        <f>STDEV(D$2:D253)*SQRT(252)</f>
        <v>0.17070733564482474</v>
      </c>
      <c r="V253" s="257">
        <f>STDEV(L$2:L253)*SQRT(252)</f>
        <v>0.36889217852396583</v>
      </c>
      <c r="W253" s="256">
        <f t="shared" si="86"/>
        <v>-0.1674260897781206</v>
      </c>
    </row>
    <row r="254" spans="1:23" ht="20.100000000000001" customHeight="1" x14ac:dyDescent="0.25">
      <c r="B254" s="249">
        <v>42600</v>
      </c>
      <c r="C254" s="250">
        <v>2187.02</v>
      </c>
      <c r="D254" s="175">
        <f t="shared" si="71"/>
        <v>2.1995949079378716E-3</v>
      </c>
      <c r="E254" s="251">
        <f t="shared" ref="E254" si="502">(C254-$C$2)/$C$2</f>
        <v>4.0229447689351383E-2</v>
      </c>
      <c r="F254" s="252">
        <v>5240.1400000000003</v>
      </c>
      <c r="G254" s="175">
        <f t="shared" si="64"/>
        <v>2.1975079609460745E-3</v>
      </c>
      <c r="H254" s="253">
        <f t="shared" ref="H254" si="503">(F254-F$2)/F$2</f>
        <v>2.9153327965119807E-2</v>
      </c>
      <c r="I254" s="254">
        <v>382262.83</v>
      </c>
      <c r="J254" s="255">
        <v>400000</v>
      </c>
      <c r="K254" s="255">
        <f t="shared" ref="K254" si="504">I254-I253-J254+J253</f>
        <v>6967.7000000000116</v>
      </c>
      <c r="L254" s="175">
        <f t="shared" si="468"/>
        <v>1.8565921705405587E-2</v>
      </c>
      <c r="M254" s="256">
        <f t="shared" ref="M254:M259" si="505">I254-J254</f>
        <v>-17737.169999999984</v>
      </c>
      <c r="N254" s="257">
        <f t="shared" ref="N254" si="506">M254/J254</f>
        <v>-4.4342924999999957E-2</v>
      </c>
      <c r="O254" s="256" t="b">
        <f t="shared" ref="O254" si="507">L254&gt;D254</f>
        <v>1</v>
      </c>
      <c r="P254" s="257">
        <f>COUNTIF(O$2:O254, TRUE)/(COUNTIF(O$2:O254,FALSE) + COUNTIF(O$2:O254, TRUE))</f>
        <v>0.49802371541501977</v>
      </c>
      <c r="Q254" s="255">
        <v>234684.9</v>
      </c>
      <c r="R254" s="255">
        <f t="shared" ref="R254" si="508">I254-Q254</f>
        <v>147577.93000000002</v>
      </c>
      <c r="S254" s="255">
        <v>-32026</v>
      </c>
      <c r="T254" s="255">
        <f t="shared" ref="T254" si="509">M254-S254</f>
        <v>14288.830000000016</v>
      </c>
      <c r="U254" s="257">
        <f>STDEV(D$2:D254)*SQRT(252)</f>
        <v>0.17037860468394234</v>
      </c>
      <c r="V254" s="257">
        <f>STDEV(L$2:L254)*SQRT(252)</f>
        <v>0.36860527111095059</v>
      </c>
      <c r="W254" s="256">
        <f t="shared" si="86"/>
        <v>-0.12029921565243348</v>
      </c>
    </row>
    <row r="255" spans="1:23" ht="20.100000000000001" customHeight="1" x14ac:dyDescent="0.25">
      <c r="B255" s="249">
        <v>42601</v>
      </c>
      <c r="C255" s="250">
        <v>2183.87</v>
      </c>
      <c r="D255" s="175">
        <f t="shared" si="71"/>
        <v>-1.4403160464925291E-3</v>
      </c>
      <c r="E255" s="251">
        <f t="shared" ref="E255" si="510">(C255-$C$2)/$C$2</f>
        <v>3.8731188523810349E-2</v>
      </c>
      <c r="F255" s="252">
        <v>5238.37</v>
      </c>
      <c r="G255" s="175">
        <f t="shared" si="64"/>
        <v>-3.377772349594546E-4</v>
      </c>
      <c r="H255" s="253">
        <f t="shared" ref="H255" si="511">(F255-F$2)/F$2</f>
        <v>2.8805703399650426E-2</v>
      </c>
      <c r="I255" s="254">
        <v>382810.75</v>
      </c>
      <c r="J255" s="255">
        <v>400000</v>
      </c>
      <c r="K255" s="255">
        <f t="shared" ref="K255" si="512">I255-I254-J255+J254</f>
        <v>547.9199999999837</v>
      </c>
      <c r="L255" s="175">
        <f t="shared" si="468"/>
        <v>1.4333593459766509E-3</v>
      </c>
      <c r="M255" s="256">
        <f t="shared" si="505"/>
        <v>-17189.25</v>
      </c>
      <c r="N255" s="257">
        <f t="shared" ref="N255" si="513">M255/J255</f>
        <v>-4.2973125000000001E-2</v>
      </c>
      <c r="O255" s="256" t="b">
        <f t="shared" ref="O255" si="514">L255&gt;D255</f>
        <v>1</v>
      </c>
      <c r="P255" s="257">
        <f>COUNTIF(O$2:O255, TRUE)/(COUNTIF(O$2:O255,FALSE) + COUNTIF(O$2:O255, TRUE))</f>
        <v>0.5</v>
      </c>
      <c r="Q255" s="255">
        <v>232963</v>
      </c>
      <c r="R255" s="255">
        <f t="shared" ref="R255" si="515">I255-Q255</f>
        <v>149847.75</v>
      </c>
      <c r="S255" s="255">
        <v>-31491</v>
      </c>
      <c r="T255" s="255">
        <f t="shared" ref="T255" si="516">M255-S255</f>
        <v>14301.75</v>
      </c>
      <c r="U255" s="257">
        <f>STDEV(D$2:D255)*SQRT(252)</f>
        <v>0.17004823124419763</v>
      </c>
      <c r="V255" s="257">
        <f>STDEV(L$2:L255)*SQRT(252)</f>
        <v>0.36787447588145594</v>
      </c>
      <c r="W255" s="256">
        <f t="shared" si="86"/>
        <v>-0.11681464145353668</v>
      </c>
    </row>
    <row r="256" spans="1:23" ht="20.100000000000001" customHeight="1" x14ac:dyDescent="0.25">
      <c r="B256" s="176">
        <v>42604</v>
      </c>
      <c r="C256" s="220">
        <v>2182.64</v>
      </c>
      <c r="D256" s="175">
        <f t="shared" si="71"/>
        <v>-5.6322033820695291E-4</v>
      </c>
      <c r="E256" s="214">
        <f t="shared" ref="E256" si="517">(C256-$C$2)/$C$2</f>
        <v>3.8146153992503859E-2</v>
      </c>
      <c r="F256" s="224">
        <v>5244.6</v>
      </c>
      <c r="G256" s="175">
        <f t="shared" ref="G256:G261" si="518">(F256-F255)/F255</f>
        <v>1.1893012521071388E-3</v>
      </c>
      <c r="H256" s="208">
        <f t="shared" ref="H256" si="519">(F256-F$2)/F$2</f>
        <v>3.0029263310878598E-2</v>
      </c>
      <c r="I256" s="226">
        <v>377083.42</v>
      </c>
      <c r="J256" s="177">
        <v>400000</v>
      </c>
      <c r="K256" s="177">
        <f t="shared" ref="K256" si="520">I256-I255-J256+J255</f>
        <v>-5727.3300000000163</v>
      </c>
      <c r="L256" s="175">
        <f t="shared" si="468"/>
        <v>-1.4961256965746171E-2</v>
      </c>
      <c r="M256" s="187">
        <f t="shared" si="505"/>
        <v>-22916.580000000016</v>
      </c>
      <c r="N256" s="189">
        <f t="shared" ref="N256" si="521">M256/J256</f>
        <v>-5.7291450000000042E-2</v>
      </c>
      <c r="O256" s="187" t="b">
        <f t="shared" ref="O256" si="522">L256&gt;D256</f>
        <v>0</v>
      </c>
      <c r="P256" s="189">
        <f>COUNTIF(O$2:O256, TRUE)/(COUNTIF(O$2:O256,FALSE) + COUNTIF(O$2:O256, TRUE))</f>
        <v>0.49803921568627452</v>
      </c>
      <c r="Q256" s="177">
        <v>255242.1</v>
      </c>
      <c r="R256" s="177">
        <f t="shared" ref="R256" si="523">I256-Q256</f>
        <v>121841.31999999998</v>
      </c>
      <c r="S256" s="177">
        <v>-37372</v>
      </c>
      <c r="T256" s="177">
        <f t="shared" ref="T256" si="524">M256-S256</f>
        <v>14455.419999999984</v>
      </c>
      <c r="U256" s="189">
        <f>STDEV(D$2:D256)*SQRT(252)</f>
        <v>0.1697135708935549</v>
      </c>
      <c r="V256" s="189">
        <f>STDEV(L$2:L256)*SQRT(252)</f>
        <v>0.36746793184663218</v>
      </c>
      <c r="W256" s="187">
        <f t="shared" si="86"/>
        <v>-0.15590870667841411</v>
      </c>
    </row>
    <row r="257" spans="2:23" ht="20.100000000000001" customHeight="1" x14ac:dyDescent="0.25">
      <c r="B257" s="176">
        <v>42605</v>
      </c>
      <c r="C257" s="220">
        <v>2186.9</v>
      </c>
      <c r="D257" s="175">
        <f t="shared" ref="D257:D261" si="525">(C257-C256)/C256</f>
        <v>1.951764835245491E-3</v>
      </c>
      <c r="E257" s="214">
        <f t="shared" ref="E257" si="526">(C257-$C$2)/$C$2</f>
        <v>4.0172371149711783E-2</v>
      </c>
      <c r="F257" s="224">
        <v>5260.07</v>
      </c>
      <c r="G257" s="175">
        <f t="shared" si="518"/>
        <v>2.9497006444722845E-3</v>
      </c>
      <c r="H257" s="208">
        <f t="shared" ref="H257" si="527">(F257-F$2)/F$2</f>
        <v>3.3067541292692008E-2</v>
      </c>
      <c r="I257" s="226">
        <v>383610.05</v>
      </c>
      <c r="J257" s="177">
        <v>400000</v>
      </c>
      <c r="K257" s="177">
        <f t="shared" ref="K257" si="528">I257-I256-J257+J256</f>
        <v>6526.6300000000047</v>
      </c>
      <c r="L257" s="175">
        <f t="shared" si="468"/>
        <v>1.7308186077234593E-2</v>
      </c>
      <c r="M257" s="187">
        <f t="shared" si="505"/>
        <v>-16389.950000000012</v>
      </c>
      <c r="N257" s="189">
        <f t="shared" ref="N257" si="529">M257/J257</f>
        <v>-4.0974875000000029E-2</v>
      </c>
      <c r="O257" s="187" t="b">
        <f t="shared" ref="O257" si="530">L257&gt;D257</f>
        <v>1</v>
      </c>
      <c r="P257" s="189">
        <f>COUNTIF(O$2:O257, TRUE)/(COUNTIF(O$2:O257,FALSE) + COUNTIF(O$2:O257, TRUE))</f>
        <v>0.5</v>
      </c>
      <c r="Q257" s="177">
        <v>237329.4</v>
      </c>
      <c r="R257" s="177">
        <f t="shared" ref="R257" si="531">I257-Q257</f>
        <v>146280.65</v>
      </c>
      <c r="S257" s="177">
        <v>-30977</v>
      </c>
      <c r="T257" s="177">
        <f t="shared" ref="T257" si="532">M257-S257</f>
        <v>14587.049999999988</v>
      </c>
      <c r="U257" s="189">
        <f>STDEV(D$2:D257)*SQRT(252)</f>
        <v>0.16938806622202984</v>
      </c>
      <c r="V257" s="189">
        <f>STDEV(L$2:L257)*SQRT(252)</f>
        <v>0.36712884125938189</v>
      </c>
      <c r="W257" s="187">
        <f t="shared" si="86"/>
        <v>-0.1116089786338815</v>
      </c>
    </row>
    <row r="258" spans="2:23" ht="20.100000000000001" customHeight="1" x14ac:dyDescent="0.25">
      <c r="B258" s="176">
        <v>42606</v>
      </c>
      <c r="C258" s="220">
        <v>2175.44</v>
      </c>
      <c r="D258" s="175">
        <f t="shared" si="525"/>
        <v>-5.2402944807718854E-3</v>
      </c>
      <c r="E258" s="214">
        <f t="shared" ref="E258" si="533">(C258-$C$2)/$C$2</f>
        <v>3.4721561614124541E-2</v>
      </c>
      <c r="F258" s="224">
        <v>5217.6899999999996</v>
      </c>
      <c r="G258" s="175">
        <f t="shared" si="518"/>
        <v>-8.0569269990703758E-3</v>
      </c>
      <c r="H258" s="208">
        <f t="shared" ref="H258" si="534">(F258-F$2)/F$2</f>
        <v>2.4744191527387667E-2</v>
      </c>
      <c r="I258" s="226">
        <f>379998.45+9.8</f>
        <v>380008.25</v>
      </c>
      <c r="J258" s="177">
        <v>400000</v>
      </c>
      <c r="K258" s="177">
        <f t="shared" ref="K258" si="535">I258-I257-J258+J257</f>
        <v>-3601.7999999999884</v>
      </c>
      <c r="L258" s="175">
        <f t="shared" si="468"/>
        <v>-9.3892222062482156E-3</v>
      </c>
      <c r="M258" s="187">
        <f t="shared" si="505"/>
        <v>-19991.75</v>
      </c>
      <c r="N258" s="189">
        <f t="shared" ref="N258" si="536">M258/J258</f>
        <v>-4.9979374999999999E-2</v>
      </c>
      <c r="O258" s="187" t="b">
        <f t="shared" ref="O258" si="537">L258&gt;D258</f>
        <v>0</v>
      </c>
      <c r="P258" s="189">
        <f>COUNTIF(O$2:O258, TRUE)/(COUNTIF(O$2:O258,FALSE) + COUNTIF(O$2:O258, TRUE))</f>
        <v>0.49805447470817121</v>
      </c>
      <c r="Q258" s="177">
        <v>233717.8</v>
      </c>
      <c r="R258" s="177">
        <f t="shared" ref="R258" si="538">I258-Q258</f>
        <v>146290.45000000001</v>
      </c>
      <c r="S258" s="177">
        <v>-34657</v>
      </c>
      <c r="T258" s="177">
        <f t="shared" ref="T258" si="539">M258-S258</f>
        <v>14665.25</v>
      </c>
      <c r="U258" s="189">
        <f>STDEV(D$2:D258)*SQRT(252)</f>
        <v>0.1691421099558785</v>
      </c>
      <c r="V258" s="189">
        <f>STDEV(L$2:L258)*SQRT(252)</f>
        <v>0.36653871966751894</v>
      </c>
      <c r="W258" s="187">
        <f t="shared" si="86"/>
        <v>-0.13635496693319452</v>
      </c>
    </row>
    <row r="259" spans="2:23" ht="20.100000000000001" customHeight="1" x14ac:dyDescent="0.25">
      <c r="B259" s="176">
        <v>42607</v>
      </c>
      <c r="C259" s="220">
        <v>2172.4699999999998</v>
      </c>
      <c r="D259" s="175">
        <f t="shared" si="525"/>
        <v>-1.3652410546833075E-3</v>
      </c>
      <c r="E259" s="214">
        <f t="shared" ref="E259" si="540">(C259-$C$2)/$C$2</f>
        <v>3.3308917258042914E-2</v>
      </c>
      <c r="F259" s="224">
        <v>5212.2</v>
      </c>
      <c r="G259" s="175">
        <f t="shared" si="518"/>
        <v>-1.0521897621360759E-3</v>
      </c>
      <c r="H259" s="208">
        <f t="shared" ref="H259" si="541">(F259-F$2)/F$2</f>
        <v>2.3665966180254142E-2</v>
      </c>
      <c r="I259" s="226">
        <v>380752.59</v>
      </c>
      <c r="J259" s="177">
        <v>400000</v>
      </c>
      <c r="K259" s="177">
        <f t="shared" ref="K259" si="542">I259-I258-J259+J258</f>
        <v>744.34000000002561</v>
      </c>
      <c r="L259" s="175">
        <f t="shared" si="468"/>
        <v>1.9587469482571116E-3</v>
      </c>
      <c r="M259" s="187">
        <f t="shared" si="505"/>
        <v>-19247.409999999974</v>
      </c>
      <c r="N259" s="189">
        <f t="shared" ref="N259" si="543">M259/J259</f>
        <v>-4.8118524999999933E-2</v>
      </c>
      <c r="O259" s="187" t="b">
        <f t="shared" ref="O259" si="544">L259&gt;D259</f>
        <v>1</v>
      </c>
      <c r="P259" s="189">
        <f>COUNTIF(O$2:O259, TRUE)/(COUNTIF(O$2:O259,FALSE) + COUNTIF(O$2:O259, TRUE))</f>
        <v>0.5</v>
      </c>
      <c r="Q259" s="177">
        <v>237299.38</v>
      </c>
      <c r="R259" s="177">
        <f t="shared" ref="R259" si="545">I259-Q259</f>
        <v>143453.21000000002</v>
      </c>
      <c r="S259" s="177">
        <v>-33721</v>
      </c>
      <c r="T259" s="177">
        <f t="shared" ref="T259" si="546">M259-S259</f>
        <v>14473.590000000026</v>
      </c>
      <c r="U259" s="189">
        <f>STDEV(D$2:D259)*SQRT(252)</f>
        <v>0.16881845547722549</v>
      </c>
      <c r="V259" s="189">
        <f>STDEV(L$2:L259)*SQRT(252)</f>
        <v>0.36582526513101316</v>
      </c>
      <c r="W259" s="187">
        <f t="shared" ref="W259:W279" si="547">N259/V259</f>
        <v>-0.13153417652213611</v>
      </c>
    </row>
    <row r="260" spans="2:23" ht="20.100000000000001" customHeight="1" x14ac:dyDescent="0.25">
      <c r="B260" s="176">
        <v>42608</v>
      </c>
      <c r="C260" s="220">
        <v>2169.04</v>
      </c>
      <c r="D260" s="175">
        <f t="shared" si="525"/>
        <v>-1.578848039328431E-3</v>
      </c>
      <c r="E260" s="214">
        <f t="shared" ref="E260" si="548">(C260-$C$2)/$C$2</f>
        <v>3.1677479500009466E-2</v>
      </c>
      <c r="F260" s="224">
        <v>5218.91</v>
      </c>
      <c r="G260" s="175">
        <f t="shared" si="518"/>
        <v>1.2873642607728092E-3</v>
      </c>
      <c r="H260" s="208">
        <f t="shared" ref="H260" si="549">(F260-F$2)/F$2</f>
        <v>2.4983797160084066E-2</v>
      </c>
      <c r="I260" s="226">
        <v>381100.52</v>
      </c>
      <c r="J260" s="177">
        <v>400000</v>
      </c>
      <c r="K260" s="177">
        <f t="shared" ref="K260" si="550">I260-I259-J260+J259</f>
        <v>347.92999999999302</v>
      </c>
      <c r="L260" s="175">
        <f t="shared" si="468"/>
        <v>9.1379549118757934E-4</v>
      </c>
      <c r="M260" s="187">
        <f t="shared" ref="M260" si="551">I260-J260</f>
        <v>-18899.479999999981</v>
      </c>
      <c r="N260" s="189">
        <f t="shared" ref="N260" si="552">M260/J260</f>
        <v>-4.7248699999999956E-2</v>
      </c>
      <c r="O260" s="187" t="b">
        <f t="shared" ref="O260" si="553">L260&gt;D260</f>
        <v>1</v>
      </c>
      <c r="P260" s="189">
        <f>COUNTIF(O$2:O260, TRUE)/(COUNTIF(O$2:O260,FALSE) + COUNTIF(O$2:O260, TRUE))</f>
        <v>0.50193050193050193</v>
      </c>
      <c r="Q260" s="177">
        <v>258954.3</v>
      </c>
      <c r="R260" s="177">
        <f t="shared" ref="R260" si="554">I260-Q260</f>
        <v>122146.22000000003</v>
      </c>
      <c r="S260" s="177">
        <v>-33067</v>
      </c>
      <c r="T260" s="177">
        <f t="shared" ref="T260" si="555">M260-S260</f>
        <v>14167.520000000019</v>
      </c>
      <c r="U260" s="189">
        <f>STDEV(D$2:D260)*SQRT(252)</f>
        <v>0.16849870140291789</v>
      </c>
      <c r="V260" s="189">
        <f>STDEV(L$2:L260)*SQRT(252)</f>
        <v>0.36511315760461099</v>
      </c>
      <c r="W260" s="187">
        <f t="shared" si="547"/>
        <v>-0.1294083738586233</v>
      </c>
    </row>
    <row r="261" spans="2:23" ht="20.100000000000001" customHeight="1" x14ac:dyDescent="0.25">
      <c r="B261" s="249">
        <v>42611</v>
      </c>
      <c r="C261" s="250">
        <v>2180.38</v>
      </c>
      <c r="D261" s="175">
        <f t="shared" si="525"/>
        <v>5.2281193523402731E-3</v>
      </c>
      <c r="E261" s="251">
        <f t="shared" ref="E261" si="556">(C261-$C$2)/$C$2</f>
        <v>3.7071212495957101E-2</v>
      </c>
      <c r="F261" s="252">
        <v>5232.32</v>
      </c>
      <c r="G261" s="175">
        <f t="shared" si="518"/>
        <v>2.569502060775115E-3</v>
      </c>
      <c r="H261" s="253">
        <f t="shared" ref="H261" si="557">(F261-F$2)/F$2</f>
        <v>2.7617495139148004E-2</v>
      </c>
      <c r="I261" s="254">
        <v>382828.93</v>
      </c>
      <c r="J261" s="255">
        <v>400000</v>
      </c>
      <c r="K261" s="255">
        <f t="shared" ref="K261" si="558">I261-I260-J261+J260</f>
        <v>1728.4099999999744</v>
      </c>
      <c r="L261" s="175">
        <f>K261/I260</f>
        <v>4.5353126256557569E-3</v>
      </c>
      <c r="M261" s="256">
        <f t="shared" ref="M261" si="559">I261-J261</f>
        <v>-17171.070000000007</v>
      </c>
      <c r="N261" s="257">
        <f t="shared" ref="N261" si="560">M261/J261</f>
        <v>-4.2927675000000019E-2</v>
      </c>
      <c r="O261" s="256" t="b">
        <f t="shared" ref="O261" si="561">L261&gt;D261</f>
        <v>0</v>
      </c>
      <c r="P261" s="257">
        <f>COUNTIF(O$2:O261, TRUE)/(COUNTIF(O$2:O261,FALSE) + COUNTIF(O$2:O261, TRUE))</f>
        <v>0.5</v>
      </c>
      <c r="Q261" s="255">
        <v>260300.32</v>
      </c>
      <c r="R261" s="255">
        <f t="shared" ref="R261" si="562">I261-Q261</f>
        <v>122528.60999999999</v>
      </c>
      <c r="S261" s="255">
        <v>-31777</v>
      </c>
      <c r="T261" s="255">
        <f t="shared" ref="T261" si="563">M261-S261</f>
        <v>14605.929999999993</v>
      </c>
      <c r="U261" s="257">
        <f>STDEV(D$2:D261)*SQRT(252)</f>
        <v>0.16824562360938053</v>
      </c>
      <c r="V261" s="257">
        <f>STDEV(L$2:L261)*SQRT(252)</f>
        <v>0.36442732658879068</v>
      </c>
      <c r="W261" s="256">
        <f t="shared" si="547"/>
        <v>-0.11779488492760141</v>
      </c>
    </row>
    <row r="262" spans="2:23" ht="20.100000000000001" customHeight="1" x14ac:dyDescent="0.25">
      <c r="B262" s="249">
        <v>42612</v>
      </c>
      <c r="C262" s="250">
        <v>2176.12</v>
      </c>
      <c r="D262" s="175">
        <f t="shared" ref="D262" si="564">(C262-C261)/C261</f>
        <v>-1.9537878718389537E-3</v>
      </c>
      <c r="E262" s="251">
        <f t="shared" ref="E262" si="565">(C262-$C$2)/$C$2</f>
        <v>3.5044995338749184E-2</v>
      </c>
      <c r="F262" s="252">
        <v>5222.9799999999996</v>
      </c>
      <c r="G262" s="175">
        <f t="shared" ref="G262" si="566">(F262-F261)/F261</f>
        <v>-1.7850590177971046E-3</v>
      </c>
      <c r="H262" s="253">
        <f t="shared" ref="H262" si="567">(F262-F$2)/F$2</f>
        <v>2.5783137262603797E-2</v>
      </c>
      <c r="I262" s="254">
        <v>379406.56</v>
      </c>
      <c r="J262" s="255">
        <v>400000</v>
      </c>
      <c r="K262" s="255">
        <f t="shared" ref="K262" si="568">I262-I261-J262+J261</f>
        <v>-3422.3699999999953</v>
      </c>
      <c r="L262" s="175">
        <f>K262/I261</f>
        <v>-8.9396848874508921E-3</v>
      </c>
      <c r="M262" s="256">
        <f t="shared" ref="M262" si="569">I262-J262</f>
        <v>-20593.440000000002</v>
      </c>
      <c r="N262" s="257">
        <f t="shared" ref="N262" si="570">M262/J262</f>
        <v>-5.1483600000000004E-2</v>
      </c>
      <c r="O262" s="256" t="b">
        <f t="shared" ref="O262" si="571">L262&gt;D262</f>
        <v>0</v>
      </c>
      <c r="P262" s="257">
        <f>COUNTIF(O$2:O262, TRUE)/(COUNTIF(O$2:O262,FALSE) + COUNTIF(O$2:O262, TRUE))</f>
        <v>0.49808429118773945</v>
      </c>
      <c r="Q262" s="255">
        <v>274968.95</v>
      </c>
      <c r="R262" s="255">
        <f t="shared" ref="R262" si="572">I262-Q262</f>
        <v>104437.60999999999</v>
      </c>
      <c r="S262" s="255">
        <v>-35414</v>
      </c>
      <c r="T262" s="255">
        <f t="shared" ref="T262" si="573">M262-S262</f>
        <v>14820.559999999998</v>
      </c>
      <c r="U262" s="257">
        <f>STDEV(D$2:D262)*SQRT(252)</f>
        <v>0.16793385572919492</v>
      </c>
      <c r="V262" s="257">
        <f>STDEV(L$2:L262)*SQRT(252)</f>
        <v>0.36384060156715331</v>
      </c>
      <c r="W262" s="256">
        <f t="shared" si="547"/>
        <v>-0.14150042567609866</v>
      </c>
    </row>
    <row r="263" spans="2:23" ht="20.100000000000001" customHeight="1" x14ac:dyDescent="0.25">
      <c r="B263" s="249">
        <v>42613</v>
      </c>
      <c r="C263" s="250">
        <v>2170.94</v>
      </c>
      <c r="D263" s="175">
        <f t="shared" ref="D263" si="574">(C263-C262)/C262</f>
        <v>-2.3803834347369797E-3</v>
      </c>
      <c r="E263" s="251">
        <f t="shared" ref="E263" si="575">(C263-$C$2)/$C$2</f>
        <v>3.258119137763741E-2</v>
      </c>
      <c r="F263" s="252">
        <v>5213.22</v>
      </c>
      <c r="G263" s="175">
        <f t="shared" ref="G263:G270" si="576">(F263-F262)/F262</f>
        <v>-1.8686650149913094E-3</v>
      </c>
      <c r="H263" s="253">
        <f t="shared" ref="H263" si="577">(F263-F$2)/F$2</f>
        <v>2.3866292201033139E-2</v>
      </c>
      <c r="I263" s="489">
        <v>375078.22</v>
      </c>
      <c r="J263" s="255">
        <v>400000</v>
      </c>
      <c r="K263" s="255">
        <f t="shared" ref="K263" si="578">I263-I262-J263+J262</f>
        <v>-4328.3400000000256</v>
      </c>
      <c r="L263" s="175">
        <f>K263/I262</f>
        <v>-1.1408184402504863E-2</v>
      </c>
      <c r="M263" s="256">
        <f t="shared" ref="M263" si="579">I263-J263</f>
        <v>-24921.780000000028</v>
      </c>
      <c r="N263" s="257">
        <f t="shared" ref="N263" si="580">M263/J263</f>
        <v>-6.2304450000000067E-2</v>
      </c>
      <c r="O263" s="256" t="b">
        <f t="shared" ref="O263" si="581">L263&gt;D263</f>
        <v>0</v>
      </c>
      <c r="P263" s="257">
        <f>COUNTIF(O$2:O263, TRUE)/(COUNTIF(O$2:O263,FALSE) + COUNTIF(O$2:O263, TRUE))</f>
        <v>0.49618320610687022</v>
      </c>
      <c r="Q263" s="255">
        <v>285803.11</v>
      </c>
      <c r="R263" s="255">
        <f t="shared" ref="R263" si="582">I263-Q263</f>
        <v>89275.109999999986</v>
      </c>
      <c r="S263" s="255">
        <v>-39480</v>
      </c>
      <c r="T263" s="255">
        <f t="shared" ref="T263" si="583">M263-S263</f>
        <v>14558.219999999972</v>
      </c>
      <c r="U263" s="257">
        <f>STDEV(D$2:D263)*SQRT(252)</f>
        <v>0.16762959845319877</v>
      </c>
      <c r="V263" s="257">
        <f>STDEV(L$2:L263)*SQRT(252)</f>
        <v>0.36332602481523973</v>
      </c>
      <c r="W263" s="256">
        <f t="shared" si="547"/>
        <v>-0.17148358703917072</v>
      </c>
    </row>
    <row r="264" spans="2:23" ht="20.100000000000001" customHeight="1" x14ac:dyDescent="0.25">
      <c r="B264" s="249">
        <v>42614</v>
      </c>
      <c r="C264" s="250">
        <v>2170.86</v>
      </c>
      <c r="D264" s="175">
        <f t="shared" ref="D264:D270" si="584">(C264-C263)/C263</f>
        <v>-3.6850396602359916E-5</v>
      </c>
      <c r="E264" s="251">
        <f t="shared" ref="E264" si="585">(C264-$C$2)/$C$2</f>
        <v>3.254314035121101E-2</v>
      </c>
      <c r="F264" s="252">
        <v>5227.2</v>
      </c>
      <c r="G264" s="175">
        <f t="shared" si="576"/>
        <v>2.6816439743574151E-3</v>
      </c>
      <c r="H264" s="253">
        <f t="shared" ref="H264" si="586">(F264-F$2)/F$2</f>
        <v>2.661193707406171E-2</v>
      </c>
      <c r="I264" s="254">
        <v>374158.47</v>
      </c>
      <c r="J264" s="255">
        <v>400000</v>
      </c>
      <c r="K264" s="255">
        <f t="shared" ref="K264" si="587">I264-I263-J264+J263</f>
        <v>-919.75</v>
      </c>
      <c r="L264" s="175">
        <f t="shared" ref="L264:L269" si="588">K264/I263</f>
        <v>-2.4521551797915646E-3</v>
      </c>
      <c r="M264" s="256">
        <f t="shared" ref="M264" si="589">I264-J264</f>
        <v>-25841.530000000028</v>
      </c>
      <c r="N264" s="257">
        <f t="shared" ref="N264" si="590">M264/J264</f>
        <v>-6.4603825000000073E-2</v>
      </c>
      <c r="O264" s="256" t="b">
        <f t="shared" ref="O264" si="591">L264&gt;D264</f>
        <v>0</v>
      </c>
      <c r="P264" s="257">
        <f>COUNTIF(O$2:O264, TRUE)/(COUNTIF(O$2:O264,FALSE) + COUNTIF(O$2:O264, TRUE))</f>
        <v>0.49429657794676807</v>
      </c>
      <c r="Q264" s="255">
        <v>284793.13</v>
      </c>
      <c r="R264" s="255">
        <f t="shared" ref="R264" si="592">I264-Q264</f>
        <v>89365.339999999967</v>
      </c>
      <c r="S264" s="255">
        <v>-40089</v>
      </c>
      <c r="T264" s="255">
        <f t="shared" ref="T264" si="593">M264-S264</f>
        <v>14247.469999999972</v>
      </c>
      <c r="U264" s="257">
        <f>STDEV(D$2:D264)*SQRT(252)</f>
        <v>0.16730829405773207</v>
      </c>
      <c r="V264" s="257">
        <f>STDEV(L$2:L264)*SQRT(252)</f>
        <v>0.36263989119612255</v>
      </c>
      <c r="W264" s="256">
        <f t="shared" si="547"/>
        <v>-0.17814869949059492</v>
      </c>
    </row>
    <row r="265" spans="2:23" ht="20.100000000000001" customHeight="1" x14ac:dyDescent="0.25">
      <c r="B265" s="249">
        <v>42615</v>
      </c>
      <c r="C265" s="250">
        <v>2179.98</v>
      </c>
      <c r="D265" s="175">
        <f t="shared" si="584"/>
        <v>4.2011000248748835E-3</v>
      </c>
      <c r="E265" s="251">
        <f t="shared" ref="E265" si="594">(C265-$C$2)/$C$2</f>
        <v>3.6880957363824872E-2</v>
      </c>
      <c r="F265" s="252">
        <v>5249.89</v>
      </c>
      <c r="G265" s="175">
        <f t="shared" si="576"/>
        <v>4.3407560453015978E-3</v>
      </c>
      <c r="H265" s="253">
        <f t="shared" ref="H265" si="595">(F265-F$2)/F$2</f>
        <v>3.1068209046094725E-2</v>
      </c>
      <c r="I265" s="254">
        <v>379833.49</v>
      </c>
      <c r="J265" s="255">
        <v>400000</v>
      </c>
      <c r="K265" s="255">
        <f t="shared" ref="K265" si="596">I265-I264-J265+J264</f>
        <v>5675.0200000000186</v>
      </c>
      <c r="L265" s="175">
        <f t="shared" si="588"/>
        <v>1.5167423578570916E-2</v>
      </c>
      <c r="M265" s="256">
        <f t="shared" ref="M265" si="597">I265-J265</f>
        <v>-20166.510000000009</v>
      </c>
      <c r="N265" s="257">
        <f t="shared" ref="N265" si="598">M265/J265</f>
        <v>-5.0416275000000024E-2</v>
      </c>
      <c r="O265" s="256" t="b">
        <f t="shared" ref="O265" si="599">L265&gt;D265</f>
        <v>1</v>
      </c>
      <c r="P265" s="257">
        <f>COUNTIF(O$2:O265, TRUE)/(COUNTIF(O$2:O265,FALSE) + COUNTIF(O$2:O265, TRUE))</f>
        <v>0.49621212121212122</v>
      </c>
      <c r="Q265" s="255">
        <v>279915.57</v>
      </c>
      <c r="R265" s="255">
        <f t="shared" ref="R265" si="600">I265-Q265</f>
        <v>99917.919999999984</v>
      </c>
      <c r="S265" s="255">
        <v>-35299</v>
      </c>
      <c r="T265" s="255">
        <f t="shared" ref="T265" si="601">M265-S265</f>
        <v>15132.489999999991</v>
      </c>
      <c r="U265" s="257">
        <f>STDEV(D$2:D265)*SQRT(252)</f>
        <v>0.16703513483712773</v>
      </c>
      <c r="V265" s="257">
        <f>STDEV(L$2:L265)*SQRT(252)</f>
        <v>0.3622373095628969</v>
      </c>
      <c r="W265" s="256">
        <f t="shared" si="547"/>
        <v>-0.13918023811748198</v>
      </c>
    </row>
    <row r="266" spans="2:23" ht="20.100000000000001" customHeight="1" x14ac:dyDescent="0.25">
      <c r="B266" s="176">
        <v>42619</v>
      </c>
      <c r="C266" s="220">
        <v>2186.48</v>
      </c>
      <c r="D266" s="175">
        <f t="shared" si="584"/>
        <v>2.9816787309975322E-3</v>
      </c>
      <c r="E266" s="214">
        <f t="shared" ref="E266" si="602">(C266-$C$2)/$C$2</f>
        <v>3.9972603260972947E-2</v>
      </c>
      <c r="F266" s="224">
        <v>5275.9</v>
      </c>
      <c r="G266" s="175">
        <f t="shared" si="576"/>
        <v>4.9543895205422031E-3</v>
      </c>
      <c r="H266" s="208">
        <f t="shared" ref="H266" si="603">(F266-F$2)/F$2</f>
        <v>3.6176522575956917E-2</v>
      </c>
      <c r="I266" s="226">
        <v>382927.8</v>
      </c>
      <c r="J266" s="177">
        <v>400000</v>
      </c>
      <c r="K266" s="177">
        <f t="shared" ref="K266" si="604">I266-I265-J266+J265</f>
        <v>3094.3099999999977</v>
      </c>
      <c r="L266" s="175">
        <f t="shared" si="588"/>
        <v>8.1464907162346265E-3</v>
      </c>
      <c r="M266" s="187">
        <f t="shared" ref="M266" si="605">I266-J266</f>
        <v>-17072.200000000012</v>
      </c>
      <c r="N266" s="189">
        <f t="shared" ref="N266" si="606">M266/J266</f>
        <v>-4.2680500000000031E-2</v>
      </c>
      <c r="O266" s="187" t="b">
        <f t="shared" ref="O266" si="607">L266&gt;D266</f>
        <v>1</v>
      </c>
      <c r="P266" s="189">
        <f>COUNTIF(O$2:O266, TRUE)/(COUNTIF(O$2:O266,FALSE) + COUNTIF(O$2:O266, TRUE))</f>
        <v>0.49811320754716981</v>
      </c>
      <c r="Q266" s="177">
        <v>288323.67</v>
      </c>
      <c r="R266" s="177">
        <f t="shared" ref="R266" si="608">I266-Q266</f>
        <v>94604.13</v>
      </c>
      <c r="S266" s="177">
        <v>-32869</v>
      </c>
      <c r="T266" s="177">
        <f t="shared" ref="T266" si="609">M266-S266</f>
        <v>15796.799999999988</v>
      </c>
      <c r="U266" s="189">
        <f>STDEV(D$2:D266)*SQRT(252)</f>
        <v>0.16673953715434717</v>
      </c>
      <c r="V266" s="189">
        <f>STDEV(L$2:L266)*SQRT(252)</f>
        <v>0.36162688235726198</v>
      </c>
      <c r="W266" s="187">
        <f t="shared" si="547"/>
        <v>-0.11802358199088389</v>
      </c>
    </row>
    <row r="267" spans="2:23" ht="20.100000000000001" customHeight="1" x14ac:dyDescent="0.25">
      <c r="B267" s="176">
        <v>42620</v>
      </c>
      <c r="C267" s="220">
        <v>2186.16</v>
      </c>
      <c r="D267" s="175">
        <f t="shared" si="584"/>
        <v>-1.4635395704518849E-4</v>
      </c>
      <c r="E267" s="214">
        <f t="shared" ref="E267" si="610">(C267-$C$2)/$C$2</f>
        <v>3.9820399155267118E-2</v>
      </c>
      <c r="F267" s="224">
        <v>5283.92</v>
      </c>
      <c r="G267" s="175">
        <f t="shared" si="576"/>
        <v>1.5201197899885209E-3</v>
      </c>
      <c r="H267" s="208">
        <f t="shared" ref="H267" si="611">(F267-F$2)/F$2</f>
        <v>3.7751635013846117E-2</v>
      </c>
      <c r="I267" s="226">
        <v>386953.84</v>
      </c>
      <c r="J267" s="177">
        <v>400000</v>
      </c>
      <c r="K267" s="177">
        <f t="shared" ref="K267" si="612">I267-I266-J267+J266</f>
        <v>4026.0400000000373</v>
      </c>
      <c r="L267" s="175">
        <f t="shared" si="588"/>
        <v>1.0513835767473757E-2</v>
      </c>
      <c r="M267" s="187">
        <f t="shared" ref="M267" si="613">I267-J267</f>
        <v>-13046.159999999974</v>
      </c>
      <c r="N267" s="189">
        <f t="shared" ref="N267" si="614">M267/J267</f>
        <v>-3.2615399999999933E-2</v>
      </c>
      <c r="O267" s="187" t="b">
        <f t="shared" ref="O267" si="615">L267&gt;D267</f>
        <v>1</v>
      </c>
      <c r="P267" s="189">
        <f>COUNTIF(O$2:O267, TRUE)/(COUNTIF(O$2:O267,FALSE) + COUNTIF(O$2:O267, TRUE))</f>
        <v>0.5</v>
      </c>
      <c r="Q267" s="177">
        <v>270597.37</v>
      </c>
      <c r="R267" s="177">
        <f t="shared" ref="R267" si="616">I267-Q267</f>
        <v>116356.47000000003</v>
      </c>
      <c r="S267" s="177">
        <v>-29682</v>
      </c>
      <c r="T267" s="177">
        <f t="shared" ref="T267" si="617">M267-S267</f>
        <v>16635.840000000026</v>
      </c>
      <c r="U267" s="189">
        <f>STDEV(D$2:D267)*SQRT(252)</f>
        <v>0.16642379270655777</v>
      </c>
      <c r="V267" s="189">
        <f>STDEV(L$2:L267)*SQRT(252)</f>
        <v>0.3610748681776339</v>
      </c>
      <c r="W267" s="187">
        <f t="shared" si="547"/>
        <v>-9.0328635068432694E-2</v>
      </c>
    </row>
    <row r="268" spans="2:23" ht="20.100000000000001" customHeight="1" x14ac:dyDescent="0.25">
      <c r="B268" s="176">
        <v>42621</v>
      </c>
      <c r="C268" s="220">
        <v>2181.3000000000002</v>
      </c>
      <c r="D268" s="175">
        <f t="shared" si="584"/>
        <v>-2.2230760786034294E-3</v>
      </c>
      <c r="E268" s="214">
        <f t="shared" ref="E268" si="618">(C268-$C$2)/$C$2</f>
        <v>3.7508799299861173E-2</v>
      </c>
      <c r="F268" s="224">
        <v>5259.48</v>
      </c>
      <c r="G268" s="175">
        <f t="shared" si="576"/>
        <v>-4.6253539039199133E-3</v>
      </c>
      <c r="H268" s="208">
        <f t="shared" ref="H268" si="619">(F268-F$2)/F$2</f>
        <v>3.2951666437535547E-2</v>
      </c>
      <c r="I268" s="226">
        <v>397118.13</v>
      </c>
      <c r="J268" s="177">
        <v>400000</v>
      </c>
      <c r="K268" s="177">
        <f t="shared" ref="K268" si="620">I268-I267-J268+J267</f>
        <v>10164.289999999979</v>
      </c>
      <c r="L268" s="175">
        <f t="shared" si="588"/>
        <v>2.6267448334405929E-2</v>
      </c>
      <c r="M268" s="187">
        <f t="shared" ref="M268" si="621">I268-J268</f>
        <v>-2881.8699999999953</v>
      </c>
      <c r="N268" s="189">
        <f t="shared" ref="N268" si="622">M268/J268</f>
        <v>-7.2046749999999885E-3</v>
      </c>
      <c r="O268" s="187" t="b">
        <f t="shared" ref="O268" si="623">L268&gt;D268</f>
        <v>1</v>
      </c>
      <c r="P268" s="189">
        <f>COUNTIF(O$2:O268, TRUE)/(COUNTIF(O$2:O268,FALSE) + COUNTIF(O$2:O268, TRUE))</f>
        <v>0.50187265917602997</v>
      </c>
      <c r="Q268" s="177">
        <v>251179.7</v>
      </c>
      <c r="R268" s="177">
        <f t="shared" ref="R268" si="624">I268-Q268</f>
        <v>145938.43</v>
      </c>
      <c r="S268" s="177">
        <v>-22549</v>
      </c>
      <c r="T268" s="177">
        <f t="shared" ref="T268" si="625">M268-S268</f>
        <v>19667.130000000005</v>
      </c>
      <c r="U268" s="189">
        <f>STDEV(D$2:D268)*SQRT(252)</f>
        <v>0.16612626124990684</v>
      </c>
      <c r="V268" s="189">
        <f>STDEV(L$2:L268)*SQRT(252)</f>
        <v>0.36126574974857484</v>
      </c>
      <c r="W268" s="187">
        <f t="shared" si="547"/>
        <v>-1.9942867556678505E-2</v>
      </c>
    </row>
    <row r="269" spans="2:23" ht="20.100000000000001" customHeight="1" x14ac:dyDescent="0.25">
      <c r="B269" s="176">
        <v>42622</v>
      </c>
      <c r="C269" s="220">
        <v>2127.81</v>
      </c>
      <c r="D269" s="175">
        <f t="shared" si="584"/>
        <v>-2.4522073992573341E-2</v>
      </c>
      <c r="E269" s="214">
        <f t="shared" ref="E269" si="626">(C269-$C$2)/$C$2</f>
        <v>1.2066931755484052E-2</v>
      </c>
      <c r="F269" s="224">
        <v>5125.8999999999996</v>
      </c>
      <c r="G269" s="175">
        <f t="shared" si="576"/>
        <v>-2.5397948086122571E-2</v>
      </c>
      <c r="H269" s="208">
        <f t="shared" ref="H269" si="627">(F269-F$2)/F$2</f>
        <v>6.7168136378812221E-3</v>
      </c>
      <c r="I269" s="226">
        <v>386211.32</v>
      </c>
      <c r="J269" s="177">
        <v>400000</v>
      </c>
      <c r="K269" s="177">
        <f t="shared" ref="K269" si="628">I269-I268-J269+J268</f>
        <v>-10906.809999999998</v>
      </c>
      <c r="L269" s="175">
        <f t="shared" si="588"/>
        <v>-2.746490068333067E-2</v>
      </c>
      <c r="M269" s="187">
        <f t="shared" ref="M269" si="629">I269-J269</f>
        <v>-13788.679999999993</v>
      </c>
      <c r="N269" s="189">
        <f t="shared" ref="N269" si="630">M269/J269</f>
        <v>-3.447169999999998E-2</v>
      </c>
      <c r="O269" s="187" t="b">
        <f t="shared" ref="O269" si="631">L269&gt;D269</f>
        <v>0</v>
      </c>
      <c r="P269" s="189">
        <f>COUNTIF(O$2:O269, TRUE)/(COUNTIF(O$2:O269,FALSE) + COUNTIF(O$2:O269, TRUE))</f>
        <v>0.5</v>
      </c>
      <c r="Q269" s="177">
        <v>276342.96000000002</v>
      </c>
      <c r="R269" s="177">
        <f t="shared" ref="R269" si="632">I269-Q269</f>
        <v>109868.35999999999</v>
      </c>
      <c r="S269" s="177">
        <v>-29111</v>
      </c>
      <c r="T269" s="177">
        <f t="shared" ref="T269" si="633">M269-S269</f>
        <v>15322.320000000007</v>
      </c>
      <c r="U269" s="189">
        <f>STDEV(D$2:D269)*SQRT(252)</f>
        <v>0.1675431453543596</v>
      </c>
      <c r="V269" s="189">
        <f>STDEV(L$2:L269)*SQRT(252)</f>
        <v>0.36161388324136196</v>
      </c>
      <c r="W269" s="187">
        <f t="shared" si="547"/>
        <v>-9.5327368769720547E-2</v>
      </c>
    </row>
    <row r="270" spans="2:23" ht="20.100000000000001" customHeight="1" x14ac:dyDescent="0.25">
      <c r="B270" s="249">
        <v>42625</v>
      </c>
      <c r="C270" s="250">
        <v>2159.04</v>
      </c>
      <c r="D270" s="175">
        <f t="shared" si="584"/>
        <v>1.4677062331693158E-2</v>
      </c>
      <c r="E270" s="251">
        <f t="shared" ref="E270" si="634">(C270-$C$2)/$C$2</f>
        <v>2.6921101196704739E-2</v>
      </c>
      <c r="F270" s="252">
        <v>5211.88</v>
      </c>
      <c r="G270" s="175">
        <f t="shared" si="576"/>
        <v>1.6773639751068197E-2</v>
      </c>
      <c r="H270" s="253">
        <f t="shared" ref="H270" si="635">(F270-F$2)/F$2</f>
        <v>2.3603118801186301E-2</v>
      </c>
      <c r="I270" s="254">
        <v>387052.15</v>
      </c>
      <c r="J270" s="255">
        <v>400000</v>
      </c>
      <c r="K270" s="255">
        <f t="shared" ref="K270" si="636">I270-I269-J270+J269</f>
        <v>840.8300000000163</v>
      </c>
      <c r="L270" s="175">
        <f t="shared" ref="L270:L285" si="637">K270/I269</f>
        <v>2.1771241712956945E-3</v>
      </c>
      <c r="M270" s="256">
        <f t="shared" ref="M270" si="638">I270-J270</f>
        <v>-12947.849999999977</v>
      </c>
      <c r="N270" s="257">
        <f t="shared" ref="N270" si="639">M270/J270</f>
        <v>-3.2369624999999944E-2</v>
      </c>
      <c r="O270" s="256" t="b">
        <f t="shared" ref="O270" si="640">L270&gt;D270</f>
        <v>0</v>
      </c>
      <c r="P270" s="257">
        <f>COUNTIF(O$2:O270, TRUE)/(COUNTIF(O$2:O270,FALSE) + COUNTIF(O$2:O270, TRUE))</f>
        <v>0.49814126394052044</v>
      </c>
      <c r="Q270" s="255">
        <v>279690.06</v>
      </c>
      <c r="R270" s="255">
        <f t="shared" ref="R270" si="641">I270-Q270</f>
        <v>107362.09000000003</v>
      </c>
      <c r="S270" s="255">
        <v>-29688</v>
      </c>
      <c r="T270" s="255">
        <f t="shared" ref="T270" si="642">M270-S270</f>
        <v>16740.150000000023</v>
      </c>
      <c r="U270" s="257">
        <f>STDEV(D$2:D270)*SQRT(252)</f>
        <v>0.16782539199806834</v>
      </c>
      <c r="V270" s="257">
        <f>STDEV(L$2:L270)*SQRT(252)</f>
        <v>0.36093984423813291</v>
      </c>
      <c r="W270" s="256">
        <f t="shared" si="547"/>
        <v>-8.9681495453419177E-2</v>
      </c>
    </row>
    <row r="271" spans="2:23" ht="20.100000000000001" customHeight="1" x14ac:dyDescent="0.25">
      <c r="B271" s="249">
        <v>42626</v>
      </c>
      <c r="C271" s="250">
        <v>2127.02</v>
      </c>
      <c r="D271" s="175">
        <f t="shared" ref="D271" si="643">(C271-C270)/C270</f>
        <v>-1.483066548095449E-2</v>
      </c>
      <c r="E271" s="251">
        <f t="shared" ref="E271" si="644">(C271-$C$2)/$C$2</f>
        <v>1.1691177869522996E-2</v>
      </c>
      <c r="F271" s="252">
        <v>5155.25</v>
      </c>
      <c r="G271" s="175">
        <f t="shared" ref="G271" si="645">(F271-F270)/F270</f>
        <v>-1.0865560987589911E-2</v>
      </c>
      <c r="H271" s="253">
        <f t="shared" ref="H271" si="646">(F271-F$2)/F$2</f>
        <v>1.2481096686764771E-2</v>
      </c>
      <c r="I271" s="254">
        <v>374259.41</v>
      </c>
      <c r="J271" s="255">
        <v>400000</v>
      </c>
      <c r="K271" s="255">
        <f t="shared" ref="K271" si="647">I271-I270-J271+J270</f>
        <v>-12792.740000000049</v>
      </c>
      <c r="L271" s="175">
        <f t="shared" si="637"/>
        <v>-3.3051721841617594E-2</v>
      </c>
      <c r="M271" s="256">
        <f t="shared" ref="M271" si="648">I271-J271</f>
        <v>-25740.590000000026</v>
      </c>
      <c r="N271" s="257">
        <f t="shared" ref="N271" si="649">M271/J271</f>
        <v>-6.4351475000000061E-2</v>
      </c>
      <c r="O271" s="256" t="b">
        <f t="shared" ref="O271" si="650">L271&gt;D271</f>
        <v>0</v>
      </c>
      <c r="P271" s="257">
        <f>COUNTIF(O$2:O271, TRUE)/(COUNTIF(O$2:O271,FALSE) + COUNTIF(O$2:O271, TRUE))</f>
        <v>0.49629629629629629</v>
      </c>
      <c r="Q271" s="255">
        <v>294807.52</v>
      </c>
      <c r="R271" s="255">
        <f t="shared" ref="R271" si="651">I271-Q271</f>
        <v>79451.889999999956</v>
      </c>
      <c r="S271" s="255">
        <v>-40449</v>
      </c>
      <c r="T271" s="255">
        <f t="shared" ref="T271" si="652">M271-S271</f>
        <v>14708.409999999974</v>
      </c>
      <c r="U271" s="257">
        <f>STDEV(D$2:D271)*SQRT(252)</f>
        <v>0.16813876158922561</v>
      </c>
      <c r="V271" s="257">
        <f>STDEV(L$2:L271)*SQRT(252)</f>
        <v>0.36172480886226521</v>
      </c>
      <c r="W271" s="256">
        <f t="shared" si="547"/>
        <v>-0.17790174581169885</v>
      </c>
    </row>
    <row r="272" spans="2:23" ht="20.100000000000001" customHeight="1" x14ac:dyDescent="0.25">
      <c r="B272" s="249">
        <v>42627</v>
      </c>
      <c r="C272" s="250">
        <v>2125.77</v>
      </c>
      <c r="D272" s="175">
        <f t="shared" ref="D272" si="653">(C272-C271)/C271</f>
        <v>-5.8767665560267412E-4</v>
      </c>
      <c r="E272" s="251">
        <f t="shared" ref="E272" si="654">(C272-$C$2)/$C$2</f>
        <v>1.1096630581609904E-2</v>
      </c>
      <c r="F272" s="252">
        <v>5173.7700000000004</v>
      </c>
      <c r="G272" s="175">
        <f t="shared" ref="G272" si="655">(F272-F271)/F271</f>
        <v>3.5924542941662258E-3</v>
      </c>
      <c r="H272" s="253">
        <f t="shared" ref="H272" si="656">(F272-F$2)/F$2</f>
        <v>1.6118388750319269E-2</v>
      </c>
      <c r="I272" s="254">
        <v>370693.02</v>
      </c>
      <c r="J272" s="255">
        <v>400000</v>
      </c>
      <c r="K272" s="255">
        <f t="shared" ref="K272" si="657">I272-I271-J272+J271</f>
        <v>-3566.3899999999558</v>
      </c>
      <c r="L272" s="175">
        <f t="shared" si="637"/>
        <v>-9.5291925993255741E-3</v>
      </c>
      <c r="M272" s="256">
        <f t="shared" ref="M272" si="658">I272-J272</f>
        <v>-29306.979999999981</v>
      </c>
      <c r="N272" s="257">
        <f t="shared" ref="N272" si="659">M272/J272</f>
        <v>-7.3267449999999956E-2</v>
      </c>
      <c r="O272" s="256" t="b">
        <f t="shared" ref="O272" si="660">L272&gt;D272</f>
        <v>0</v>
      </c>
      <c r="P272" s="257">
        <f>COUNTIF(O$2:O272, TRUE)/(COUNTIF(O$2:O272,FALSE) + COUNTIF(O$2:O272, TRUE))</f>
        <v>0.49446494464944651</v>
      </c>
      <c r="Q272" s="255">
        <v>304166.43</v>
      </c>
      <c r="R272" s="255">
        <f t="shared" ref="R272" si="661">I272-Q272</f>
        <v>66526.590000000026</v>
      </c>
      <c r="S272" s="255">
        <v>-43966</v>
      </c>
      <c r="T272" s="255">
        <f t="shared" ref="T272" si="662">M272-S272</f>
        <v>14659.020000000019</v>
      </c>
      <c r="U272" s="257">
        <f>STDEV(D$2:D272)*SQRT(252)</f>
        <v>0.16782725694658282</v>
      </c>
      <c r="V272" s="257">
        <f>STDEV(L$2:L272)*SQRT(252)</f>
        <v>0.36117811757925894</v>
      </c>
      <c r="W272" s="256">
        <f t="shared" si="547"/>
        <v>-0.20285683554436748</v>
      </c>
    </row>
    <row r="273" spans="2:23" ht="20.100000000000001" customHeight="1" x14ac:dyDescent="0.25">
      <c r="B273" s="249">
        <v>42628</v>
      </c>
      <c r="C273" s="250">
        <v>2147.2600000000002</v>
      </c>
      <c r="D273" s="175">
        <f t="shared" ref="D273" si="663">(C273-C272)/C272</f>
        <v>1.0109278049836171E-2</v>
      </c>
      <c r="E273" s="251">
        <f t="shared" ref="E273" si="664">(C273-$C$2)/$C$2</f>
        <v>2.1318087555411886E-2</v>
      </c>
      <c r="F273" s="252">
        <v>5249.68</v>
      </c>
      <c r="G273" s="175">
        <f t="shared" ref="G273" si="665">(F273-F272)/F272</f>
        <v>1.4672086312302218E-2</v>
      </c>
      <c r="H273" s="253">
        <f t="shared" ref="H273" si="666">(F273-F$2)/F$2</f>
        <v>3.1026965453581412E-2</v>
      </c>
      <c r="I273" s="254">
        <v>375852.08</v>
      </c>
      <c r="J273" s="255">
        <v>400000</v>
      </c>
      <c r="K273" s="255">
        <f t="shared" ref="K273" si="667">I273-I272-J273+J272</f>
        <v>5159.0599999999977</v>
      </c>
      <c r="L273" s="175">
        <f t="shared" si="637"/>
        <v>1.3917337855457859E-2</v>
      </c>
      <c r="M273" s="256">
        <f t="shared" ref="M273" si="668">I273-J273</f>
        <v>-24147.919999999984</v>
      </c>
      <c r="N273" s="257">
        <f t="shared" ref="N273" si="669">M273/J273</f>
        <v>-6.036979999999996E-2</v>
      </c>
      <c r="O273" s="256" t="b">
        <f t="shared" ref="O273" si="670">L273&gt;D273</f>
        <v>1</v>
      </c>
      <c r="P273" s="257">
        <f>COUNTIF(O$2:O273, TRUE)/(COUNTIF(O$2:O273,FALSE) + COUNTIF(O$2:O273, TRUE))</f>
        <v>0.49632352941176472</v>
      </c>
      <c r="Q273" s="255">
        <v>309277.58</v>
      </c>
      <c r="R273" s="255">
        <f t="shared" ref="R273" si="671">I273-Q273</f>
        <v>66574.5</v>
      </c>
      <c r="S273" s="255">
        <v>-40569</v>
      </c>
      <c r="T273" s="255">
        <f t="shared" ref="T273" si="672">M273-S273</f>
        <v>16421.080000000016</v>
      </c>
      <c r="U273" s="257">
        <f>STDEV(D$2:D273)*SQRT(252)</f>
        <v>0.16779419960031708</v>
      </c>
      <c r="V273" s="257">
        <f>STDEV(L$2:L273)*SQRT(252)</f>
        <v>0.36074703023734866</v>
      </c>
      <c r="W273" s="256">
        <f t="shared" si="547"/>
        <v>-0.16734663057456206</v>
      </c>
    </row>
    <row r="274" spans="2:23" ht="20.100000000000001" customHeight="1" x14ac:dyDescent="0.25">
      <c r="B274" s="249">
        <v>42629</v>
      </c>
      <c r="C274" s="250">
        <v>2139.16</v>
      </c>
      <c r="D274" s="175">
        <f t="shared" ref="D274:D275" si="673">(C274-C273)/C273</f>
        <v>-3.7722492851356439E-3</v>
      </c>
      <c r="E274" s="251">
        <f t="shared" ref="E274" si="674">(C274-$C$2)/$C$2</f>
        <v>1.7465421129734877E-2</v>
      </c>
      <c r="F274" s="252">
        <v>5244.56</v>
      </c>
      <c r="G274" s="175">
        <f t="shared" ref="G274:G275" si="675">(F274-F273)/F273</f>
        <v>-9.7529754194539294E-4</v>
      </c>
      <c r="H274" s="253">
        <f t="shared" ref="H274" si="676">(F274-F$2)/F$2</f>
        <v>3.0021407388495118E-2</v>
      </c>
      <c r="I274" s="254">
        <v>375872.83</v>
      </c>
      <c r="J274" s="255">
        <v>400000</v>
      </c>
      <c r="K274" s="255">
        <f t="shared" ref="K274" si="677">I274-I273-J274+J273</f>
        <v>20.75</v>
      </c>
      <c r="L274" s="175">
        <f t="shared" si="637"/>
        <v>5.5207889231316743E-5</v>
      </c>
      <c r="M274" s="256">
        <f t="shared" ref="M274:M279" si="678">I274-J274</f>
        <v>-24127.169999999984</v>
      </c>
      <c r="N274" s="257">
        <f t="shared" ref="N274" si="679">M274/J274</f>
        <v>-6.031792499999996E-2</v>
      </c>
      <c r="O274" s="256" t="b">
        <f t="shared" ref="O274" si="680">L274&gt;D274</f>
        <v>1</v>
      </c>
      <c r="P274" s="257">
        <f>COUNTIF(O$2:O274, TRUE)/(COUNTIF(O$2:O274,FALSE) + COUNTIF(O$2:O274, TRUE))</f>
        <v>0.49816849816849818</v>
      </c>
      <c r="Q274" s="255">
        <v>307021.42</v>
      </c>
      <c r="R274" s="255">
        <f t="shared" ref="R274" si="681">I274-Q274</f>
        <v>68851.410000000033</v>
      </c>
      <c r="S274" s="255">
        <v>-40175</v>
      </c>
      <c r="T274" s="255">
        <f t="shared" ref="T274" si="682">M274-S274</f>
        <v>16047.830000000016</v>
      </c>
      <c r="U274" s="257">
        <f>STDEV(D$2:D274)*SQRT(252)</f>
        <v>0.16752651970065091</v>
      </c>
      <c r="V274" s="257">
        <f>STDEV(L$2:L274)*SQRT(252)</f>
        <v>0.36008095750354496</v>
      </c>
      <c r="W274" s="256">
        <f t="shared" si="547"/>
        <v>-0.16751212121348055</v>
      </c>
    </row>
    <row r="275" spans="2:23" ht="20.100000000000001" customHeight="1" x14ac:dyDescent="0.25">
      <c r="B275" s="176">
        <v>42632</v>
      </c>
      <c r="C275" s="220">
        <v>2139.12</v>
      </c>
      <c r="D275" s="175">
        <f t="shared" si="673"/>
        <v>-1.8698928551377E-5</v>
      </c>
      <c r="E275" s="214">
        <f t="shared" ref="E275" si="683">(C275-$C$2)/$C$2</f>
        <v>1.7446395616521677E-2</v>
      </c>
      <c r="F275" s="224">
        <v>5235.0200000000004</v>
      </c>
      <c r="G275" s="175">
        <f t="shared" si="675"/>
        <v>-1.8190277163384464E-3</v>
      </c>
      <c r="H275" s="208">
        <f t="shared" ref="H275" si="684">(F275-F$2)/F$2</f>
        <v>2.8147769900033509E-2</v>
      </c>
      <c r="I275" s="226">
        <v>373123.48</v>
      </c>
      <c r="J275" s="177">
        <v>400000</v>
      </c>
      <c r="K275" s="177">
        <f t="shared" ref="K275" si="685">I275-I274-J275+J274</f>
        <v>-2749.3500000000349</v>
      </c>
      <c r="L275" s="175">
        <f t="shared" si="637"/>
        <v>-7.3145749853747999E-3</v>
      </c>
      <c r="M275" s="187">
        <f t="shared" si="678"/>
        <v>-26876.520000000019</v>
      </c>
      <c r="N275" s="189">
        <f t="shared" ref="N275" si="686">M275/J275</f>
        <v>-6.7191300000000051E-2</v>
      </c>
      <c r="O275" s="187" t="b">
        <f t="shared" ref="O275" si="687">L275&gt;D275</f>
        <v>0</v>
      </c>
      <c r="P275" s="189">
        <f>COUNTIF(O$2:O275, TRUE)/(COUNTIF(O$2:O275,FALSE) + COUNTIF(O$2:O275, TRUE))</f>
        <v>0.49635036496350365</v>
      </c>
      <c r="Q275" s="177">
        <v>307089.07</v>
      </c>
      <c r="R275" s="177">
        <f t="shared" ref="R275" si="688">I275-Q275</f>
        <v>66034.409999999974</v>
      </c>
      <c r="S275" s="177">
        <v>-41834</v>
      </c>
      <c r="T275" s="177">
        <f t="shared" ref="T275" si="689">M275-S275</f>
        <v>14957.479999999981</v>
      </c>
      <c r="U275" s="189">
        <f>STDEV(D$2:D275)*SQRT(252)</f>
        <v>0.16721833549598966</v>
      </c>
      <c r="V275" s="189">
        <f>STDEV(L$2:L275)*SQRT(252)</f>
        <v>0.35949423119806312</v>
      </c>
      <c r="W275" s="187">
        <f t="shared" si="547"/>
        <v>-0.18690508544761888</v>
      </c>
    </row>
    <row r="276" spans="2:23" ht="20.100000000000001" customHeight="1" x14ac:dyDescent="0.25">
      <c r="B276" s="176">
        <v>42633</v>
      </c>
      <c r="C276" s="220">
        <v>2139.7600000000002</v>
      </c>
      <c r="D276" s="175">
        <f t="shared" ref="D276" si="690">(C276-C275)/C275</f>
        <v>2.991884513259319E-4</v>
      </c>
      <c r="E276" s="214">
        <f t="shared" ref="E276" si="691">(C276-$C$2)/$C$2</f>
        <v>1.7750803827933335E-2</v>
      </c>
      <c r="F276" s="224">
        <v>5241.3500000000004</v>
      </c>
      <c r="G276" s="175">
        <f t="shared" ref="G276:G280" si="692">(F276-F275)/F275</f>
        <v>1.2091644349018584E-3</v>
      </c>
      <c r="H276" s="208">
        <f t="shared" ref="H276" si="693">(F276-F$2)/F$2</f>
        <v>2.9390969617220292E-2</v>
      </c>
      <c r="I276" s="226">
        <v>372718.71</v>
      </c>
      <c r="J276" s="177">
        <v>400000</v>
      </c>
      <c r="K276" s="177">
        <f t="shared" ref="K276" si="694">I276-I275-J276+J275</f>
        <v>-404.76999999996042</v>
      </c>
      <c r="L276" s="175">
        <f t="shared" si="637"/>
        <v>-1.0848151394813332E-3</v>
      </c>
      <c r="M276" s="187">
        <f t="shared" si="678"/>
        <v>-27281.289999999979</v>
      </c>
      <c r="N276" s="189">
        <f t="shared" ref="N276" si="695">M276/J276</f>
        <v>-6.8203224999999951E-2</v>
      </c>
      <c r="O276" s="187" t="b">
        <f t="shared" ref="O276" si="696">L276&gt;D276</f>
        <v>0</v>
      </c>
      <c r="P276" s="189">
        <f>COUNTIF(O$2:O276, TRUE)/(COUNTIF(O$2:O276,FALSE) + COUNTIF(O$2:O276, TRUE))</f>
        <v>0.49454545454545457</v>
      </c>
      <c r="Q276" s="177">
        <v>311226.5</v>
      </c>
      <c r="R276" s="177">
        <f t="shared" ref="R276" si="697">I276-Q276</f>
        <v>61492.210000000021</v>
      </c>
      <c r="S276" s="177">
        <v>-42647</v>
      </c>
      <c r="T276" s="177">
        <f t="shared" ref="T276" si="698">M276-S276</f>
        <v>15365.710000000021</v>
      </c>
      <c r="U276" s="189">
        <f>STDEV(D$2:D276)*SQRT(252)</f>
        <v>0.16691188354135808</v>
      </c>
      <c r="V276" s="189">
        <f>STDEV(L$2:L276)*SQRT(252)</f>
        <v>0.35883781630276246</v>
      </c>
      <c r="W276" s="187">
        <f t="shared" si="547"/>
        <v>-0.19006699378210126</v>
      </c>
    </row>
    <row r="277" spans="2:23" ht="20.100000000000001" customHeight="1" x14ac:dyDescent="0.25">
      <c r="B277" s="176">
        <v>42634</v>
      </c>
      <c r="C277" s="220">
        <v>2163.12</v>
      </c>
      <c r="D277" s="175">
        <f t="shared" ref="D277:D280" si="699">(C277-C276)/C276</f>
        <v>1.0917112199498855E-2</v>
      </c>
      <c r="E277" s="214">
        <f t="shared" ref="E277:E278" si="700">(C277-$C$2)/$C$2</f>
        <v>2.8861703544453034E-2</v>
      </c>
      <c r="F277" s="224">
        <v>5295.18</v>
      </c>
      <c r="G277" s="175">
        <f t="shared" si="692"/>
        <v>1.0270254800766963E-2</v>
      </c>
      <c r="H277" s="208">
        <f t="shared" ref="H277:H278" si="701">(F277-F$2)/F$2</f>
        <v>3.9963077164797703E-2</v>
      </c>
      <c r="I277" s="226">
        <v>382463.62</v>
      </c>
      <c r="J277" s="177">
        <v>400000</v>
      </c>
      <c r="K277" s="177">
        <f t="shared" ref="K277" si="702">I277-I276-J277+J276</f>
        <v>9744.9099999999744</v>
      </c>
      <c r="L277" s="175">
        <f t="shared" si="637"/>
        <v>2.6145481132406726E-2</v>
      </c>
      <c r="M277" s="187">
        <f t="shared" si="678"/>
        <v>-17536.380000000005</v>
      </c>
      <c r="N277" s="189">
        <f t="shared" ref="N277" si="703">M277/J277</f>
        <v>-4.384095000000001E-2</v>
      </c>
      <c r="O277" s="187" t="b">
        <f t="shared" ref="O277" si="704">L277&gt;D277</f>
        <v>1</v>
      </c>
      <c r="P277" s="189">
        <f>COUNTIF(O$2:O277, TRUE)/(COUNTIF(O$2:O277,FALSE) + COUNTIF(O$2:O277, TRUE))</f>
        <v>0.49637681159420288</v>
      </c>
      <c r="Q277" s="177">
        <v>306380.55</v>
      </c>
      <c r="R277" s="177">
        <f t="shared" ref="R277" si="705">I277-Q277</f>
        <v>76083.070000000007</v>
      </c>
      <c r="S277" s="177">
        <v>-34503</v>
      </c>
      <c r="T277" s="177">
        <f t="shared" ref="T277" si="706">M277-S277</f>
        <v>16966.619999999995</v>
      </c>
      <c r="U277" s="189">
        <f>STDEV(D$2:D277)*SQRT(252)</f>
        <v>0.16692734623146724</v>
      </c>
      <c r="V277" s="189">
        <f>STDEV(L$2:L277)*SQRT(252)</f>
        <v>0.35903354110809649</v>
      </c>
      <c r="W277" s="187">
        <f t="shared" si="547"/>
        <v>-0.1221082294002179</v>
      </c>
    </row>
    <row r="278" spans="2:23" ht="20.100000000000001" customHeight="1" x14ac:dyDescent="0.25">
      <c r="B278" s="176">
        <v>42635</v>
      </c>
      <c r="C278" s="220">
        <v>2177.1799999999998</v>
      </c>
      <c r="D278" s="175">
        <f t="shared" si="699"/>
        <v>6.4998705573430723E-3</v>
      </c>
      <c r="E278" s="214">
        <f t="shared" si="700"/>
        <v>3.5549171438899463E-2</v>
      </c>
      <c r="F278" s="224">
        <v>5339.52</v>
      </c>
      <c r="G278" s="175">
        <f t="shared" si="692"/>
        <v>8.373653020293954E-3</v>
      </c>
      <c r="H278" s="208">
        <f t="shared" si="701"/>
        <v>4.8671367126892913E-2</v>
      </c>
      <c r="I278" s="226">
        <v>385198.84</v>
      </c>
      <c r="J278" s="177">
        <v>400000</v>
      </c>
      <c r="K278" s="177">
        <f t="shared" ref="K278" si="707">I278-I277-J278+J277</f>
        <v>2735.2200000000303</v>
      </c>
      <c r="L278" s="175">
        <f t="shared" si="637"/>
        <v>7.1515821557094246E-3</v>
      </c>
      <c r="M278" s="187">
        <f t="shared" si="678"/>
        <v>-14801.159999999974</v>
      </c>
      <c r="N278" s="189">
        <f t="shared" ref="N278" si="708">M278/J278</f>
        <v>-3.7002899999999936E-2</v>
      </c>
      <c r="O278" s="187" t="b">
        <f t="shared" ref="O278" si="709">L278&gt;D278</f>
        <v>1</v>
      </c>
      <c r="P278" s="189">
        <f>COUNTIF(O$2:O278, TRUE)/(COUNTIF(O$2:O278,FALSE) + COUNTIF(O$2:O278, TRUE))</f>
        <v>0.49819494584837543</v>
      </c>
      <c r="Q278" s="177">
        <v>301575.81</v>
      </c>
      <c r="R278" s="177">
        <f t="shared" ref="R278" si="710">I278-Q278</f>
        <v>83623.030000000028</v>
      </c>
      <c r="S278" s="177">
        <v>-32239</v>
      </c>
      <c r="T278" s="177">
        <f t="shared" ref="T278" si="711">M278-S278</f>
        <v>17437.840000000026</v>
      </c>
      <c r="U278" s="189">
        <f>STDEV(D$2:D278)*SQRT(252)</f>
        <v>0.16673370046778063</v>
      </c>
      <c r="V278" s="189">
        <f>STDEV(L$2:L278)*SQRT(252)</f>
        <v>0.35843771988043882</v>
      </c>
      <c r="W278" s="187">
        <f t="shared" si="547"/>
        <v>-0.10323383379501101</v>
      </c>
    </row>
    <row r="279" spans="2:23" ht="20.100000000000001" customHeight="1" x14ac:dyDescent="0.25">
      <c r="B279" s="176">
        <v>42636</v>
      </c>
      <c r="C279" s="220">
        <v>2164.69</v>
      </c>
      <c r="D279" s="175">
        <f t="shared" si="699"/>
        <v>-5.7367787688660478E-3</v>
      </c>
      <c r="E279" s="214">
        <f t="shared" ref="E279" si="712">(C279-$C$2)/$C$2</f>
        <v>2.9608454938071953E-2</v>
      </c>
      <c r="F279" s="224">
        <v>5305.74</v>
      </c>
      <c r="G279" s="175">
        <f t="shared" si="692"/>
        <v>-6.3264113628192517E-3</v>
      </c>
      <c r="H279" s="208">
        <f t="shared" ref="H279" si="713">(F279-F$2)/F$2</f>
        <v>4.2037040674038136E-2</v>
      </c>
      <c r="I279" s="226">
        <v>381118.05</v>
      </c>
      <c r="J279" s="177">
        <v>400000</v>
      </c>
      <c r="K279" s="177">
        <f t="shared" ref="K279" si="714">I279-I278-J279+J278</f>
        <v>-4080.7900000000373</v>
      </c>
      <c r="L279" s="175">
        <f t="shared" si="637"/>
        <v>-1.0593983097145456E-2</v>
      </c>
      <c r="M279" s="187">
        <f t="shared" si="678"/>
        <v>-18881.950000000012</v>
      </c>
      <c r="N279" s="189">
        <f t="shared" ref="N279" si="715">M279/J279</f>
        <v>-4.7204875000000028E-2</v>
      </c>
      <c r="O279" s="187" t="b">
        <f t="shared" ref="O279" si="716">L279&gt;D279</f>
        <v>0</v>
      </c>
      <c r="P279" s="189">
        <f>COUNTIF(O$2:O279, TRUE)/(COUNTIF(O$2:O279,FALSE) + COUNTIF(O$2:O279, TRUE))</f>
        <v>0.49640287769784175</v>
      </c>
      <c r="Q279" s="177">
        <v>300371.02</v>
      </c>
      <c r="R279" s="177">
        <f t="shared" ref="R279" si="717">I279-Q279</f>
        <v>80747.02999999997</v>
      </c>
      <c r="S279" s="177">
        <v>-36012</v>
      </c>
      <c r="T279" s="177">
        <f t="shared" ref="T279" si="718">M279-S279</f>
        <v>17130.049999999988</v>
      </c>
      <c r="U279" s="189">
        <f>STDEV(D$2:D279)*SQRT(252)</f>
        <v>0.16652707926624533</v>
      </c>
      <c r="V279" s="189">
        <f>STDEV(L$2:L279)*SQRT(252)</f>
        <v>0.35794291849606197</v>
      </c>
      <c r="W279" s="187">
        <f t="shared" si="547"/>
        <v>-0.13187822013168105</v>
      </c>
    </row>
    <row r="280" spans="2:23" ht="20.100000000000001" customHeight="1" x14ac:dyDescent="0.25">
      <c r="B280" s="249">
        <v>42639</v>
      </c>
      <c r="C280" s="340">
        <v>2146.1</v>
      </c>
      <c r="D280" s="175">
        <f t="shared" si="699"/>
        <v>-8.5878347477006609E-3</v>
      </c>
      <c r="E280" s="251">
        <f t="shared" ref="E280" si="719">(C280-$C$2)/$C$2</f>
        <v>2.0766347672228389E-2</v>
      </c>
      <c r="F280" s="252">
        <v>5257.49</v>
      </c>
      <c r="G280" s="175">
        <f t="shared" si="692"/>
        <v>-9.093924692879788E-3</v>
      </c>
      <c r="H280" s="253">
        <f t="shared" ref="H280" si="720">(F280-F$2)/F$2</f>
        <v>3.256083429895712E-2</v>
      </c>
      <c r="I280" s="254">
        <v>378419.42</v>
      </c>
      <c r="J280" s="255">
        <v>400000</v>
      </c>
      <c r="K280" s="255">
        <f t="shared" ref="K280" si="721">I280-I279-J280+J279</f>
        <v>-2698.6300000000047</v>
      </c>
      <c r="L280" s="175">
        <f t="shared" si="637"/>
        <v>-7.0808244322198982E-3</v>
      </c>
      <c r="M280" s="256">
        <f t="shared" ref="M280" si="722">I280-J280</f>
        <v>-21580.580000000016</v>
      </c>
      <c r="N280" s="257">
        <f t="shared" ref="N280" si="723">M280/J280</f>
        <v>-5.395145000000004E-2</v>
      </c>
      <c r="O280" s="256" t="b">
        <f t="shared" ref="O280" si="724">L280&gt;D280</f>
        <v>1</v>
      </c>
      <c r="P280" s="257">
        <f>COUNTIF(O$2:O280, TRUE)/(COUNTIF(O$2:O280,FALSE) + COUNTIF(O$2:O280, TRUE))</f>
        <v>0.49820788530465948</v>
      </c>
      <c r="Q280" s="255">
        <v>310812.53000000003</v>
      </c>
      <c r="R280" s="255">
        <f t="shared" ref="R280" si="725">I280-Q280</f>
        <v>67606.889999999956</v>
      </c>
      <c r="S280" s="255">
        <v>-37706</v>
      </c>
      <c r="T280" s="255">
        <f t="shared" ref="T280" si="726">M280-S280</f>
        <v>16125.419999999984</v>
      </c>
      <c r="U280" s="257">
        <f>STDEV(D$2:D280)*SQRT(252)</f>
        <v>0.1664347537339865</v>
      </c>
      <c r="V280" s="257">
        <f>STDEV(L$2:L280)*SQRT(252)</f>
        <v>0.35736746994840918</v>
      </c>
      <c r="W280" s="256">
        <f t="shared" ref="W280" si="727">N280/V280</f>
        <v>-0.15096911313105432</v>
      </c>
    </row>
    <row r="281" spans="2:23" ht="20.100000000000001" customHeight="1" x14ac:dyDescent="0.25">
      <c r="B281" s="249">
        <v>42640</v>
      </c>
      <c r="C281" s="340">
        <v>2159.9299999999998</v>
      </c>
      <c r="D281" s="175">
        <f t="shared" ref="D281:D282" si="728">(C281-C280)/C280</f>
        <v>6.4442477051395216E-3</v>
      </c>
      <c r="E281" s="251">
        <f t="shared" ref="E281:E282" si="729">(C281-$C$2)/$C$2</f>
        <v>2.7344418865698796E-2</v>
      </c>
      <c r="F281" s="252">
        <v>5305.71</v>
      </c>
      <c r="G281" s="175">
        <f t="shared" ref="G281:G285" si="730">(F281-F280)/F280</f>
        <v>9.1716769789386681E-3</v>
      </c>
      <c r="H281" s="253">
        <f t="shared" ref="H281:H282" si="731">(F281-F$2)/F$2</f>
        <v>4.203114873225057E-2</v>
      </c>
      <c r="I281" s="254">
        <v>375834.82</v>
      </c>
      <c r="J281" s="255">
        <v>400000</v>
      </c>
      <c r="K281" s="255">
        <f t="shared" ref="K281" si="732">I281-I280-J281+J280</f>
        <v>-2584.5999999999767</v>
      </c>
      <c r="L281" s="175">
        <f t="shared" si="637"/>
        <v>-6.8299877421723679E-3</v>
      </c>
      <c r="M281" s="256">
        <f t="shared" ref="M281" si="733">I281-J281</f>
        <v>-24165.179999999993</v>
      </c>
      <c r="N281" s="257">
        <f t="shared" ref="N281" si="734">M281/J281</f>
        <v>-6.0412949999999979E-2</v>
      </c>
      <c r="O281" s="256" t="b">
        <f t="shared" ref="O281" si="735">L281&gt;D281</f>
        <v>0</v>
      </c>
      <c r="P281" s="257">
        <f>COUNTIF(O$2:O281, TRUE)/(COUNTIF(O$2:O281,FALSE) + COUNTIF(O$2:O281, TRUE))</f>
        <v>0.49642857142857144</v>
      </c>
      <c r="Q281" s="255">
        <v>313206.95</v>
      </c>
      <c r="R281" s="255">
        <f t="shared" ref="R281" si="736">I281-Q281</f>
        <v>62627.869999999995</v>
      </c>
      <c r="S281" s="255">
        <v>-41827</v>
      </c>
      <c r="T281" s="255">
        <f t="shared" ref="T281" si="737">M281-S281</f>
        <v>17661.820000000007</v>
      </c>
      <c r="U281" s="257">
        <f>STDEV(D$2:D281)*SQRT(252)</f>
        <v>0.16624352629269787</v>
      </c>
      <c r="V281" s="257">
        <f>STDEV(L$2:L281)*SQRT(252)</f>
        <v>0.35679007137958157</v>
      </c>
      <c r="W281" s="256">
        <f t="shared" ref="W281" si="738">N281/V281</f>
        <v>-0.16932351779410335</v>
      </c>
    </row>
    <row r="282" spans="2:23" ht="20.100000000000001" customHeight="1" x14ac:dyDescent="0.25">
      <c r="B282" s="249">
        <v>42641</v>
      </c>
      <c r="C282" s="250">
        <v>2171.37</v>
      </c>
      <c r="D282" s="175">
        <f t="shared" si="728"/>
        <v>5.2964679410907088E-3</v>
      </c>
      <c r="E282" s="251">
        <f t="shared" si="729"/>
        <v>3.2785715644679435E-2</v>
      </c>
      <c r="F282" s="252">
        <v>5318.54</v>
      </c>
      <c r="G282" s="175">
        <f t="shared" si="730"/>
        <v>2.4181495030825145E-3</v>
      </c>
      <c r="H282" s="253">
        <f t="shared" si="731"/>
        <v>4.4550935836753965E-2</v>
      </c>
      <c r="I282" s="254">
        <v>385764.92</v>
      </c>
      <c r="J282" s="255">
        <v>400000</v>
      </c>
      <c r="K282" s="255">
        <f t="shared" ref="K282" si="739">I282-I281-J282+J281</f>
        <v>9930.0999999999767</v>
      </c>
      <c r="L282" s="175">
        <f t="shared" si="637"/>
        <v>2.6421447592322542E-2</v>
      </c>
      <c r="M282" s="256">
        <f t="shared" ref="M282" si="740">I282-J282</f>
        <v>-14235.080000000016</v>
      </c>
      <c r="N282" s="257">
        <f t="shared" ref="N282" si="741">M282/J282</f>
        <v>-3.5587700000000042E-2</v>
      </c>
      <c r="O282" s="256" t="b">
        <f t="shared" ref="O282" si="742">L282&gt;D282</f>
        <v>1</v>
      </c>
      <c r="P282" s="257">
        <f>COUNTIF(O$2:O282, TRUE)/(COUNTIF(O$2:O282,FALSE) + COUNTIF(O$2:O282, TRUE))</f>
        <v>0.49822064056939502</v>
      </c>
      <c r="Q282" s="255">
        <v>304000.24</v>
      </c>
      <c r="R282" s="255">
        <f t="shared" ref="R282" si="743">I282-Q282</f>
        <v>81764.679999999993</v>
      </c>
      <c r="S282" s="255">
        <v>-31374</v>
      </c>
      <c r="T282" s="255">
        <f t="shared" ref="T282" si="744">M282-S282</f>
        <v>17138.919999999984</v>
      </c>
      <c r="U282" s="257">
        <f>STDEV(D$2:D282)*SQRT(252)</f>
        <v>0.16601709899528619</v>
      </c>
      <c r="V282" s="257">
        <f>STDEV(L$2:L282)*SQRT(252)</f>
        <v>0.35700717953973932</v>
      </c>
      <c r="W282" s="256">
        <f t="shared" ref="W282" si="745">N282/V282</f>
        <v>-9.9683429464585013E-2</v>
      </c>
    </row>
    <row r="283" spans="2:23" ht="20.100000000000001" customHeight="1" x14ac:dyDescent="0.25">
      <c r="B283" s="249">
        <v>42642</v>
      </c>
      <c r="C283" s="250">
        <v>2151.13</v>
      </c>
      <c r="D283" s="175">
        <f t="shared" ref="D283:D285" si="746">(C283-C282)/C282</f>
        <v>-9.3213040614910318E-3</v>
      </c>
      <c r="E283" s="251">
        <f t="shared" ref="E283" si="747">(C283-$C$2)/$C$2</f>
        <v>2.3158805958790763E-2</v>
      </c>
      <c r="F283" s="252">
        <v>5269.15</v>
      </c>
      <c r="G283" s="175">
        <f t="shared" si="730"/>
        <v>-9.286383105137937E-3</v>
      </c>
      <c r="H283" s="253">
        <f t="shared" ref="H283" si="748">(F283-F$2)/F$2</f>
        <v>3.4850835673743509E-2</v>
      </c>
      <c r="I283" s="254">
        <v>389483.35</v>
      </c>
      <c r="J283" s="255">
        <v>400000</v>
      </c>
      <c r="K283" s="255">
        <f t="shared" ref="K283" si="749">I283-I282-J283+J282</f>
        <v>3718.429999999993</v>
      </c>
      <c r="L283" s="175">
        <f t="shared" si="637"/>
        <v>9.6391087090033824E-3</v>
      </c>
      <c r="M283" s="256">
        <f t="shared" ref="M283" si="750">I283-J283</f>
        <v>-10516.650000000023</v>
      </c>
      <c r="N283" s="257">
        <f>M283/J283</f>
        <v>-2.6291625000000058E-2</v>
      </c>
      <c r="O283" s="256" t="b">
        <f t="shared" ref="O283" si="751">L283&gt;D283</f>
        <v>1</v>
      </c>
      <c r="P283" s="257">
        <f>COUNTIF(O$2:O283, TRUE)/(COUNTIF(O$2:O283,FALSE) + COUNTIF(O$2:O283, TRUE))</f>
        <v>0.5</v>
      </c>
      <c r="Q283" s="255">
        <v>298931.3</v>
      </c>
      <c r="R283" s="255">
        <f t="shared" ref="R283" si="752">I283-Q283</f>
        <v>90552.049999999988</v>
      </c>
      <c r="S283" s="255">
        <v>-27372</v>
      </c>
      <c r="T283" s="255">
        <f t="shared" ref="T283" si="753">M283-S283</f>
        <v>16855.349999999977</v>
      </c>
      <c r="U283" s="257">
        <f>STDEV(D$2:D283)*SQRT(252)</f>
        <v>0.16596393387436578</v>
      </c>
      <c r="V283" s="257">
        <f>STDEV(L$2:L283)*SQRT(252)</f>
        <v>0.35647523622237404</v>
      </c>
      <c r="W283" s="256">
        <f t="shared" ref="W283" si="754">N283/V283</f>
        <v>-7.3754421986269442E-2</v>
      </c>
    </row>
    <row r="284" spans="2:23" ht="20.100000000000001" customHeight="1" x14ac:dyDescent="0.25">
      <c r="B284" s="249">
        <v>42643</v>
      </c>
      <c r="C284" s="250">
        <v>2168.27</v>
      </c>
      <c r="D284" s="175">
        <f t="shared" si="746"/>
        <v>7.9679052405014442E-3</v>
      </c>
      <c r="E284" s="251">
        <f t="shared" ref="E284" si="755">(C284-$C$2)/$C$2</f>
        <v>3.1311238370655012E-2</v>
      </c>
      <c r="F284" s="252">
        <v>5312</v>
      </c>
      <c r="G284" s="175">
        <f t="shared" si="730"/>
        <v>8.1322414431170813E-3</v>
      </c>
      <c r="H284" s="253">
        <f t="shared" ref="H284" si="756">(F284-F$2)/F$2</f>
        <v>4.3266492527053869E-2</v>
      </c>
      <c r="I284" s="489">
        <v>389657.79</v>
      </c>
      <c r="J284" s="255">
        <v>400000</v>
      </c>
      <c r="K284" s="255">
        <f t="shared" ref="K284" si="757">I284-I283-J284+J283</f>
        <v>174.44000000000233</v>
      </c>
      <c r="L284" s="175">
        <f t="shared" si="637"/>
        <v>4.478753713092032E-4</v>
      </c>
      <c r="M284" s="256">
        <f t="shared" ref="M284" si="758">I284-J284</f>
        <v>-10342.210000000021</v>
      </c>
      <c r="N284" s="257">
        <f t="shared" ref="N284" si="759">M284/J284</f>
        <v>-2.5855525000000053E-2</v>
      </c>
      <c r="O284" s="256" t="b">
        <f t="shared" ref="O284" si="760">L284&gt;D284</f>
        <v>0</v>
      </c>
      <c r="P284" s="257">
        <f>COUNTIF(O$2:O284, TRUE)/(COUNTIF(O$2:O284,FALSE) + COUNTIF(O$2:O284, TRUE))</f>
        <v>0.49823321554770317</v>
      </c>
      <c r="Q284" s="255">
        <v>303944.73</v>
      </c>
      <c r="R284" s="255">
        <f t="shared" ref="R284" si="761">I284-Q284</f>
        <v>85713.06</v>
      </c>
      <c r="S284" s="255">
        <v>-28150</v>
      </c>
      <c r="T284" s="255">
        <f t="shared" ref="T284" si="762">M284-S284</f>
        <v>17807.789999999979</v>
      </c>
      <c r="U284" s="257">
        <f>STDEV(D$2:D284)*SQRT(252)</f>
        <v>0.16583370781569123</v>
      </c>
      <c r="V284" s="257">
        <f>STDEV(L$2:L284)*SQRT(252)</f>
        <v>0.35584037520231043</v>
      </c>
      <c r="W284" s="256">
        <f t="shared" ref="W284" si="763">N284/V284</f>
        <v>-7.2660459019862719E-2</v>
      </c>
    </row>
    <row r="285" spans="2:23" ht="20.100000000000001" customHeight="1" x14ac:dyDescent="0.25">
      <c r="B285" s="176">
        <v>42646</v>
      </c>
      <c r="C285" s="220">
        <v>2161.1999999999998</v>
      </c>
      <c r="D285" s="175">
        <f t="shared" si="746"/>
        <v>-3.2606640316935453E-3</v>
      </c>
      <c r="E285" s="214">
        <f t="shared" ref="E285" si="764">(C285-$C$2)/$C$2</f>
        <v>2.794847891021849E-2</v>
      </c>
      <c r="F285" s="224">
        <v>5300.87</v>
      </c>
      <c r="G285" s="175">
        <f t="shared" si="730"/>
        <v>-2.0952560240964061E-3</v>
      </c>
      <c r="H285" s="208">
        <f t="shared" ref="H285" si="765">(F285-F$2)/F$2</f>
        <v>4.108058212384863E-2</v>
      </c>
      <c r="I285" s="226">
        <v>389787.58</v>
      </c>
      <c r="J285" s="177">
        <v>400000</v>
      </c>
      <c r="K285" s="177">
        <f t="shared" ref="K285" si="766">I285-I284-J285+J284</f>
        <v>129.79000000003725</v>
      </c>
      <c r="L285" s="175">
        <f t="shared" si="637"/>
        <v>3.3308714295186365E-4</v>
      </c>
      <c r="M285" s="187">
        <f t="shared" ref="M285" si="767">I285-J285</f>
        <v>-10212.419999999984</v>
      </c>
      <c r="N285" s="189">
        <f t="shared" ref="N285" si="768">M285/J285</f>
        <v>-2.5531049999999958E-2</v>
      </c>
      <c r="O285" s="187" t="b">
        <f t="shared" ref="O285" si="769">L285&gt;D285</f>
        <v>1</v>
      </c>
      <c r="P285" s="189">
        <f>COUNTIF(O$2:O285, TRUE)/(COUNTIF(O$2:O285,FALSE) + COUNTIF(O$2:O285, TRUE))</f>
        <v>0.5</v>
      </c>
      <c r="Q285" s="177">
        <v>316431.14</v>
      </c>
      <c r="R285" s="177">
        <f t="shared" ref="R285" si="770">I285-Q285</f>
        <v>73356.44</v>
      </c>
      <c r="S285" s="177">
        <v>-28447</v>
      </c>
      <c r="T285" s="177">
        <f t="shared" ref="T285" si="771">M285-S285</f>
        <v>18234.580000000016</v>
      </c>
      <c r="U285" s="189">
        <f>STDEV(D$2:D285)*SQRT(252)</f>
        <v>0.16557095301003413</v>
      </c>
      <c r="V285" s="189">
        <f>STDEV(L$2:L285)*SQRT(252)</f>
        <v>0.35520892170812252</v>
      </c>
      <c r="W285" s="187">
        <f t="shared" ref="W285" si="772">N285/V285</f>
        <v>-7.1876150737505931E-2</v>
      </c>
    </row>
    <row r="286" spans="2:23" ht="20.100000000000001" customHeight="1" x14ac:dyDescent="0.25">
      <c r="B286" s="176">
        <v>42647</v>
      </c>
      <c r="C286" s="220">
        <v>2150.4899999999998</v>
      </c>
      <c r="D286" s="175">
        <f t="shared" ref="D286:D295" si="773">(C286-C285)/C285</f>
        <v>-4.9555802332037933E-3</v>
      </c>
      <c r="E286" s="214">
        <f t="shared" ref="E286" si="774">(C286-$C$2)/$C$2</f>
        <v>2.2854397747379105E-2</v>
      </c>
      <c r="F286" s="224">
        <v>5289.65</v>
      </c>
      <c r="G286" s="175">
        <f t="shared" ref="G286:G292" si="775">(F286-F285)/F285</f>
        <v>-2.1166336846593589E-3</v>
      </c>
      <c r="H286" s="208">
        <f t="shared" ref="H286" si="776">(F286-F$2)/F$2</f>
        <v>3.8876995895280521E-2</v>
      </c>
      <c r="I286" s="226">
        <v>385233.03</v>
      </c>
      <c r="J286" s="177">
        <v>400000</v>
      </c>
      <c r="K286" s="177">
        <f t="shared" ref="K286" si="777">I286-I285-J286+J285</f>
        <v>-4554.5499999999884</v>
      </c>
      <c r="L286" s="175">
        <f t="shared" ref="L286:L295" si="778">K286/I285</f>
        <v>-1.1684697598625355E-2</v>
      </c>
      <c r="M286" s="187">
        <f t="shared" ref="M286" si="779">I286-J286</f>
        <v>-14766.969999999972</v>
      </c>
      <c r="N286" s="189">
        <f t="shared" ref="N286" si="780">M286/J286</f>
        <v>-3.6917424999999927E-2</v>
      </c>
      <c r="O286" s="187" t="b">
        <f t="shared" ref="O286" si="781">L286&gt;D286</f>
        <v>0</v>
      </c>
      <c r="P286" s="189">
        <f>COUNTIF(O$2:O286, TRUE)/(COUNTIF(O$2:O286,FALSE) + COUNTIF(O$2:O286, TRUE))</f>
        <v>0.49824561403508771</v>
      </c>
      <c r="Q286" s="177">
        <v>337102.39</v>
      </c>
      <c r="R286" s="177">
        <f t="shared" ref="R286" si="782">I286-Q286</f>
        <v>48130.640000000014</v>
      </c>
      <c r="S286" s="177">
        <v>-32163</v>
      </c>
      <c r="T286" s="177">
        <f t="shared" ref="T286" si="783">M286-S286</f>
        <v>17396.030000000028</v>
      </c>
      <c r="U286" s="189">
        <f>STDEV(D$2:D286)*SQRT(252)</f>
        <v>0.16534817054416481</v>
      </c>
      <c r="V286" s="189">
        <f>STDEV(L$2:L286)*SQRT(252)</f>
        <v>0.35476607688224249</v>
      </c>
      <c r="W286" s="187">
        <f t="shared" ref="W286" si="784">N286/V286</f>
        <v>-0.10406131647207613</v>
      </c>
    </row>
    <row r="287" spans="2:23" ht="20.100000000000001" customHeight="1" x14ac:dyDescent="0.25">
      <c r="B287" s="176">
        <v>42648</v>
      </c>
      <c r="C287" s="220">
        <v>2159.73</v>
      </c>
      <c r="D287" s="175">
        <f t="shared" si="773"/>
        <v>4.2966951717981657E-3</v>
      </c>
      <c r="E287" s="214">
        <f t="shared" ref="E287" si="785">(C287-$C$2)/$C$2</f>
        <v>2.7249291299632789E-2</v>
      </c>
      <c r="F287" s="224">
        <v>5316.02</v>
      </c>
      <c r="G287" s="175">
        <f t="shared" si="775"/>
        <v>4.9852069607631512E-3</v>
      </c>
      <c r="H287" s="208">
        <f t="shared" ref="H287" si="786">(F287-F$2)/F$2</f>
        <v>4.4056012726594387E-2</v>
      </c>
      <c r="I287" s="226">
        <v>390592.54</v>
      </c>
      <c r="J287" s="177">
        <v>400000</v>
      </c>
      <c r="K287" s="177">
        <f t="shared" ref="K287" si="787">I287-I286-J287+J286</f>
        <v>5359.5099999999511</v>
      </c>
      <c r="L287" s="175">
        <f t="shared" si="778"/>
        <v>1.3912384407951599E-2</v>
      </c>
      <c r="M287" s="187">
        <f t="shared" ref="M287" si="788">I287-J287</f>
        <v>-9407.460000000021</v>
      </c>
      <c r="N287" s="189">
        <f t="shared" ref="N287" si="789">M287/J287</f>
        <v>-2.3518650000000054E-2</v>
      </c>
      <c r="O287" s="187" t="b">
        <f t="shared" ref="O287" si="790">L287&gt;D287</f>
        <v>1</v>
      </c>
      <c r="P287" s="189">
        <f>COUNTIF(O$2:O287, TRUE)/(COUNTIF(O$2:O287,FALSE) + COUNTIF(O$2:O287, TRUE))</f>
        <v>0.5</v>
      </c>
      <c r="Q287" s="177">
        <v>313332.61</v>
      </c>
      <c r="R287" s="177">
        <f t="shared" ref="R287" si="791">I287-Q287</f>
        <v>77259.929999999993</v>
      </c>
      <c r="S287" s="177">
        <v>-29624</v>
      </c>
      <c r="T287" s="177">
        <f t="shared" ref="T287" si="792">M287-S287</f>
        <v>20216.539999999979</v>
      </c>
      <c r="U287" s="189">
        <f>STDEV(D$2:D287)*SQRT(252)</f>
        <v>0.16510322057626589</v>
      </c>
      <c r="V287" s="189">
        <f>STDEV(L$2:L287)*SQRT(252)</f>
        <v>0.35436735180004281</v>
      </c>
      <c r="W287" s="187">
        <f t="shared" ref="W287" si="793">N287/V287</f>
        <v>-6.6367993215331003E-2</v>
      </c>
    </row>
    <row r="288" spans="2:23" ht="20.100000000000001" customHeight="1" x14ac:dyDescent="0.25">
      <c r="B288" s="176">
        <v>42649</v>
      </c>
      <c r="C288" s="220">
        <v>2160.77</v>
      </c>
      <c r="D288" s="175">
        <f t="shared" si="773"/>
        <v>4.8154167419073849E-4</v>
      </c>
      <c r="E288" s="214">
        <f t="shared" ref="E288" si="794">(C288-$C$2)/$C$2</f>
        <v>2.7743954643176465E-2</v>
      </c>
      <c r="F288" s="224">
        <v>5306.85</v>
      </c>
      <c r="G288" s="175">
        <f t="shared" si="775"/>
        <v>-1.7249746991170221E-3</v>
      </c>
      <c r="H288" s="208">
        <f t="shared" ref="H288" si="795">(F288-F$2)/F$2</f>
        <v>4.225504252018001E-2</v>
      </c>
      <c r="I288" s="226">
        <v>390871.84</v>
      </c>
      <c r="J288" s="177">
        <v>400000</v>
      </c>
      <c r="K288" s="177">
        <f t="shared" ref="K288" si="796">I288-I287-J288+J287</f>
        <v>279.30000000004657</v>
      </c>
      <c r="L288" s="175">
        <f t="shared" si="778"/>
        <v>7.1506742038659153E-4</v>
      </c>
      <c r="M288" s="187">
        <f t="shared" ref="M288" si="797">I288-J288</f>
        <v>-9128.1599999999744</v>
      </c>
      <c r="N288" s="189">
        <f t="shared" ref="N288" si="798">M288/J288</f>
        <v>-2.2820399999999935E-2</v>
      </c>
      <c r="O288" s="187" t="b">
        <f t="shared" ref="O288" si="799">L288&gt;D288</f>
        <v>1</v>
      </c>
      <c r="P288" s="189">
        <f>COUNTIF(O$2:O288, TRUE)/(COUNTIF(O$2:O288,FALSE) + COUNTIF(O$2:O288, TRUE))</f>
        <v>0.50174216027874563</v>
      </c>
      <c r="Q288" s="177">
        <v>335247.19</v>
      </c>
      <c r="R288" s="177">
        <f t="shared" ref="R288" si="800">I288-Q288</f>
        <v>55624.650000000023</v>
      </c>
      <c r="S288" s="177">
        <v>-29330</v>
      </c>
      <c r="T288" s="177">
        <f t="shared" ref="T288" si="801">M288-S288</f>
        <v>20201.840000000026</v>
      </c>
      <c r="U288" s="189">
        <f>STDEV(D$2:D288)*SQRT(252)</f>
        <v>0.16481360805187978</v>
      </c>
      <c r="V288" s="189">
        <f>STDEV(L$2:L288)*SQRT(252)</f>
        <v>0.35374517129723698</v>
      </c>
      <c r="W288" s="187">
        <f t="shared" ref="W288" si="802">N288/V288</f>
        <v>-6.4510845240131703E-2</v>
      </c>
    </row>
    <row r="289" spans="1:23" ht="20.100000000000001" customHeight="1" x14ac:dyDescent="0.25">
      <c r="B289" s="176">
        <v>42650</v>
      </c>
      <c r="C289" s="220">
        <v>2153.7399999999998</v>
      </c>
      <c r="D289" s="175">
        <f t="shared" si="773"/>
        <v>-3.2534698278855224E-3</v>
      </c>
      <c r="E289" s="214">
        <f t="shared" ref="E289" si="803">(C289-$C$2)/$C$2</f>
        <v>2.4400220695953143E-2</v>
      </c>
      <c r="F289" s="224">
        <v>5292.4</v>
      </c>
      <c r="G289" s="175">
        <f t="shared" si="775"/>
        <v>-2.7228958798535341E-3</v>
      </c>
      <c r="H289" s="208">
        <f t="shared" ref="H289" si="804">(F289-F$2)/F$2</f>
        <v>3.9417090559145239E-2</v>
      </c>
      <c r="I289" s="226">
        <v>386326.18</v>
      </c>
      <c r="J289" s="177">
        <v>400000</v>
      </c>
      <c r="K289" s="177">
        <f t="shared" ref="K289" si="805">I289-I288-J289+J288</f>
        <v>-4545.6600000000326</v>
      </c>
      <c r="L289" s="175">
        <f t="shared" si="778"/>
        <v>-1.1629540772238881E-2</v>
      </c>
      <c r="M289" s="187">
        <f t="shared" ref="M289" si="806">I289-J289</f>
        <v>-13673.820000000007</v>
      </c>
      <c r="N289" s="189">
        <f t="shared" ref="N289" si="807">M289/J289</f>
        <v>-3.4184550000000015E-2</v>
      </c>
      <c r="O289" s="187" t="b">
        <f t="shared" ref="O289" si="808">L289&gt;D289</f>
        <v>0</v>
      </c>
      <c r="P289" s="189">
        <f>COUNTIF(O$2:O289, TRUE)/(COUNTIF(O$2:O289,FALSE) + COUNTIF(O$2:O289, TRUE))</f>
        <v>0.5</v>
      </c>
      <c r="Q289" s="177">
        <v>340123.03</v>
      </c>
      <c r="R289" s="177">
        <f t="shared" ref="R289" si="809">I289-Q289</f>
        <v>46203.149999999965</v>
      </c>
      <c r="S289" s="177">
        <v>-30659</v>
      </c>
      <c r="T289" s="177">
        <f t="shared" ref="T289" si="810">M289-S289</f>
        <v>16985.179999999993</v>
      </c>
      <c r="U289" s="189">
        <f>STDEV(D$2:D289)*SQRT(252)</f>
        <v>0.16455611820081531</v>
      </c>
      <c r="V289" s="189">
        <f>STDEV(L$2:L289)*SQRT(252)</f>
        <v>0.35330879271171961</v>
      </c>
      <c r="W289" s="187">
        <f t="shared" ref="W289" si="811">N289/V289</f>
        <v>-9.6755446524912025E-2</v>
      </c>
    </row>
    <row r="290" spans="1:23" ht="20.100000000000001" customHeight="1" x14ac:dyDescent="0.25">
      <c r="B290" s="249">
        <v>42653</v>
      </c>
      <c r="C290" s="250">
        <v>2163.66</v>
      </c>
      <c r="D290" s="175">
        <f t="shared" si="773"/>
        <v>4.6059412928208948E-3</v>
      </c>
      <c r="E290" s="251">
        <f t="shared" ref="E290" si="812">(C290-$C$2)/$C$2</f>
        <v>2.911854797283147E-2</v>
      </c>
      <c r="F290" s="252">
        <v>5328.67</v>
      </c>
      <c r="G290" s="175">
        <f t="shared" si="775"/>
        <v>6.8532234902880431E-3</v>
      </c>
      <c r="H290" s="253">
        <f t="shared" ref="H290" si="813">(F290-F$2)/F$2</f>
        <v>4.6540448180372028E-2</v>
      </c>
      <c r="I290" s="254">
        <v>390200.44</v>
      </c>
      <c r="J290" s="255">
        <v>400000</v>
      </c>
      <c r="K290" s="255">
        <f t="shared" ref="K290" si="814">I290-I289-J290+J289</f>
        <v>3874.2600000000093</v>
      </c>
      <c r="L290" s="175">
        <f t="shared" si="778"/>
        <v>1.0028468689333997E-2</v>
      </c>
      <c r="M290" s="256">
        <f t="shared" ref="M290" si="815">I290-J290</f>
        <v>-9799.5599999999977</v>
      </c>
      <c r="N290" s="257">
        <f t="shared" ref="N290" si="816">M290/J290</f>
        <v>-2.4498899999999994E-2</v>
      </c>
      <c r="O290" s="256" t="b">
        <f t="shared" ref="O290" si="817">L290&gt;D290</f>
        <v>1</v>
      </c>
      <c r="P290" s="257">
        <f>COUNTIF(O$2:O290, TRUE)/(COUNTIF(O$2:O290,FALSE) + COUNTIF(O$2:O290, TRUE))</f>
        <v>0.5017301038062284</v>
      </c>
      <c r="Q290" s="255">
        <v>340124.03</v>
      </c>
      <c r="R290" s="255">
        <f t="shared" ref="R290" si="818">I290-Q290</f>
        <v>50076.409999999974</v>
      </c>
      <c r="S290" s="255">
        <v>-26735</v>
      </c>
      <c r="T290" s="255">
        <f t="shared" ref="T290" si="819">M290-S290</f>
        <v>16935.440000000002</v>
      </c>
      <c r="U290" s="257">
        <f>STDEV(D$2:D290)*SQRT(252)</f>
        <v>0.16432235109111573</v>
      </c>
      <c r="V290" s="257">
        <f>STDEV(L$2:L290)*SQRT(252)</f>
        <v>0.35280655192521093</v>
      </c>
      <c r="W290" s="256">
        <f t="shared" ref="W290" si="820">N290/V290</f>
        <v>-6.944003694464651E-2</v>
      </c>
    </row>
    <row r="291" spans="1:23" ht="20.100000000000001" customHeight="1" x14ac:dyDescent="0.25">
      <c r="A291" s="170" t="s">
        <v>317</v>
      </c>
      <c r="B291" s="176">
        <v>42661</v>
      </c>
      <c r="C291" s="220">
        <v>2139.6</v>
      </c>
      <c r="D291" s="175">
        <f t="shared" si="773"/>
        <v>-1.1120046587726327E-2</v>
      </c>
      <c r="E291" s="214">
        <f t="shared" ref="E291" si="821">(C291-$C$2)/$C$2</f>
        <v>1.7674701775080313E-2</v>
      </c>
      <c r="F291" s="224">
        <v>5243.83</v>
      </c>
      <c r="G291" s="175">
        <f t="shared" si="775"/>
        <v>-1.592142129274287E-2</v>
      </c>
      <c r="H291" s="208">
        <f t="shared" ref="H291" si="822">(F291-F$2)/F$2</f>
        <v>2.9878036804996389E-2</v>
      </c>
      <c r="I291" s="226">
        <v>374649.22</v>
      </c>
      <c r="J291" s="177">
        <v>400000</v>
      </c>
      <c r="K291" s="177">
        <f t="shared" ref="K291" si="823">I291-I290-J291+J290</f>
        <v>-15551.22000000003</v>
      </c>
      <c r="L291" s="175">
        <f t="shared" si="778"/>
        <v>-3.9854439938612138E-2</v>
      </c>
      <c r="M291" s="187">
        <f t="shared" ref="M291" si="824">I291-J291</f>
        <v>-25350.780000000028</v>
      </c>
      <c r="N291" s="189">
        <f t="shared" ref="N291" si="825">M291/J291</f>
        <v>-6.3376950000000071E-2</v>
      </c>
      <c r="O291" s="187" t="b">
        <f t="shared" ref="O291" si="826">L291&gt;D291</f>
        <v>0</v>
      </c>
      <c r="P291" s="189">
        <f>COUNTIF(O$2:O291, TRUE)/(COUNTIF(O$2:O291,FALSE) + COUNTIF(O$2:O291, TRUE))</f>
        <v>0.5</v>
      </c>
      <c r="Q291" s="177">
        <v>325873.59999999998</v>
      </c>
      <c r="R291" s="177">
        <f t="shared" ref="R291" si="827">I291-Q291</f>
        <v>48775.619999999995</v>
      </c>
      <c r="S291" s="177">
        <v>-42252</v>
      </c>
      <c r="T291" s="177">
        <f t="shared" ref="T291" si="828">M291-S291</f>
        <v>16901.219999999972</v>
      </c>
      <c r="U291" s="189">
        <f>STDEV(D$2:D291)*SQRT(252)</f>
        <v>0.16437424820296684</v>
      </c>
      <c r="V291" s="189">
        <f>STDEV(L$2:L291)*SQRT(252)</f>
        <v>0.35420191935581979</v>
      </c>
      <c r="W291" s="187">
        <f t="shared" ref="W291" si="829">N291/V291</f>
        <v>-0.17892887230894319</v>
      </c>
    </row>
    <row r="292" spans="1:23" ht="20.100000000000001" customHeight="1" x14ac:dyDescent="0.25">
      <c r="B292" s="176">
        <v>42662</v>
      </c>
      <c r="C292" s="220">
        <v>2144.29</v>
      </c>
      <c r="D292" s="175">
        <f t="shared" si="773"/>
        <v>2.1919985043933701E-3</v>
      </c>
      <c r="E292" s="214">
        <f t="shared" ref="E292" si="830">(C292-$C$2)/$C$2</f>
        <v>1.9905443199330259E-2</v>
      </c>
      <c r="F292" s="224">
        <v>5246.41</v>
      </c>
      <c r="G292" s="175">
        <f t="shared" si="775"/>
        <v>4.9200679655898979E-4</v>
      </c>
      <c r="H292" s="208">
        <f t="shared" ref="H292" si="831">(F292-F$2)/F$2</f>
        <v>3.0384743798731278E-2</v>
      </c>
      <c r="I292" s="226">
        <v>380216.65</v>
      </c>
      <c r="J292" s="177">
        <v>400000</v>
      </c>
      <c r="K292" s="177">
        <f t="shared" ref="K292" si="832">I292-I291-J292+J291</f>
        <v>5567.4300000000512</v>
      </c>
      <c r="L292" s="175">
        <f t="shared" si="778"/>
        <v>1.4860380598150055E-2</v>
      </c>
      <c r="M292" s="187">
        <f t="shared" ref="M292" si="833">I292-J292</f>
        <v>-19783.349999999977</v>
      </c>
      <c r="N292" s="189">
        <f t="shared" ref="N292" si="834">M292/J292</f>
        <v>-4.9458374999999943E-2</v>
      </c>
      <c r="O292" s="187" t="b">
        <f t="shared" ref="O292" si="835">L292&gt;D292</f>
        <v>1</v>
      </c>
      <c r="P292" s="189">
        <f>COUNTIF(O$2:O292, TRUE)/(COUNTIF(O$2:O292,FALSE) + COUNTIF(O$2:O292, TRUE))</f>
        <v>0.50171821305841924</v>
      </c>
      <c r="Q292" s="177">
        <v>324057.2</v>
      </c>
      <c r="R292" s="177">
        <f t="shared" ref="R292" si="836">I292-Q292</f>
        <v>56159.450000000012</v>
      </c>
      <c r="S292" s="177">
        <v>-37035</v>
      </c>
      <c r="T292" s="177">
        <f t="shared" ref="T292" si="837">M292-S292</f>
        <v>17251.650000000023</v>
      </c>
      <c r="U292" s="189">
        <f>STDEV(D$2:D292)*SQRT(252)</f>
        <v>0.16410104874699943</v>
      </c>
      <c r="V292" s="189">
        <f>STDEV(L$2:L292)*SQRT(252)</f>
        <v>0.3538474741949057</v>
      </c>
      <c r="W292" s="187">
        <f t="shared" ref="W292" si="838">N292/V292</f>
        <v>-0.13977314692589091</v>
      </c>
    </row>
    <row r="293" spans="1:23" ht="20.100000000000001" customHeight="1" x14ac:dyDescent="0.25">
      <c r="B293" s="176">
        <v>42663</v>
      </c>
      <c r="C293" s="220">
        <v>2141.34</v>
      </c>
      <c r="D293" s="175">
        <f t="shared" si="773"/>
        <v>-1.3757467506726321E-3</v>
      </c>
      <c r="E293" s="214">
        <f t="shared" ref="E293" si="839">(C293-$C$2)/$C$2</f>
        <v>1.850231159985545E-2</v>
      </c>
      <c r="F293" s="224">
        <v>5241.83</v>
      </c>
      <c r="G293" s="175">
        <f t="shared" ref="G293:G295" si="840">(F293-F292)/F292</f>
        <v>-8.7297790298507499E-4</v>
      </c>
      <c r="H293" s="208">
        <f t="shared" ref="H293" si="841">(F293-F$2)/F$2</f>
        <v>2.9485240685822048E-2</v>
      </c>
      <c r="I293" s="226">
        <v>381021.44</v>
      </c>
      <c r="J293" s="177">
        <v>400000</v>
      </c>
      <c r="K293" s="177">
        <f t="shared" ref="K293" si="842">I293-I292-J293+J292</f>
        <v>804.78999999997905</v>
      </c>
      <c r="L293" s="175">
        <f t="shared" si="778"/>
        <v>2.1166616454065834E-3</v>
      </c>
      <c r="M293" s="187">
        <f t="shared" ref="M293" si="843">I293-J293</f>
        <v>-18978.559999999998</v>
      </c>
      <c r="N293" s="189">
        <f t="shared" ref="N293" si="844">M293/J293</f>
        <v>-4.7446399999999993E-2</v>
      </c>
      <c r="O293" s="187" t="b">
        <f t="shared" ref="O293" si="845">L293&gt;D293</f>
        <v>1</v>
      </c>
      <c r="P293" s="189">
        <f>COUNTIF(O$2:O293, TRUE)/(COUNTIF(O$2:O293,FALSE) + COUNTIF(O$2:O293, TRUE))</f>
        <v>0.50342465753424659</v>
      </c>
      <c r="Q293" s="177">
        <v>320933.90000000002</v>
      </c>
      <c r="R293" s="177">
        <f t="shared" ref="R293" si="846">I293-Q293</f>
        <v>60087.539999999979</v>
      </c>
      <c r="S293" s="177">
        <v>-36535</v>
      </c>
      <c r="T293" s="177">
        <f t="shared" ref="T293" si="847">M293-S293</f>
        <v>17556.440000000002</v>
      </c>
      <c r="U293" s="189">
        <f>STDEV(D$2:D293)*SQRT(252)</f>
        <v>0.16382379522732679</v>
      </c>
      <c r="V293" s="189">
        <f>STDEV(L$2:L293)*SQRT(252)</f>
        <v>0.35324050890305325</v>
      </c>
      <c r="W293" s="187">
        <f t="shared" ref="W293" si="848">N293/V293</f>
        <v>-0.13431755080225424</v>
      </c>
    </row>
    <row r="294" spans="1:23" ht="20.100000000000001" customHeight="1" x14ac:dyDescent="0.25">
      <c r="B294" s="176">
        <v>42664</v>
      </c>
      <c r="C294" s="220">
        <v>2141.16</v>
      </c>
      <c r="D294" s="175">
        <f t="shared" si="773"/>
        <v>-8.4059514136144197E-5</v>
      </c>
      <c r="E294" s="214">
        <f t="shared" ref="E294" si="849">(C294-$C$2)/$C$2</f>
        <v>1.8416696790395825E-2</v>
      </c>
      <c r="F294" s="224">
        <v>5257.4</v>
      </c>
      <c r="G294" s="175">
        <f t="shared" si="840"/>
        <v>2.9703366953906765E-3</v>
      </c>
      <c r="H294" s="208">
        <f t="shared" ref="H294" si="850">(F294-F$2)/F$2</f>
        <v>3.254315847359425E-2</v>
      </c>
      <c r="I294" s="226">
        <v>378995.29</v>
      </c>
      <c r="J294" s="177">
        <v>400000</v>
      </c>
      <c r="K294" s="177">
        <f t="shared" ref="K294" si="851">I294-I293-J294+J293</f>
        <v>-2026.1500000000233</v>
      </c>
      <c r="L294" s="175">
        <f t="shared" si="778"/>
        <v>-5.3176797610129849E-3</v>
      </c>
      <c r="M294" s="187">
        <f t="shared" ref="M294" si="852">I294-J294</f>
        <v>-21004.710000000021</v>
      </c>
      <c r="N294" s="189">
        <f t="shared" ref="N294" si="853">M294/J294</f>
        <v>-5.2511775000000052E-2</v>
      </c>
      <c r="O294" s="187" t="b">
        <f t="shared" ref="O294" si="854">L294&gt;D294</f>
        <v>0</v>
      </c>
      <c r="P294" s="189">
        <f>COUNTIF(O$2:O294, TRUE)/(COUNTIF(O$2:O294,FALSE) + COUNTIF(O$2:O294, TRUE))</f>
        <v>0.50170648464163825</v>
      </c>
      <c r="Q294" s="177">
        <v>320934.90000000002</v>
      </c>
      <c r="R294" s="177">
        <f t="shared" ref="R294" si="855">I294-Q294</f>
        <v>58060.389999999956</v>
      </c>
      <c r="S294" s="177">
        <v>-36534</v>
      </c>
      <c r="T294" s="177">
        <f t="shared" ref="T294" si="856">M294-S294</f>
        <v>15529.289999999979</v>
      </c>
      <c r="U294" s="189">
        <f>STDEV(D$2:D294)*SQRT(252)</f>
        <v>0.16354217458793488</v>
      </c>
      <c r="V294" s="189">
        <f>STDEV(L$2:L294)*SQRT(252)</f>
        <v>0.35267302551448443</v>
      </c>
      <c r="W294" s="187">
        <f t="shared" ref="W294" si="857">N294/V294</f>
        <v>-0.14889648825110774</v>
      </c>
    </row>
    <row r="295" spans="1:23" ht="20.100000000000001" customHeight="1" x14ac:dyDescent="0.25">
      <c r="B295" s="249">
        <v>42667</v>
      </c>
      <c r="C295" s="250">
        <v>2151.33</v>
      </c>
      <c r="D295" s="175">
        <f t="shared" si="773"/>
        <v>4.7497618113546275E-3</v>
      </c>
      <c r="E295" s="251">
        <f t="shared" ref="E295" si="858">(C295-$C$2)/$C$2</f>
        <v>2.3253933524856774E-2</v>
      </c>
      <c r="F295" s="252">
        <v>5309.82</v>
      </c>
      <c r="G295" s="175">
        <f t="shared" si="840"/>
        <v>9.9707079545022399E-3</v>
      </c>
      <c r="H295" s="253">
        <f t="shared" ref="H295" si="859">(F295-F$2)/F$2</f>
        <v>4.2838344757153778E-2</v>
      </c>
      <c r="I295" s="254">
        <v>378540.69</v>
      </c>
      <c r="J295" s="255">
        <v>400000</v>
      </c>
      <c r="K295" s="255">
        <f t="shared" ref="K295" si="860">I295-I294-J295+J294</f>
        <v>-454.59999999997672</v>
      </c>
      <c r="L295" s="175">
        <f t="shared" si="778"/>
        <v>-1.1994872020704445E-3</v>
      </c>
      <c r="M295" s="256">
        <f t="shared" ref="M295" si="861">I295-J295</f>
        <v>-21459.309999999998</v>
      </c>
      <c r="N295" s="257">
        <f t="shared" ref="N295" si="862">M295/J295</f>
        <v>-5.3648274999999995E-2</v>
      </c>
      <c r="O295" s="256" t="b">
        <f t="shared" ref="O295" si="863">L295&gt;D295</f>
        <v>0</v>
      </c>
      <c r="P295" s="257">
        <f>COUNTIF(O$2:O295, TRUE)/(COUNTIF(O$2:O295,FALSE) + COUNTIF(O$2:O295, TRUE))</f>
        <v>0.5</v>
      </c>
      <c r="Q295" s="255">
        <v>324753.15000000002</v>
      </c>
      <c r="R295" s="255">
        <f t="shared" ref="R295" si="864">I295-Q295</f>
        <v>53787.539999999979</v>
      </c>
      <c r="S295" s="255">
        <v>-39269</v>
      </c>
      <c r="T295" s="255">
        <f t="shared" ref="T295" si="865">M295-S295</f>
        <v>17809.690000000002</v>
      </c>
      <c r="U295" s="257">
        <f>STDEV(D$2:D295)*SQRT(252)</f>
        <v>0.16331845604618789</v>
      </c>
      <c r="V295" s="257">
        <f>STDEV(L$2:L295)*SQRT(252)</f>
        <v>0.35207165866831386</v>
      </c>
      <c r="W295" s="256">
        <f t="shared" ref="W295" si="866">N295/V295</f>
        <v>-0.15237885151824149</v>
      </c>
    </row>
    <row r="296" spans="1:23" ht="20.100000000000001" customHeight="1" x14ac:dyDescent="0.25">
      <c r="B296" s="249">
        <v>42668</v>
      </c>
      <c r="C296" s="250">
        <v>2143.16</v>
      </c>
      <c r="D296" s="175">
        <f t="shared" ref="D296" si="867">(C296-C295)/C295</f>
        <v>-3.797650755579141E-3</v>
      </c>
      <c r="E296" s="251">
        <f t="shared" ref="E296" si="868">(C296-$C$2)/$C$2</f>
        <v>1.9367972451056772E-2</v>
      </c>
      <c r="F296" s="252">
        <v>5283.39</v>
      </c>
      <c r="G296" s="175">
        <f t="shared" ref="G296" si="869">(F296-F295)/F295</f>
        <v>-4.9775698611251194E-3</v>
      </c>
      <c r="H296" s="253">
        <f t="shared" ref="H296" si="870">(F296-F$2)/F$2</f>
        <v>3.764754404226496E-2</v>
      </c>
      <c r="I296" s="254">
        <v>374243.66</v>
      </c>
      <c r="J296" s="255">
        <v>400000</v>
      </c>
      <c r="K296" s="255">
        <f t="shared" ref="K296" si="871">I296-I295-J296+J295</f>
        <v>-4297.0300000000279</v>
      </c>
      <c r="L296" s="175">
        <f t="shared" ref="L296" si="872">K296/I295</f>
        <v>-1.1351566987422219E-2</v>
      </c>
      <c r="M296" s="256">
        <f t="shared" ref="M296" si="873">I296-J296</f>
        <v>-25756.340000000026</v>
      </c>
      <c r="N296" s="257">
        <f t="shared" ref="N296" si="874">M296/J296</f>
        <v>-6.4390850000000069E-2</v>
      </c>
      <c r="O296" s="256" t="b">
        <f t="shared" ref="O296" si="875">L296&gt;D296</f>
        <v>0</v>
      </c>
      <c r="P296" s="257">
        <f>COUNTIF(O$2:O296, TRUE)/(COUNTIF(O$2:O296,FALSE) + COUNTIF(O$2:O296, TRUE))</f>
        <v>0.49830508474576274</v>
      </c>
      <c r="Q296" s="255">
        <v>324754.15000000002</v>
      </c>
      <c r="R296" s="255">
        <f t="shared" ref="R296" si="876">I296-Q296</f>
        <v>49489.509999999951</v>
      </c>
      <c r="S296" s="255">
        <v>-44170</v>
      </c>
      <c r="T296" s="255">
        <f t="shared" ref="T296" si="877">M296-S296</f>
        <v>18413.659999999974</v>
      </c>
      <c r="U296" s="257">
        <f>STDEV(D$2:D296)*SQRT(252)</f>
        <v>0.16308008977690622</v>
      </c>
      <c r="V296" s="257">
        <f>STDEV(L$2:L296)*SQRT(252)</f>
        <v>0.35163793771094465</v>
      </c>
      <c r="W296" s="256">
        <f t="shared" ref="W296" si="878">N296/V296</f>
        <v>-0.18311690262764249</v>
      </c>
    </row>
    <row r="297" spans="1:23" ht="20.100000000000001" customHeight="1" x14ac:dyDescent="0.25">
      <c r="B297" s="249">
        <v>42669</v>
      </c>
      <c r="C297" s="250">
        <v>2139.4299999999998</v>
      </c>
      <c r="D297" s="175">
        <f t="shared" ref="D297:D300" si="879">(C297-C296)/C296</f>
        <v>-1.7404206872095496E-3</v>
      </c>
      <c r="E297" s="251">
        <f t="shared" ref="E297" si="880">(C297-$C$2)/$C$2</f>
        <v>1.7593843343924099E-2</v>
      </c>
      <c r="F297" s="252">
        <v>5250.26</v>
      </c>
      <c r="G297" s="175">
        <f t="shared" ref="G297" si="881">(F297-F296)/F296</f>
        <v>-6.2705952049725852E-3</v>
      </c>
      <c r="H297" s="253">
        <f t="shared" ref="H297" si="882">(F297-F$2)/F$2</f>
        <v>3.1140876328141956E-2</v>
      </c>
      <c r="I297" s="254">
        <v>374681.1</v>
      </c>
      <c r="J297" s="255">
        <v>400000</v>
      </c>
      <c r="K297" s="255">
        <f t="shared" ref="K297" si="883">I297-I296-J297+J296</f>
        <v>437.44000000000233</v>
      </c>
      <c r="L297" s="175">
        <f t="shared" ref="L297" si="884">K297/I296</f>
        <v>1.1688641565764997E-3</v>
      </c>
      <c r="M297" s="256">
        <f t="shared" ref="M297" si="885">I297-J297</f>
        <v>-25318.900000000023</v>
      </c>
      <c r="N297" s="257">
        <f t="shared" ref="N297" si="886">M297/J297</f>
        <v>-6.3297250000000055E-2</v>
      </c>
      <c r="O297" s="256" t="b">
        <f t="shared" ref="O297" si="887">L297&gt;D297</f>
        <v>1</v>
      </c>
      <c r="P297" s="257">
        <f>COUNTIF(O$2:O297, TRUE)/(COUNTIF(O$2:O297,FALSE) + COUNTIF(O$2:O297, TRUE))</f>
        <v>0.5</v>
      </c>
      <c r="Q297" s="255">
        <v>325355.95</v>
      </c>
      <c r="R297" s="255">
        <f t="shared" ref="R297" si="888">I297-Q297</f>
        <v>49325.149999999965</v>
      </c>
      <c r="S297" s="255">
        <v>-44067</v>
      </c>
      <c r="T297" s="255">
        <f t="shared" ref="T297" si="889">M297-S297</f>
        <v>18748.099999999977</v>
      </c>
      <c r="U297" s="257">
        <f>STDEV(D$2:D297)*SQRT(252)</f>
        <v>0.16281156659849447</v>
      </c>
      <c r="V297" s="257">
        <f>STDEV(L$2:L297)*SQRT(252)</f>
        <v>0.3510402532906407</v>
      </c>
      <c r="W297" s="256">
        <f t="shared" ref="W297" si="890">N297/V297</f>
        <v>-0.18031336693343156</v>
      </c>
    </row>
    <row r="298" spans="1:23" ht="20.100000000000001" customHeight="1" x14ac:dyDescent="0.25">
      <c r="B298" s="249">
        <v>42670</v>
      </c>
      <c r="C298" s="250">
        <v>2133.04</v>
      </c>
      <c r="D298" s="175">
        <f t="shared" si="879"/>
        <v>-2.9867768517782183E-3</v>
      </c>
      <c r="E298" s="251">
        <f t="shared" ref="E298" si="891">(C298-$C$2)/$C$2</f>
        <v>1.4554517608112435E-2</v>
      </c>
      <c r="F298" s="252">
        <v>5215.97</v>
      </c>
      <c r="G298" s="175">
        <f t="shared" ref="G298:G300" si="892">(F298-F297)/F297</f>
        <v>-6.5311051262223136E-3</v>
      </c>
      <c r="H298" s="253">
        <f t="shared" ref="H298" si="893">(F298-F$2)/F$2</f>
        <v>2.440638686489786E-2</v>
      </c>
      <c r="I298" s="254">
        <v>371125.09</v>
      </c>
      <c r="J298" s="255">
        <v>400000</v>
      </c>
      <c r="K298" s="255">
        <f t="shared" ref="K298" si="894">I298-I297-J298+J297</f>
        <v>-3556.0099999999511</v>
      </c>
      <c r="L298" s="175">
        <f t="shared" ref="L298:L300" si="895">K298/I297</f>
        <v>-9.4907642792763005E-3</v>
      </c>
      <c r="M298" s="256">
        <f t="shared" ref="M298" si="896">I298-J298</f>
        <v>-28874.909999999974</v>
      </c>
      <c r="N298" s="257">
        <f t="shared" ref="N298" si="897">M298/J298</f>
        <v>-7.218727499999994E-2</v>
      </c>
      <c r="O298" s="256" t="b">
        <f t="shared" ref="O298" si="898">L298&gt;D298</f>
        <v>0</v>
      </c>
      <c r="P298" s="257">
        <f>COUNTIF(O$2:O298, TRUE)/(COUNTIF(O$2:O298,FALSE) + COUNTIF(O$2:O298, TRUE))</f>
        <v>0.49831649831649832</v>
      </c>
      <c r="Q298" s="255">
        <v>360946.85</v>
      </c>
      <c r="R298" s="255">
        <f t="shared" ref="R298" si="899">I298-Q298</f>
        <v>10178.240000000049</v>
      </c>
      <c r="S298" s="255">
        <v>-47280</v>
      </c>
      <c r="T298" s="255">
        <f t="shared" ref="T298" si="900">M298-S298</f>
        <v>18405.090000000026</v>
      </c>
      <c r="U298" s="257">
        <f>STDEV(D$2:D298)*SQRT(252)</f>
        <v>0.16256052123167744</v>
      </c>
      <c r="V298" s="257">
        <f>STDEV(L$2:L298)*SQRT(252)</f>
        <v>0.3505620528969402</v>
      </c>
      <c r="W298" s="256">
        <f t="shared" ref="W298" si="901">N298/V298</f>
        <v>-0.20591867945622133</v>
      </c>
    </row>
    <row r="299" spans="1:23" ht="20.100000000000001" customHeight="1" x14ac:dyDescent="0.25">
      <c r="B299" s="249">
        <v>42671</v>
      </c>
      <c r="C299" s="250">
        <v>2126.41</v>
      </c>
      <c r="D299" s="175">
        <f t="shared" si="879"/>
        <v>-3.1082398829839616E-3</v>
      </c>
      <c r="E299" s="251">
        <f t="shared" ref="E299" si="902">(C299-$C$2)/$C$2</f>
        <v>1.1401038793021347E-2</v>
      </c>
      <c r="F299" s="252">
        <v>5190.1000000000004</v>
      </c>
      <c r="G299" s="175">
        <f t="shared" si="892"/>
        <v>-4.9597677900754585E-3</v>
      </c>
      <c r="H299" s="253">
        <f t="shared" ref="H299" si="903">(F299-F$2)/F$2</f>
        <v>1.9325569063377762E-2</v>
      </c>
      <c r="I299" s="254">
        <v>366496.83</v>
      </c>
      <c r="J299" s="255">
        <v>400000</v>
      </c>
      <c r="K299" s="255">
        <f t="shared" ref="K299" si="904">I299-I298-J299+J298</f>
        <v>-4628.2600000000093</v>
      </c>
      <c r="L299" s="175">
        <f t="shared" si="895"/>
        <v>-1.2470889532152108E-2</v>
      </c>
      <c r="M299" s="256">
        <f t="shared" ref="M299" si="905">I299-J299</f>
        <v>-33503.169999999984</v>
      </c>
      <c r="N299" s="257">
        <f t="shared" ref="N299" si="906">M299/J299</f>
        <v>-8.3757924999999955E-2</v>
      </c>
      <c r="O299" s="256" t="b">
        <f t="shared" ref="O299" si="907">L299&gt;D299</f>
        <v>0</v>
      </c>
      <c r="P299" s="257">
        <f>COUNTIF(O$2:O299, TRUE)/(COUNTIF(O$2:O299,FALSE) + COUNTIF(O$2:O299, TRUE))</f>
        <v>0.49664429530201343</v>
      </c>
      <c r="Q299" s="255">
        <v>352107.26</v>
      </c>
      <c r="R299" s="255">
        <f t="shared" ref="R299" si="908">I299-Q299</f>
        <v>14389.570000000007</v>
      </c>
      <c r="S299" s="255">
        <v>-51134</v>
      </c>
      <c r="T299" s="255">
        <f t="shared" ref="T299" si="909">M299-S299</f>
        <v>17630.830000000016</v>
      </c>
      <c r="U299" s="257">
        <f>STDEV(D$2:D299)*SQRT(252)</f>
        <v>0.16231261803243649</v>
      </c>
      <c r="V299" s="257">
        <f>STDEV(L$2:L299)*SQRT(252)</f>
        <v>0.35016714235962632</v>
      </c>
      <c r="W299" s="256">
        <f t="shared" ref="W299" si="910">N299/V299</f>
        <v>-0.23919413008196941</v>
      </c>
    </row>
    <row r="300" spans="1:23" ht="20.100000000000001" customHeight="1" x14ac:dyDescent="0.25">
      <c r="B300" s="176">
        <v>42674</v>
      </c>
      <c r="C300" s="220">
        <v>2126.15</v>
      </c>
      <c r="D300" s="175">
        <f t="shared" si="879"/>
        <v>-1.2227181023403931E-4</v>
      </c>
      <c r="E300" s="214">
        <f t="shared" ref="E300" si="911">(C300-$C$2)/$C$2</f>
        <v>1.1277372957135537E-2</v>
      </c>
      <c r="F300" s="224">
        <v>5189.13</v>
      </c>
      <c r="G300" s="175">
        <f t="shared" si="892"/>
        <v>-1.8689427949370043E-4</v>
      </c>
      <c r="H300" s="208">
        <f t="shared" ref="H300" si="912">(F300-F$2)/F$2</f>
        <v>1.9135062945578155E-2</v>
      </c>
      <c r="I300" s="425">
        <v>359986.87</v>
      </c>
      <c r="J300" s="177">
        <v>400000</v>
      </c>
      <c r="K300" s="177">
        <f t="shared" ref="K300" si="913">I300-I299-J300+J299</f>
        <v>-6509.960000000021</v>
      </c>
      <c r="L300" s="175">
        <f t="shared" si="895"/>
        <v>-1.7762663868061343E-2</v>
      </c>
      <c r="M300" s="187">
        <f t="shared" ref="M300" si="914">I300-J300</f>
        <v>-40013.130000000005</v>
      </c>
      <c r="N300" s="189">
        <f t="shared" ref="N300" si="915">M300/J300</f>
        <v>-0.10003282500000001</v>
      </c>
      <c r="O300" s="187" t="b">
        <f t="shared" ref="O300" si="916">L300&gt;D300</f>
        <v>0</v>
      </c>
      <c r="P300" s="189">
        <f>COUNTIF(O$2:O300, TRUE)/(COUNTIF(O$2:O300,FALSE) + COUNTIF(O$2:O300, TRUE))</f>
        <v>0.49498327759197325</v>
      </c>
      <c r="Q300" s="177">
        <v>351183.05</v>
      </c>
      <c r="R300" s="177">
        <f t="shared" ref="R300" si="917">I300-Q300</f>
        <v>8803.820000000007</v>
      </c>
      <c r="S300" s="177">
        <v>-57393</v>
      </c>
      <c r="T300" s="177">
        <f t="shared" ref="T300" si="918">M300-S300</f>
        <v>17379.869999999995</v>
      </c>
      <c r="U300" s="189">
        <f>STDEV(D$2:D300)*SQRT(252)</f>
        <v>0.16203925205045192</v>
      </c>
      <c r="V300" s="189">
        <f>STDEV(L$2:L300)*SQRT(252)</f>
        <v>0.34996980187049981</v>
      </c>
      <c r="W300" s="187">
        <f t="shared" ref="W300" si="919">N300/V300</f>
        <v>-0.2858327331825487</v>
      </c>
    </row>
    <row r="301" spans="1:23" ht="20.100000000000001" customHeight="1" x14ac:dyDescent="0.25">
      <c r="B301" s="176">
        <v>42675</v>
      </c>
      <c r="C301" s="220">
        <v>2111.7199999999998</v>
      </c>
      <c r="D301" s="175">
        <f t="shared" ref="D301" si="920">(C301-C300)/C300</f>
        <v>-6.7869153164171348E-3</v>
      </c>
      <c r="E301" s="214">
        <f t="shared" ref="E301" si="921">(C301-$C$2)/$C$2</f>
        <v>4.4139190654666699E-3</v>
      </c>
      <c r="F301" s="224">
        <v>5153.57</v>
      </c>
      <c r="G301" s="175">
        <f t="shared" ref="G301" si="922">(F301-F300)/F300</f>
        <v>-6.8527864979294022E-3</v>
      </c>
      <c r="H301" s="208">
        <f t="shared" ref="H301" si="923">(F301-F$2)/F$2</f>
        <v>1.2151147946658267E-2</v>
      </c>
      <c r="I301" s="226">
        <v>360227.22</v>
      </c>
      <c r="J301" s="177">
        <v>400000</v>
      </c>
      <c r="K301" s="177">
        <f t="shared" ref="K301" si="924">I301-I300-J301+J300</f>
        <v>240.34999999997672</v>
      </c>
      <c r="L301" s="175">
        <f t="shared" ref="L301:L306" si="925">K301/I300</f>
        <v>6.6766324005088497E-4</v>
      </c>
      <c r="M301" s="187">
        <f t="shared" ref="M301" si="926">I301-J301</f>
        <v>-39772.780000000028</v>
      </c>
      <c r="N301" s="189">
        <f t="shared" ref="N301" si="927">M301/J301</f>
        <v>-9.9431950000000074E-2</v>
      </c>
      <c r="O301" s="187" t="b">
        <f t="shared" ref="O301" si="928">L301&gt;D301</f>
        <v>1</v>
      </c>
      <c r="P301" s="189">
        <f>COUNTIF(O$2:O301, TRUE)/(COUNTIF(O$2:O301,FALSE) + COUNTIF(O$2:O301, TRUE))</f>
        <v>0.49666666666666665</v>
      </c>
      <c r="Q301" s="177">
        <v>351313.75</v>
      </c>
      <c r="R301" s="177">
        <f t="shared" ref="R301" si="929">I301-Q301</f>
        <v>8913.4699999999721</v>
      </c>
      <c r="S301" s="177">
        <v>-56508</v>
      </c>
      <c r="T301" s="177">
        <f t="shared" ref="T301" si="930">M301-S301</f>
        <v>16735.219999999972</v>
      </c>
      <c r="U301" s="189">
        <f>STDEV(D$2:D301)*SQRT(252)</f>
        <v>0.16189028230482433</v>
      </c>
      <c r="V301" s="189">
        <f>STDEV(L$2:L301)*SQRT(252)</f>
        <v>0.34938237475224687</v>
      </c>
      <c r="W301" s="187">
        <f t="shared" ref="W301" si="931">N301/V301</f>
        <v>-0.28459349178821342</v>
      </c>
    </row>
    <row r="302" spans="1:23" ht="20.100000000000001" customHeight="1" x14ac:dyDescent="0.25">
      <c r="B302" s="176">
        <v>42676</v>
      </c>
      <c r="C302" s="220">
        <v>2097.94</v>
      </c>
      <c r="D302" s="175">
        <f t="shared" ref="D302" si="932">(C302-C301)/C301</f>
        <v>-6.525486333415295E-3</v>
      </c>
      <c r="E302" s="214">
        <f t="shared" ref="E302" si="933">(C302-$C$2)/$C$2</f>
        <v>-2.1403702364871293E-3</v>
      </c>
      <c r="F302" s="224">
        <v>5105.5600000000004</v>
      </c>
      <c r="G302" s="175">
        <f t="shared" ref="G302:G306" si="934">(F302-F301)/F301</f>
        <v>-9.3158722982319662E-3</v>
      </c>
      <c r="H302" s="208">
        <f t="shared" ref="H302" si="935">(F302-F$2)/F$2</f>
        <v>2.7220771058783086E-3</v>
      </c>
      <c r="I302" s="226">
        <v>350822.36</v>
      </c>
      <c r="J302" s="177">
        <v>400000</v>
      </c>
      <c r="K302" s="177">
        <f t="shared" ref="K302" si="936">I302-I301-J302+J301</f>
        <v>-9404.859999999986</v>
      </c>
      <c r="L302" s="175">
        <f t="shared" si="925"/>
        <v>-2.6108132528130403E-2</v>
      </c>
      <c r="M302" s="187">
        <f t="shared" ref="M302" si="937">I302-J302</f>
        <v>-49177.640000000014</v>
      </c>
      <c r="N302" s="189">
        <f t="shared" ref="N302" si="938">M302/J302</f>
        <v>-0.12294410000000003</v>
      </c>
      <c r="O302" s="187" t="b">
        <f t="shared" ref="O302" si="939">L302&gt;D302</f>
        <v>0</v>
      </c>
      <c r="P302" s="189">
        <f>COUNTIF(O$2:O302, TRUE)/(COUNTIF(O$2:O302,FALSE) + COUNTIF(O$2:O302, TRUE))</f>
        <v>0.49501661129568109</v>
      </c>
      <c r="Q302" s="177">
        <v>330288.3</v>
      </c>
      <c r="R302" s="177">
        <f t="shared" ref="R302" si="940">I302-Q302</f>
        <v>20534.059999999998</v>
      </c>
      <c r="S302" s="177">
        <v>-66283</v>
      </c>
      <c r="T302" s="177">
        <f t="shared" ref="T302" si="941">M302-S302</f>
        <v>17105.359999999986</v>
      </c>
      <c r="U302" s="189">
        <f>STDEV(D$2:D302)*SQRT(252)</f>
        <v>0.16173222652481728</v>
      </c>
      <c r="V302" s="189">
        <f>STDEV(L$2:L302)*SQRT(252)</f>
        <v>0.34963013361097944</v>
      </c>
      <c r="W302" s="187">
        <f t="shared" ref="W302" si="942">N302/V302</f>
        <v>-0.35164045710314945</v>
      </c>
    </row>
    <row r="303" spans="1:23" ht="20.100000000000001" customHeight="1" x14ac:dyDescent="0.25">
      <c r="B303" s="176">
        <v>42677</v>
      </c>
      <c r="C303" s="220">
        <v>2088.66</v>
      </c>
      <c r="D303" s="175">
        <f t="shared" ref="D303" si="943">(C303-C302)/C302</f>
        <v>-4.423386750812797E-3</v>
      </c>
      <c r="E303" s="214">
        <f t="shared" ref="E303" si="944">(C303-$C$2)/$C$2</f>
        <v>-6.5542893019540152E-3</v>
      </c>
      <c r="F303" s="224">
        <v>5058.3999999999996</v>
      </c>
      <c r="G303" s="175">
        <f t="shared" si="934"/>
        <v>-9.2369886946781082E-3</v>
      </c>
      <c r="H303" s="208">
        <f t="shared" ref="H303" si="945">(F303-F$2)/F$2</f>
        <v>-6.54005538425284E-3</v>
      </c>
      <c r="I303" s="226">
        <v>366923.87</v>
      </c>
      <c r="J303" s="177">
        <v>400000</v>
      </c>
      <c r="K303" s="177">
        <f t="shared" ref="K303" si="946">I303-I302-J303+J302</f>
        <v>16101.510000000009</v>
      </c>
      <c r="L303" s="175">
        <f t="shared" si="925"/>
        <v>4.5896475925878866E-2</v>
      </c>
      <c r="M303" s="187">
        <f t="shared" ref="M303" si="947">I303-J303</f>
        <v>-33076.130000000005</v>
      </c>
      <c r="N303" s="189">
        <f t="shared" ref="N303" si="948">M303/J303</f>
        <v>-8.2690325000000009E-2</v>
      </c>
      <c r="O303" s="187" t="b">
        <f t="shared" ref="O303" si="949">L303&gt;D303</f>
        <v>1</v>
      </c>
      <c r="P303" s="189">
        <f>COUNTIF(O$2:O303, TRUE)/(COUNTIF(O$2:O303,FALSE) + COUNTIF(O$2:O303, TRUE))</f>
        <v>0.49668874172185429</v>
      </c>
      <c r="Q303" s="177">
        <v>317968.34999999998</v>
      </c>
      <c r="R303" s="177">
        <f t="shared" ref="R303" si="950">I303-Q303</f>
        <v>48955.520000000019</v>
      </c>
      <c r="S303" s="177">
        <v>-47877</v>
      </c>
      <c r="T303" s="177">
        <f t="shared" ref="T303" si="951">M303-S303</f>
        <v>14800.869999999995</v>
      </c>
      <c r="U303" s="189">
        <f>STDEV(D$2:D303)*SQRT(252)</f>
        <v>0.16151419687276639</v>
      </c>
      <c r="V303" s="189">
        <f>STDEV(L$2:L303)*SQRT(252)</f>
        <v>0.35155170674162023</v>
      </c>
      <c r="W303" s="187">
        <f t="shared" ref="W303" si="952">N303/V303</f>
        <v>-0.23521525685771985</v>
      </c>
    </row>
    <row r="304" spans="1:23" ht="20.100000000000001" customHeight="1" x14ac:dyDescent="0.25">
      <c r="B304" s="176">
        <v>42678</v>
      </c>
      <c r="C304" s="220">
        <v>2085.1799999999998</v>
      </c>
      <c r="D304" s="175">
        <f t="shared" ref="D304:D306" si="953">(C304-C303)/C303</f>
        <v>-1.6661400132142227E-3</v>
      </c>
      <c r="E304" s="214">
        <f t="shared" ref="E304" si="954">(C304-$C$2)/$C$2</f>
        <v>-8.2095089515040708E-3</v>
      </c>
      <c r="F304" s="224">
        <v>5046.37</v>
      </c>
      <c r="G304" s="175">
        <f t="shared" si="934"/>
        <v>-2.3782223628024172E-3</v>
      </c>
      <c r="H304" s="208">
        <f t="shared" ref="H304" si="955">(F304-F$2)/F$2</f>
        <v>-8.9027240410864596E-3</v>
      </c>
      <c r="I304" s="226">
        <v>362921.09</v>
      </c>
      <c r="J304" s="177">
        <v>400000</v>
      </c>
      <c r="K304" s="177">
        <f t="shared" ref="K304" si="956">I304-I303-J304+J303</f>
        <v>-4002.7799999999697</v>
      </c>
      <c r="L304" s="175">
        <f t="shared" si="925"/>
        <v>-1.0909020446121343E-2</v>
      </c>
      <c r="M304" s="187">
        <f t="shared" ref="M304" si="957">I304-J304</f>
        <v>-37078.909999999974</v>
      </c>
      <c r="N304" s="189">
        <f t="shared" ref="N304" si="958">M304/J304</f>
        <v>-9.269727499999994E-2</v>
      </c>
      <c r="O304" s="187" t="b">
        <f t="shared" ref="O304" si="959">L304&gt;D304</f>
        <v>0</v>
      </c>
      <c r="P304" s="189">
        <f>COUNTIF(O$2:O304, TRUE)/(COUNTIF(O$2:O304,FALSE) + COUNTIF(O$2:O304, TRUE))</f>
        <v>0.49504950495049505</v>
      </c>
      <c r="Q304" s="177">
        <v>329130.11</v>
      </c>
      <c r="R304" s="177">
        <f t="shared" ref="R304" si="960">I304-Q304</f>
        <v>33790.98000000004</v>
      </c>
      <c r="S304" s="177">
        <v>-52170</v>
      </c>
      <c r="T304" s="177">
        <f t="shared" ref="T304" si="961">M304-S304</f>
        <v>15091.090000000026</v>
      </c>
      <c r="U304" s="189">
        <f>STDEV(D$2:D304)*SQRT(252)</f>
        <v>0.16125311992836353</v>
      </c>
      <c r="V304" s="189">
        <f>STDEV(L$2:L304)*SQRT(252)</f>
        <v>0.35111566598352262</v>
      </c>
      <c r="W304" s="187">
        <f t="shared" ref="W304" si="962">N304/V304</f>
        <v>-0.26400780136181706</v>
      </c>
    </row>
    <row r="305" spans="1:23" ht="20.100000000000001" customHeight="1" x14ac:dyDescent="0.25">
      <c r="A305" s="170" t="s">
        <v>330</v>
      </c>
      <c r="B305" s="249">
        <v>42701</v>
      </c>
      <c r="C305" s="250">
        <v>2213.35</v>
      </c>
      <c r="D305" s="175">
        <f t="shared" si="953"/>
        <v>6.1467115548777602E-2</v>
      </c>
      <c r="E305" s="251">
        <f t="shared" ref="E305" si="963">(C305-$C$2)/$C$2</f>
        <v>5.2752991761952708E-2</v>
      </c>
      <c r="F305" s="252">
        <v>5398.92</v>
      </c>
      <c r="G305" s="175">
        <f t="shared" si="934"/>
        <v>6.9862098894849206E-2</v>
      </c>
      <c r="H305" s="253">
        <f t="shared" ref="H305" si="964">(F305-F$2)/F$2</f>
        <v>6.0337411866370816E-2</v>
      </c>
      <c r="I305" s="584">
        <v>407026.88</v>
      </c>
      <c r="J305" s="255">
        <v>400000</v>
      </c>
      <c r="K305" s="255">
        <f t="shared" ref="K305" si="965">I305-I304-J305+J304</f>
        <v>44105.789999999979</v>
      </c>
      <c r="L305" s="175">
        <f t="shared" si="925"/>
        <v>0.12152997225925882</v>
      </c>
      <c r="M305" s="256">
        <f t="shared" ref="M305" si="966">I305-J305</f>
        <v>7026.8800000000047</v>
      </c>
      <c r="N305" s="257">
        <f t="shared" ref="N305" si="967">M305/J305</f>
        <v>1.7567200000000012E-2</v>
      </c>
      <c r="O305" s="256" t="b">
        <f t="shared" ref="O305" si="968">L305&gt;D305</f>
        <v>1</v>
      </c>
      <c r="P305" s="257">
        <f>COUNTIF(O$2:O305, TRUE)/(COUNTIF(O$2:O305,FALSE) + COUNTIF(O$2:O305, TRUE))</f>
        <v>0.49671052631578949</v>
      </c>
      <c r="Q305" s="255">
        <v>282065.34000000003</v>
      </c>
      <c r="R305" s="255">
        <f t="shared" ref="R305" si="969">I305-Q305</f>
        <v>124961.53999999998</v>
      </c>
      <c r="S305" s="255">
        <v>-28519</v>
      </c>
      <c r="T305" s="255">
        <f t="shared" ref="T305" si="970">M305-S305</f>
        <v>35545.880000000005</v>
      </c>
      <c r="U305" s="257">
        <f>STDEV(D$2:D305)*SQRT(252)</f>
        <v>0.17045897478056438</v>
      </c>
      <c r="V305" s="257">
        <f>STDEV(L$2:L305)*SQRT(252)</f>
        <v>0.36757496684562585</v>
      </c>
      <c r="W305" s="256">
        <f t="shared" ref="W305" si="971">N305/V305</f>
        <v>4.7792155572383921E-2</v>
      </c>
    </row>
    <row r="306" spans="1:23" ht="20.100000000000001" customHeight="1" x14ac:dyDescent="0.25">
      <c r="B306" s="176">
        <v>42702</v>
      </c>
      <c r="C306" s="220">
        <v>2201.7199999999998</v>
      </c>
      <c r="D306" s="175">
        <f t="shared" si="953"/>
        <v>-5.2544785054329905E-3</v>
      </c>
      <c r="E306" s="214">
        <f t="shared" ref="E306" si="972">(C306-$C$2)/$C$2</f>
        <v>4.7221323795209255E-2</v>
      </c>
      <c r="F306" s="224">
        <v>5368.81</v>
      </c>
      <c r="G306" s="175">
        <f t="shared" si="934"/>
        <v>-5.5770413341927035E-3</v>
      </c>
      <c r="H306" s="208">
        <f t="shared" ref="H306" si="973">(F306-F$2)/F$2</f>
        <v>5.4423866292201147E-2</v>
      </c>
      <c r="I306" s="226">
        <v>401105.48</v>
      </c>
      <c r="J306" s="177">
        <v>400000</v>
      </c>
      <c r="K306" s="177">
        <f t="shared" ref="K306" si="974">I306-I305-J306+J305</f>
        <v>-5921.4000000000233</v>
      </c>
      <c r="L306" s="175">
        <f t="shared" si="925"/>
        <v>-1.4547933541883089E-2</v>
      </c>
      <c r="M306" s="187">
        <f t="shared" ref="M306" si="975">I306-J306</f>
        <v>1105.4799999999814</v>
      </c>
      <c r="N306" s="189">
        <f t="shared" ref="N306" si="976">M306/J306</f>
        <v>2.7636999999999536E-3</v>
      </c>
      <c r="O306" s="187" t="b">
        <f t="shared" ref="O306" si="977">L306&gt;D306</f>
        <v>0</v>
      </c>
      <c r="P306" s="189">
        <f>COUNTIF(O$2:O306, TRUE)/(COUNTIF(O$2:O306,FALSE) + COUNTIF(O$2:O306, TRUE))</f>
        <v>0.49508196721311476</v>
      </c>
      <c r="Q306" s="177">
        <v>286740.21999999997</v>
      </c>
      <c r="R306" s="177">
        <f t="shared" ref="R306" si="978">I306-Q306</f>
        <v>114365.26000000001</v>
      </c>
      <c r="S306" s="177">
        <v>-27948</v>
      </c>
      <c r="T306" s="177">
        <f t="shared" ref="T306" si="979">M306-S306</f>
        <v>29053.479999999981</v>
      </c>
      <c r="U306" s="189">
        <f>STDEV(D$2:D306)*SQRT(252)</f>
        <v>0.17025062089045567</v>
      </c>
      <c r="V306" s="189">
        <f>STDEV(L$2:L306)*SQRT(252)</f>
        <v>0.36722797653623318</v>
      </c>
      <c r="W306" s="187">
        <f t="shared" ref="W306:W312" si="980">N306/V306</f>
        <v>7.5258427368952606E-3</v>
      </c>
    </row>
    <row r="307" spans="1:23" ht="20.100000000000001" customHeight="1" x14ac:dyDescent="0.25">
      <c r="B307" s="176">
        <v>42703</v>
      </c>
      <c r="C307" s="220">
        <v>2204.66</v>
      </c>
      <c r="D307" s="175">
        <f t="shared" ref="D307:D316" si="981">(C307-C306)/C306</f>
        <v>1.3353196591755787E-3</v>
      </c>
      <c r="E307" s="214">
        <f t="shared" ref="E307" si="982">(C307-$C$2)/$C$2</f>
        <v>4.8619699016380871E-2</v>
      </c>
      <c r="F307" s="224">
        <v>5379.91</v>
      </c>
      <c r="G307" s="175">
        <f t="shared" ref="G307:G321" si="983">(F307-F306)/F306</f>
        <v>2.0674972666195031E-3</v>
      </c>
      <c r="H307" s="208">
        <f t="shared" ref="H307" si="984">(F307-F$2)/F$2</f>
        <v>5.6603884753618647E-2</v>
      </c>
      <c r="I307" s="226">
        <v>393567.36</v>
      </c>
      <c r="J307" s="177">
        <v>400000</v>
      </c>
      <c r="K307" s="177">
        <f t="shared" ref="K307" si="985">I307-I306-J307+J306</f>
        <v>-7538.1199999999953</v>
      </c>
      <c r="L307" s="175">
        <f t="shared" ref="L307:L321" si="986">K307/I306</f>
        <v>-1.8793360788788016E-2</v>
      </c>
      <c r="M307" s="187">
        <f t="shared" ref="M307" si="987">I307-J307</f>
        <v>-6432.640000000014</v>
      </c>
      <c r="N307" s="189">
        <f t="shared" ref="N307" si="988">M307/J307</f>
        <v>-1.6081600000000036E-2</v>
      </c>
      <c r="O307" s="187" t="b">
        <f t="shared" ref="O307" si="989">L307&gt;D307</f>
        <v>0</v>
      </c>
      <c r="P307" s="189">
        <f>COUNTIF(O$2:O307, TRUE)/(COUNTIF(O$2:O307,FALSE) + COUNTIF(O$2:O307, TRUE))</f>
        <v>0.49346405228758172</v>
      </c>
      <c r="Q307" s="177">
        <v>283628.3</v>
      </c>
      <c r="R307" s="177">
        <f t="shared" ref="R307" si="990">I307-Q307</f>
        <v>109939.06</v>
      </c>
      <c r="S307" s="177">
        <v>-33267</v>
      </c>
      <c r="T307" s="177">
        <f t="shared" ref="T307" si="991">M307-S307</f>
        <v>26834.359999999986</v>
      </c>
      <c r="U307" s="189">
        <f>STDEV(D$2:D307)*SQRT(252)</f>
        <v>0.16997345622567742</v>
      </c>
      <c r="V307" s="189">
        <f>STDEV(L$2:L307)*SQRT(252)</f>
        <v>0.36704612962809202</v>
      </c>
      <c r="W307" s="187">
        <f t="shared" si="980"/>
        <v>-4.3813566475403652E-2</v>
      </c>
    </row>
    <row r="308" spans="1:23" ht="20.100000000000001" customHeight="1" x14ac:dyDescent="0.25">
      <c r="B308" s="176">
        <v>42704</v>
      </c>
      <c r="C308" s="220">
        <v>2198.81</v>
      </c>
      <c r="D308" s="175">
        <f t="shared" si="981"/>
        <v>-2.6534703763845262E-3</v>
      </c>
      <c r="E308" s="214">
        <f t="shared" ref="E308" si="992">(C308-$C$2)/$C$2</f>
        <v>4.5837217708947643E-2</v>
      </c>
      <c r="F308" s="224">
        <v>5323.68</v>
      </c>
      <c r="G308" s="175">
        <f t="shared" si="983"/>
        <v>-1.0451847707489449E-2</v>
      </c>
      <c r="H308" s="208">
        <f t="shared" ref="H308" si="993">(F308-F$2)/F$2</f>
        <v>4.5560421863032087E-2</v>
      </c>
      <c r="I308" s="490">
        <v>366163.6</v>
      </c>
      <c r="J308" s="177">
        <v>350000</v>
      </c>
      <c r="K308" s="177">
        <f t="shared" ref="K308" si="994">I308-I307-J308+J307</f>
        <v>22596.239999999991</v>
      </c>
      <c r="L308" s="175">
        <f t="shared" si="986"/>
        <v>5.7413907494767838E-2</v>
      </c>
      <c r="M308" s="490">
        <f t="shared" ref="M308" si="995">I308-J308</f>
        <v>16163.599999999977</v>
      </c>
      <c r="N308" s="189">
        <f t="shared" ref="N308" si="996">M308/J308</f>
        <v>4.6181714285714222E-2</v>
      </c>
      <c r="O308" s="187" t="b">
        <f t="shared" ref="O308" si="997">L308&gt;D308</f>
        <v>1</v>
      </c>
      <c r="P308" s="189">
        <f>COUNTIF(O$2:O308, TRUE)/(COUNTIF(O$2:O308,FALSE) + COUNTIF(O$2:O308, TRUE))</f>
        <v>0.49511400651465798</v>
      </c>
      <c r="Q308" s="177">
        <v>248009.28</v>
      </c>
      <c r="R308" s="177">
        <f t="shared" ref="R308" si="998">I308-Q308</f>
        <v>118154.31999999998</v>
      </c>
      <c r="S308" s="177">
        <v>-30474</v>
      </c>
      <c r="T308" s="177">
        <f t="shared" ref="T308" si="999">M308-S308</f>
        <v>46637.599999999977</v>
      </c>
      <c r="U308" s="189">
        <f>STDEV(D$2:D308)*SQRT(252)</f>
        <v>0.16971451435778193</v>
      </c>
      <c r="V308" s="189">
        <f>STDEV(L$2:L308)*SQRT(252)</f>
        <v>0.37006384127225039</v>
      </c>
      <c r="W308" s="187">
        <f t="shared" si="980"/>
        <v>0.12479391157737843</v>
      </c>
    </row>
    <row r="309" spans="1:23" ht="20.100000000000001" customHeight="1" x14ac:dyDescent="0.25">
      <c r="B309" s="176">
        <v>42705</v>
      </c>
      <c r="C309" s="220">
        <v>2191.08</v>
      </c>
      <c r="D309" s="175">
        <f t="shared" si="981"/>
        <v>-3.5155379500730025E-3</v>
      </c>
      <c r="E309" s="214">
        <f t="shared" ref="E309" si="1000">(C309-$C$2)/$C$2</f>
        <v>4.2160537280493078E-2</v>
      </c>
      <c r="F309" s="224">
        <v>5251.1</v>
      </c>
      <c r="G309" s="175">
        <f t="shared" si="983"/>
        <v>-1.3633426501968549E-2</v>
      </c>
      <c r="H309" s="208">
        <f t="shared" ref="H309" si="1001">(F309-F$2)/F$2</f>
        <v>3.1305850698195213E-2</v>
      </c>
      <c r="I309" s="226">
        <v>361692.5</v>
      </c>
      <c r="J309" s="177">
        <v>350000</v>
      </c>
      <c r="K309" s="177">
        <f t="shared" ref="K309" si="1002">I309-I308-J309+J308</f>
        <v>-4471.0999999999767</v>
      </c>
      <c r="L309" s="175">
        <f t="shared" si="986"/>
        <v>-1.2210662119336758E-2</v>
      </c>
      <c r="M309" s="187">
        <f t="shared" ref="M309" si="1003">I309-J309</f>
        <v>11692.5</v>
      </c>
      <c r="N309" s="189">
        <f t="shared" ref="N309" si="1004">M309/J309</f>
        <v>3.3407142857142857E-2</v>
      </c>
      <c r="O309" s="187" t="b">
        <f t="shared" ref="O309" si="1005">L309&gt;D309</f>
        <v>0</v>
      </c>
      <c r="P309" s="189">
        <f>COUNTIF(O$2:O309, TRUE)/(COUNTIF(O$2:O309,FALSE) + COUNTIF(O$2:O309, TRUE))</f>
        <v>0.4935064935064935</v>
      </c>
      <c r="Q309" s="177">
        <v>254063.2</v>
      </c>
      <c r="R309" s="177">
        <f t="shared" ref="R309" si="1006">I309-Q309</f>
        <v>107629.29999999999</v>
      </c>
      <c r="S309" s="177">
        <v>-33426</v>
      </c>
      <c r="T309" s="177">
        <f t="shared" ref="T309" si="1007">M309-S309</f>
        <v>45118.5</v>
      </c>
      <c r="U309" s="189">
        <f>STDEV(D$2:D309)*SQRT(252)</f>
        <v>0.16947047230211157</v>
      </c>
      <c r="V309" s="189">
        <f>STDEV(L$2:L309)*SQRT(252)</f>
        <v>0.36964383438211174</v>
      </c>
      <c r="W309" s="187">
        <f t="shared" si="980"/>
        <v>9.0376572662128882E-2</v>
      </c>
    </row>
    <row r="310" spans="1:23" ht="20.100000000000001" customHeight="1" x14ac:dyDescent="0.25">
      <c r="B310" s="176">
        <v>42706</v>
      </c>
      <c r="C310" s="220">
        <v>2191.9499999999998</v>
      </c>
      <c r="D310" s="175">
        <f t="shared" si="981"/>
        <v>3.9706446136147054E-4</v>
      </c>
      <c r="E310" s="214">
        <f t="shared" ref="E310" si="1008">(C310-$C$2)/$C$2</f>
        <v>4.2574342192880539E-2</v>
      </c>
      <c r="F310" s="224">
        <v>5255.65</v>
      </c>
      <c r="G310" s="175">
        <f t="shared" si="983"/>
        <v>8.664851174038339E-4</v>
      </c>
      <c r="H310" s="208">
        <f t="shared" ref="H310" si="1009">(F310-F$2)/F$2</f>
        <v>3.2199461869316694E-2</v>
      </c>
      <c r="I310" s="226">
        <v>313669.12</v>
      </c>
      <c r="J310" s="177">
        <v>300000</v>
      </c>
      <c r="K310" s="177">
        <f t="shared" ref="K310" si="1010">I310-I309-J310+J309</f>
        <v>1976.6199999999953</v>
      </c>
      <c r="L310" s="175">
        <f t="shared" si="986"/>
        <v>5.4649184044457521E-3</v>
      </c>
      <c r="M310" s="187">
        <f t="shared" ref="M310" si="1011">I310-J310</f>
        <v>13669.119999999995</v>
      </c>
      <c r="N310" s="189">
        <f t="shared" ref="N310" si="1012">M310/J310</f>
        <v>4.5563733333333314E-2</v>
      </c>
      <c r="O310" s="187" t="b">
        <f t="shared" ref="O310" si="1013">L310&gt;D310</f>
        <v>1</v>
      </c>
      <c r="P310" s="189">
        <f>COUNTIF(O$2:O310, TRUE)/(COUNTIF(O$2:O310,FALSE) + COUNTIF(O$2:O310, TRUE))</f>
        <v>0.49514563106796117</v>
      </c>
      <c r="Q310" s="177">
        <v>254064.2</v>
      </c>
      <c r="R310" s="177">
        <f t="shared" ref="R310" si="1014">I310-Q310</f>
        <v>59604.919999999984</v>
      </c>
      <c r="S310" s="177">
        <v>-33097</v>
      </c>
      <c r="T310" s="177">
        <f t="shared" ref="T310" si="1015">M310-S310</f>
        <v>46766.119999999995</v>
      </c>
      <c r="U310" s="189">
        <f>STDEV(D$2:D310)*SQRT(252)</f>
        <v>0.16919433911473156</v>
      </c>
      <c r="V310" s="189">
        <f>STDEV(L$2:L310)*SQRT(252)</f>
        <v>0.36906691391637653</v>
      </c>
      <c r="W310" s="187">
        <f t="shared" si="980"/>
        <v>0.12345656469129385</v>
      </c>
    </row>
    <row r="311" spans="1:23" ht="20.100000000000001" customHeight="1" x14ac:dyDescent="0.25">
      <c r="B311" s="249">
        <v>42709</v>
      </c>
      <c r="C311" s="250">
        <v>2204.71</v>
      </c>
      <c r="D311" s="175">
        <f t="shared" si="981"/>
        <v>5.821300668354761E-3</v>
      </c>
      <c r="E311" s="251">
        <f t="shared" ref="E311" si="1016">(C311-$C$2)/$C$2</f>
        <v>4.8643480907897482E-2</v>
      </c>
      <c r="F311" s="252">
        <v>5308.89</v>
      </c>
      <c r="G311" s="175">
        <f t="shared" si="983"/>
        <v>1.0130050517062722E-2</v>
      </c>
      <c r="H311" s="253">
        <f t="shared" ref="H311" si="1017">(F311-F$2)/F$2</f>
        <v>4.2655694561737831E-2</v>
      </c>
      <c r="I311" s="584">
        <v>315749.27</v>
      </c>
      <c r="J311" s="255">
        <v>300000</v>
      </c>
      <c r="K311" s="255">
        <f t="shared" ref="K311" si="1018">I311-I310-J311+J310</f>
        <v>2080.1500000000233</v>
      </c>
      <c r="L311" s="175">
        <f t="shared" si="986"/>
        <v>6.6316697034123837E-3</v>
      </c>
      <c r="M311" s="256">
        <f t="shared" ref="M311" si="1019">I311-J311</f>
        <v>15749.270000000019</v>
      </c>
      <c r="N311" s="257">
        <f t="shared" ref="N311" si="1020">M311/J311</f>
        <v>5.2497566666666731E-2</v>
      </c>
      <c r="O311" s="256" t="b">
        <f t="shared" ref="O311" si="1021">L311&gt;D311</f>
        <v>1</v>
      </c>
      <c r="P311" s="257">
        <f>COUNTIF(O$2:O311, TRUE)/(COUNTIF(O$2:O311,FALSE) + COUNTIF(O$2:O311, TRUE))</f>
        <v>0.49677419354838709</v>
      </c>
      <c r="Q311" s="255">
        <v>256362.35</v>
      </c>
      <c r="R311" s="255">
        <f t="shared" ref="R311" si="1022">I311-Q311</f>
        <v>59386.920000000013</v>
      </c>
      <c r="S311" s="255">
        <v>-31763</v>
      </c>
      <c r="T311" s="255">
        <f t="shared" ref="T311" si="1023">M311-S311</f>
        <v>47512.270000000019</v>
      </c>
      <c r="U311" s="257">
        <f>STDEV(D$2:D311)*SQRT(252)</f>
        <v>0.16899593279406544</v>
      </c>
      <c r="V311" s="257">
        <f>STDEV(L$2:L311)*SQRT(252)</f>
        <v>0.3685065540926854</v>
      </c>
      <c r="W311" s="256">
        <f t="shared" si="980"/>
        <v>0.14246033369996111</v>
      </c>
    </row>
    <row r="312" spans="1:23" ht="20.100000000000001" customHeight="1" x14ac:dyDescent="0.25">
      <c r="B312" s="249">
        <v>42710</v>
      </c>
      <c r="C312" s="250">
        <v>2212.23</v>
      </c>
      <c r="D312" s="175">
        <f t="shared" si="981"/>
        <v>3.4108794353905872E-3</v>
      </c>
      <c r="E312" s="251">
        <f t="shared" ref="E312" si="1024">(C312-$C$2)/$C$2</f>
        <v>5.2220277391982629E-2</v>
      </c>
      <c r="F312" s="252">
        <v>5333</v>
      </c>
      <c r="G312" s="175">
        <f t="shared" si="983"/>
        <v>4.5414389825367768E-3</v>
      </c>
      <c r="H312" s="253">
        <f t="shared" ref="H312" si="1025">(F312-F$2)/F$2</f>
        <v>4.7390851778384466E-2</v>
      </c>
      <c r="I312" s="584">
        <v>317812.25</v>
      </c>
      <c r="J312" s="255">
        <v>300000</v>
      </c>
      <c r="K312" s="255">
        <f t="shared" ref="K312" si="1026">I312-I311-J312+J311</f>
        <v>2062.9799999999814</v>
      </c>
      <c r="L312" s="175">
        <f t="shared" si="986"/>
        <v>6.5336018037349102E-3</v>
      </c>
      <c r="M312" s="256">
        <f t="shared" ref="M312" si="1027">I312-J312</f>
        <v>17812.25</v>
      </c>
      <c r="N312" s="257">
        <f t="shared" ref="N312" si="1028">M312/J312</f>
        <v>5.9374166666666665E-2</v>
      </c>
      <c r="O312" s="256" t="b">
        <f t="shared" ref="O312" si="1029">L312&gt;D312</f>
        <v>1</v>
      </c>
      <c r="P312" s="257">
        <f>COUNTIF(O$2:O312, TRUE)/(COUNTIF(O$2:O312,FALSE) + COUNTIF(O$2:O312, TRUE))</f>
        <v>0.49839228295819937</v>
      </c>
      <c r="Q312" s="255">
        <v>247476.7</v>
      </c>
      <c r="R312" s="255">
        <f t="shared" ref="R312" si="1030">I312-Q312</f>
        <v>70335.549999999988</v>
      </c>
      <c r="S312" s="255">
        <v>-30573</v>
      </c>
      <c r="T312" s="255">
        <f t="shared" ref="T312" si="1031">M312-S312</f>
        <v>48385.25</v>
      </c>
      <c r="U312" s="257">
        <f>STDEV(D$2:D312)*SQRT(252)</f>
        <v>0.1687469337814691</v>
      </c>
      <c r="V312" s="257">
        <f>STDEV(L$2:L312)*SQRT(252)</f>
        <v>0.36794744748761488</v>
      </c>
      <c r="W312" s="256">
        <f t="shared" si="980"/>
        <v>0.16136588817799913</v>
      </c>
    </row>
    <row r="313" spans="1:23" ht="20.100000000000001" customHeight="1" x14ac:dyDescent="0.25">
      <c r="B313" s="249">
        <v>42711</v>
      </c>
      <c r="C313" s="250">
        <v>2241.35</v>
      </c>
      <c r="D313" s="175">
        <f t="shared" si="981"/>
        <v>1.316318827608336E-2</v>
      </c>
      <c r="E313" s="251">
        <f t="shared" ref="E313" si="1032">(C313-$C$2)/$C$2</f>
        <v>6.6070851011205953E-2</v>
      </c>
      <c r="F313" s="252">
        <v>5393.76</v>
      </c>
      <c r="G313" s="175">
        <f t="shared" si="983"/>
        <v>1.1393212075754776E-2</v>
      </c>
      <c r="H313" s="253">
        <f t="shared" ref="H313" si="1033">(F313-F$2)/F$2</f>
        <v>5.9323997878901039E-2</v>
      </c>
      <c r="I313" s="584">
        <v>321172.03999999998</v>
      </c>
      <c r="J313" s="255">
        <v>300000</v>
      </c>
      <c r="K313" s="255">
        <f t="shared" ref="K313" si="1034">I313-I312-J313+J312</f>
        <v>3359.789999999979</v>
      </c>
      <c r="L313" s="175">
        <f t="shared" si="986"/>
        <v>1.0571618935393394E-2</v>
      </c>
      <c r="M313" s="256">
        <f t="shared" ref="M313" si="1035">I313-J313</f>
        <v>21172.039999999979</v>
      </c>
      <c r="N313" s="257">
        <f t="shared" ref="N313" si="1036">M313/J313</f>
        <v>7.0573466666666598E-2</v>
      </c>
      <c r="O313" s="256" t="b">
        <f t="shared" ref="O313" si="1037">L313&gt;D313</f>
        <v>0</v>
      </c>
      <c r="P313" s="257">
        <f>COUNTIF(O$2:O313, TRUE)/(COUNTIF(O$2:O313,FALSE) + COUNTIF(O$2:O313, TRUE))</f>
        <v>0.49679487179487181</v>
      </c>
      <c r="Q313" s="255">
        <v>220777.60000000001</v>
      </c>
      <c r="R313" s="255">
        <f t="shared" ref="R313" si="1038">I313-Q313</f>
        <v>100394.43999999997</v>
      </c>
      <c r="S313" s="255">
        <v>-30508</v>
      </c>
      <c r="T313" s="255">
        <f t="shared" ref="T313" si="1039">M313-S313</f>
        <v>51680.039999999979</v>
      </c>
      <c r="U313" s="257">
        <f>STDEV(D$2:D313)*SQRT(252)</f>
        <v>0.16887690023643279</v>
      </c>
      <c r="V313" s="257">
        <f>STDEV(L$2:L313)*SQRT(252)</f>
        <v>0.36746067349044381</v>
      </c>
      <c r="W313" s="256">
        <f t="shared" ref="W313" si="1040">N313/V313</f>
        <v>0.19205719620633616</v>
      </c>
    </row>
    <row r="314" spans="1:23" ht="20.100000000000001" customHeight="1" x14ac:dyDescent="0.25">
      <c r="B314" s="249">
        <v>42712</v>
      </c>
      <c r="C314" s="250">
        <v>2246.19</v>
      </c>
      <c r="D314" s="175">
        <f t="shared" si="981"/>
        <v>2.1594128538604618E-3</v>
      </c>
      <c r="E314" s="251">
        <f t="shared" ref="E314" si="1041">(C314-$C$2)/$C$2</f>
        <v>6.8372938110005513E-2</v>
      </c>
      <c r="F314" s="252">
        <v>5417.35</v>
      </c>
      <c r="G314" s="175">
        <f t="shared" si="983"/>
        <v>4.3735724244312211E-3</v>
      </c>
      <c r="H314" s="253">
        <f t="shared" ref="H314" si="1042">(F314-F$2)/F$2</f>
        <v>6.3957028104562441E-2</v>
      </c>
      <c r="I314" s="584">
        <v>322327.21999999997</v>
      </c>
      <c r="J314" s="255">
        <v>300000</v>
      </c>
      <c r="K314" s="255">
        <f t="shared" ref="K314" si="1043">I314-I313-J314+J313</f>
        <v>1155.179999999993</v>
      </c>
      <c r="L314" s="175">
        <f t="shared" si="986"/>
        <v>3.596763902611177E-3</v>
      </c>
      <c r="M314" s="256">
        <f t="shared" ref="M314" si="1044">I314-J314</f>
        <v>22327.219999999972</v>
      </c>
      <c r="N314" s="257">
        <f t="shared" ref="N314" si="1045">M314/J314</f>
        <v>7.442406666666658E-2</v>
      </c>
      <c r="O314" s="256" t="b">
        <f t="shared" ref="O314" si="1046">L314&gt;D314</f>
        <v>1</v>
      </c>
      <c r="P314" s="257">
        <f>COUNTIF(O$2:O314, TRUE)/(COUNTIF(O$2:O314,FALSE) + COUNTIF(O$2:O314, TRUE))</f>
        <v>0.49840255591054311</v>
      </c>
      <c r="Q314" s="255">
        <v>216214.39999999999</v>
      </c>
      <c r="R314" s="255">
        <f t="shared" ref="R314" si="1047">I314-Q314</f>
        <v>106112.81999999998</v>
      </c>
      <c r="S314" s="255">
        <v>-30163</v>
      </c>
      <c r="T314" s="255">
        <f t="shared" ref="T314" si="1048">M314-S314</f>
        <v>52490.219999999972</v>
      </c>
      <c r="U314" s="257">
        <f>STDEV(D$2:D314)*SQRT(252)</f>
        <v>0.16861379822258454</v>
      </c>
      <c r="V314" s="257">
        <f>STDEV(L$2:L314)*SQRT(252)</f>
        <v>0.36687837723498989</v>
      </c>
      <c r="W314" s="256">
        <f t="shared" ref="W314" si="1049">N314/V314</f>
        <v>0.20285759882490184</v>
      </c>
    </row>
    <row r="315" spans="1:23" ht="20.100000000000001" customHeight="1" x14ac:dyDescent="0.25">
      <c r="B315" s="249">
        <v>42713</v>
      </c>
      <c r="C315" s="250">
        <v>2259.5300000000002</v>
      </c>
      <c r="D315" s="175">
        <f t="shared" si="981"/>
        <v>5.9389455032744986E-3</v>
      </c>
      <c r="E315" s="251">
        <f t="shared" ref="E315" si="1050">(C315-$C$2)/$C$2</f>
        <v>7.4717946766614099E-2</v>
      </c>
      <c r="F315" s="252">
        <v>5444.49</v>
      </c>
      <c r="G315" s="175">
        <f t="shared" si="983"/>
        <v>5.0098295291977476E-3</v>
      </c>
      <c r="H315" s="253">
        <f t="shared" ref="H315" si="1051">(F315-F$2)/F$2</f>
        <v>6.9287271441758155E-2</v>
      </c>
      <c r="I315" s="584">
        <v>323626.28000000003</v>
      </c>
      <c r="J315" s="255">
        <v>300000</v>
      </c>
      <c r="K315" s="255">
        <f t="shared" ref="K315" si="1052">I315-I314-J315+J314</f>
        <v>1299.0600000000559</v>
      </c>
      <c r="L315" s="175">
        <f t="shared" si="986"/>
        <v>4.0302522387034396E-3</v>
      </c>
      <c r="M315" s="256">
        <f t="shared" ref="M315" si="1053">I315-J315</f>
        <v>23626.280000000028</v>
      </c>
      <c r="N315" s="257">
        <f t="shared" ref="N315" si="1054">M315/J315</f>
        <v>7.8754266666666753E-2</v>
      </c>
      <c r="O315" s="256" t="b">
        <f t="shared" ref="O315" si="1055">L315&gt;D315</f>
        <v>0</v>
      </c>
      <c r="P315" s="257">
        <f>COUNTIF(O$2:O315, TRUE)/(COUNTIF(O$2:O315,FALSE) + COUNTIF(O$2:O315, TRUE))</f>
        <v>0.49681528662420382</v>
      </c>
      <c r="Q315" s="255">
        <v>204478.8</v>
      </c>
      <c r="R315" s="255">
        <f t="shared" ref="R315" si="1056">I315-Q315</f>
        <v>119147.48000000004</v>
      </c>
      <c r="S315" s="255">
        <v>-28680</v>
      </c>
      <c r="T315" s="255">
        <f t="shared" ref="T315" si="1057">M315-S315</f>
        <v>52306.280000000028</v>
      </c>
      <c r="U315" s="257">
        <f>STDEV(D$2:D315)*SQRT(252)</f>
        <v>0.16842024942459102</v>
      </c>
      <c r="V315" s="257">
        <f>STDEV(L$2:L315)*SQRT(252)</f>
        <v>0.36630175469945664</v>
      </c>
      <c r="W315" s="256">
        <f t="shared" ref="W315" si="1058">N315/V315</f>
        <v>0.21499833308547231</v>
      </c>
    </row>
    <row r="316" spans="1:23" ht="20.100000000000001" customHeight="1" x14ac:dyDescent="0.25">
      <c r="B316" s="176">
        <v>42716</v>
      </c>
      <c r="C316" s="220">
        <v>2256.96</v>
      </c>
      <c r="D316" s="175">
        <f t="shared" si="981"/>
        <v>-1.137404681504633E-3</v>
      </c>
      <c r="E316" s="214">
        <f t="shared" ref="E316" si="1059">(C316-$C$2)/$C$2</f>
        <v>7.3495557542664708E-2</v>
      </c>
      <c r="F316" s="224">
        <v>5412.54</v>
      </c>
      <c r="G316" s="175">
        <f t="shared" si="983"/>
        <v>-5.8683182446840421E-3</v>
      </c>
      <c r="H316" s="208">
        <f t="shared" ref="H316" si="1060">(F316-F$2)/F$2</f>
        <v>6.301235343794806E-2</v>
      </c>
      <c r="I316" s="226">
        <v>324351.42</v>
      </c>
      <c r="J316" s="177">
        <v>300000</v>
      </c>
      <c r="K316" s="177">
        <f t="shared" ref="K316" si="1061">I316-I315-J316+J315</f>
        <v>725.13999999995576</v>
      </c>
      <c r="L316" s="175">
        <f t="shared" si="986"/>
        <v>2.2406709368595025E-3</v>
      </c>
      <c r="M316" s="187">
        <f t="shared" ref="M316" si="1062">I316-J316</f>
        <v>24351.419999999984</v>
      </c>
      <c r="N316" s="189">
        <f t="shared" ref="N316" si="1063">M316/J316</f>
        <v>8.1171399999999949E-2</v>
      </c>
      <c r="O316" s="187" t="b">
        <f t="shared" ref="O316" si="1064">L316&gt;D316</f>
        <v>1</v>
      </c>
      <c r="P316" s="189">
        <f>COUNTIF(O$2:O316, TRUE)/(COUNTIF(O$2:O316,FALSE) + COUNTIF(O$2:O316, TRUE))</f>
        <v>0.49841269841269842</v>
      </c>
      <c r="Q316" s="177">
        <v>230456.1</v>
      </c>
      <c r="R316" s="177">
        <f t="shared" ref="R316" si="1065">I316-Q316</f>
        <v>93895.319999999978</v>
      </c>
      <c r="S316" s="177">
        <v>-29165</v>
      </c>
      <c r="T316" s="177">
        <f t="shared" ref="T316" si="1066">M316-S316</f>
        <v>53516.419999999984</v>
      </c>
      <c r="U316" s="189">
        <f>STDEV(D$2:D316)*SQRT(252)</f>
        <v>0.16815582865464937</v>
      </c>
      <c r="V316" s="189">
        <f>STDEV(L$2:L316)*SQRT(252)</f>
        <v>0.36571853063602927</v>
      </c>
      <c r="W316" s="187">
        <f t="shared" ref="W316" si="1067">N316/V316</f>
        <v>0.22195047064974519</v>
      </c>
    </row>
    <row r="317" spans="1:23" ht="20.100000000000001" customHeight="1" x14ac:dyDescent="0.25">
      <c r="B317" s="176">
        <v>42717</v>
      </c>
      <c r="C317" s="220">
        <v>2271.7199999999998</v>
      </c>
      <c r="D317" s="175">
        <f t="shared" ref="D317" si="1068">(C317-C316)/C316</f>
        <v>6.539770310506063E-3</v>
      </c>
      <c r="E317" s="214">
        <f t="shared" ref="E317" si="1069">(C317-$C$2)/$C$2</f>
        <v>8.051597191834238E-2</v>
      </c>
      <c r="F317" s="224">
        <v>5463.82</v>
      </c>
      <c r="G317" s="175">
        <f t="shared" si="983"/>
        <v>9.47429487819023E-3</v>
      </c>
      <c r="H317" s="208">
        <f t="shared" ref="H317" si="1070">(F317-F$2)/F$2</f>
        <v>7.3083645933578162E-2</v>
      </c>
      <c r="I317" s="226">
        <v>326932.27</v>
      </c>
      <c r="J317" s="177">
        <v>300000</v>
      </c>
      <c r="K317" s="177">
        <f t="shared" ref="K317" si="1071">I317-I316-J317+J316</f>
        <v>2580.8500000000349</v>
      </c>
      <c r="L317" s="175">
        <f t="shared" si="986"/>
        <v>7.9569560694386209E-3</v>
      </c>
      <c r="M317" s="187">
        <f t="shared" ref="M317" si="1072">I317-J317</f>
        <v>26932.270000000019</v>
      </c>
      <c r="N317" s="189">
        <f t="shared" ref="N317" si="1073">M317/J317</f>
        <v>8.9774233333333397E-2</v>
      </c>
      <c r="O317" s="187" t="b">
        <f t="shared" ref="O317" si="1074">L317&gt;D317</f>
        <v>1</v>
      </c>
      <c r="P317" s="189">
        <f>COUNTIF(O$2:O317, TRUE)/(COUNTIF(O$2:O317,FALSE) + COUNTIF(O$2:O317, TRUE))</f>
        <v>0.5</v>
      </c>
      <c r="Q317" s="177">
        <v>227241.15</v>
      </c>
      <c r="R317" s="177">
        <f t="shared" ref="R317" si="1075">I317-Q317</f>
        <v>99691.120000000024</v>
      </c>
      <c r="S317" s="177">
        <v>-28375</v>
      </c>
      <c r="T317" s="177">
        <f t="shared" ref="T317" si="1076">M317-S317</f>
        <v>55307.270000000019</v>
      </c>
      <c r="U317" s="189">
        <f>STDEV(D$2:D317)*SQRT(252)</f>
        <v>0.16798113436370918</v>
      </c>
      <c r="V317" s="189">
        <f>STDEV(L$2:L317)*SQRT(252)</f>
        <v>0.36519230283112208</v>
      </c>
      <c r="W317" s="187">
        <f t="shared" ref="W317" si="1077">N317/V317</f>
        <v>0.24582728780800234</v>
      </c>
    </row>
    <row r="318" spans="1:23" ht="20.100000000000001" customHeight="1" x14ac:dyDescent="0.25">
      <c r="B318" s="176">
        <v>42718</v>
      </c>
      <c r="C318" s="220">
        <v>2253.2800000000002</v>
      </c>
      <c r="D318" s="175">
        <f t="shared" ref="D318:D321" si="1078">(C318-C317)/C317</f>
        <v>-8.1171975419504164E-3</v>
      </c>
      <c r="E318" s="214">
        <f t="shared" ref="E318" si="1079">(C318-$C$2)/$C$2</f>
        <v>7.1745210327048642E-2</v>
      </c>
      <c r="F318" s="224">
        <v>5436.67</v>
      </c>
      <c r="G318" s="175">
        <f t="shared" si="983"/>
        <v>-4.9690509570226764E-3</v>
      </c>
      <c r="H318" s="208">
        <f t="shared" ref="H318" si="1080">(F318-F$2)/F$2</f>
        <v>6.775143861578653E-2</v>
      </c>
      <c r="I318" s="226">
        <v>323187.58</v>
      </c>
      <c r="J318" s="177">
        <v>300000</v>
      </c>
      <c r="K318" s="177">
        <f t="shared" ref="K318" si="1081">I318-I317-J318+J317</f>
        <v>-3744.6900000000023</v>
      </c>
      <c r="L318" s="175">
        <f t="shared" si="986"/>
        <v>-1.1454023795203827E-2</v>
      </c>
      <c r="M318" s="187">
        <f t="shared" ref="M318" si="1082">I318-J318</f>
        <v>23187.580000000016</v>
      </c>
      <c r="N318" s="189">
        <f t="shared" ref="N318" si="1083">M318/J318</f>
        <v>7.7291933333333382E-2</v>
      </c>
      <c r="O318" s="187" t="b">
        <f t="shared" ref="O318" si="1084">L318&gt;D318</f>
        <v>0</v>
      </c>
      <c r="P318" s="189">
        <f>COUNTIF(O$2:O318, TRUE)/(COUNTIF(O$2:O318,FALSE) + COUNTIF(O$2:O318, TRUE))</f>
        <v>0.49842271293375395</v>
      </c>
      <c r="Q318" s="177">
        <v>227414.39999999999</v>
      </c>
      <c r="R318" s="177">
        <f t="shared" ref="R318" si="1085">I318-Q318</f>
        <v>95773.180000000022</v>
      </c>
      <c r="S318" s="177">
        <v>-28896</v>
      </c>
      <c r="T318" s="177">
        <f t="shared" ref="T318" si="1086">M318-S318</f>
        <v>52083.580000000016</v>
      </c>
      <c r="U318" s="189">
        <f>STDEV(D$2:D318)*SQRT(252)</f>
        <v>0.1678827042507858</v>
      </c>
      <c r="V318" s="189">
        <f>STDEV(L$2:L318)*SQRT(252)</f>
        <v>0.36477613743457138</v>
      </c>
      <c r="W318" s="187">
        <f t="shared" ref="W318" si="1087">N318/V318</f>
        <v>0.21188867746919701</v>
      </c>
    </row>
    <row r="319" spans="1:23" ht="20.100000000000001" customHeight="1" x14ac:dyDescent="0.25">
      <c r="B319" s="176">
        <v>42719</v>
      </c>
      <c r="C319" s="220">
        <v>2262.0300000000002</v>
      </c>
      <c r="D319" s="175">
        <f t="shared" si="1078"/>
        <v>3.8832280053965771E-3</v>
      </c>
      <c r="E319" s="214">
        <f t="shared" ref="E319" si="1088">(C319-$C$2)/$C$2</f>
        <v>7.5907041342440279E-2</v>
      </c>
      <c r="F319" s="224">
        <v>5456.85</v>
      </c>
      <c r="G319" s="175">
        <f t="shared" si="983"/>
        <v>3.7118309553458811E-3</v>
      </c>
      <c r="H319" s="208">
        <f t="shared" ref="H319" si="1089">(F319-F$2)/F$2</f>
        <v>7.1714751458255704E-2</v>
      </c>
      <c r="I319" s="226">
        <v>324820.98</v>
      </c>
      <c r="J319" s="177">
        <v>300000</v>
      </c>
      <c r="K319" s="177">
        <f t="shared" ref="K319" si="1090">I319-I318-J319+J318</f>
        <v>1633.3999999999651</v>
      </c>
      <c r="L319" s="175">
        <f t="shared" si="986"/>
        <v>5.0540308510616805E-3</v>
      </c>
      <c r="M319" s="187">
        <f t="shared" ref="M319" si="1091">I319-J319</f>
        <v>24820.979999999981</v>
      </c>
      <c r="N319" s="189">
        <f t="shared" ref="N319" si="1092">M319/J319</f>
        <v>8.2736599999999938E-2</v>
      </c>
      <c r="O319" s="187" t="b">
        <f t="shared" ref="O319" si="1093">L319&gt;D319</f>
        <v>1</v>
      </c>
      <c r="P319" s="189">
        <f>COUNTIF(O$2:O319, TRUE)/(COUNTIF(O$2:O319,FALSE) + COUNTIF(O$2:O319, TRUE))</f>
        <v>0.5</v>
      </c>
      <c r="Q319" s="177">
        <v>232165.8</v>
      </c>
      <c r="R319" s="177">
        <f t="shared" ref="R319" si="1094">I319-Q319</f>
        <v>92655.18</v>
      </c>
      <c r="S319" s="177">
        <v>-28562</v>
      </c>
      <c r="T319" s="177">
        <f t="shared" ref="T319" si="1095">M319-S319</f>
        <v>53382.979999999981</v>
      </c>
      <c r="U319" s="189">
        <f>STDEV(D$2:D319)*SQRT(252)</f>
        <v>0.16764772855773447</v>
      </c>
      <c r="V319" s="189">
        <f>STDEV(L$2:L319)*SQRT(252)</f>
        <v>0.36421868785433931</v>
      </c>
      <c r="W319" s="187">
        <f t="shared" ref="W319" si="1096">N319/V319</f>
        <v>0.22716187488185255</v>
      </c>
    </row>
    <row r="320" spans="1:23" ht="20.100000000000001" customHeight="1" x14ac:dyDescent="0.25">
      <c r="B320" s="176">
        <v>42720</v>
      </c>
      <c r="C320" s="220">
        <v>2258.0700000000002</v>
      </c>
      <c r="D320" s="175">
        <f t="shared" si="1078"/>
        <v>-1.7506399119375233E-3</v>
      </c>
      <c r="E320" s="214">
        <f t="shared" ref="E320" si="1097">(C320-$C$2)/$C$2</f>
        <v>7.4023515534331591E-2</v>
      </c>
      <c r="F320" s="224">
        <v>5437.16</v>
      </c>
      <c r="G320" s="175">
        <f t="shared" si="983"/>
        <v>-3.6083088228557698E-3</v>
      </c>
      <c r="H320" s="208">
        <f t="shared" ref="H320" si="1098">(F320-F$2)/F$2</f>
        <v>6.7847673664984204E-2</v>
      </c>
      <c r="I320" s="226">
        <v>327045.52</v>
      </c>
      <c r="J320" s="177">
        <v>300000</v>
      </c>
      <c r="K320" s="177">
        <f t="shared" ref="K320" si="1099">I320-I319-J320+J319</f>
        <v>2224.5400000000373</v>
      </c>
      <c r="L320" s="175">
        <f t="shared" si="986"/>
        <v>6.8485108320282678E-3</v>
      </c>
      <c r="M320" s="187">
        <f t="shared" ref="M320" si="1100">I320-J320</f>
        <v>27045.520000000019</v>
      </c>
      <c r="N320" s="189">
        <f t="shared" ref="N320" si="1101">M320/J320</f>
        <v>9.01517333333334E-2</v>
      </c>
      <c r="O320" s="187" t="b">
        <f t="shared" ref="O320" si="1102">L320&gt;D320</f>
        <v>1</v>
      </c>
      <c r="P320" s="189">
        <f>COUNTIF(O$2:O320, TRUE)/(COUNTIF(O$2:O320,FALSE) + COUNTIF(O$2:O320, TRUE))</f>
        <v>0.50156739811912221</v>
      </c>
      <c r="Q320" s="177">
        <v>231412.84</v>
      </c>
      <c r="R320" s="177">
        <f t="shared" ref="R320" si="1103">I320-Q320</f>
        <v>95632.680000000022</v>
      </c>
      <c r="S320" s="177">
        <v>-28561</v>
      </c>
      <c r="T320" s="177">
        <f t="shared" ref="T320" si="1104">M320-S320</f>
        <v>55606.520000000019</v>
      </c>
      <c r="U320" s="189">
        <f>STDEV(D$2:D320)*SQRT(252)</f>
        <v>0.16739291241779608</v>
      </c>
      <c r="V320" s="189">
        <f>STDEV(L$2:L320)*SQRT(252)</f>
        <v>0.36368405399671344</v>
      </c>
      <c r="W320" s="187">
        <f t="shared" ref="W320" si="1105">N320/V320</f>
        <v>0.24788475695485976</v>
      </c>
    </row>
    <row r="321" spans="2:23" ht="20.100000000000001" customHeight="1" x14ac:dyDescent="0.25">
      <c r="B321" s="249">
        <v>42723</v>
      </c>
      <c r="C321" s="250">
        <v>2262.5300000000002</v>
      </c>
      <c r="D321" s="175">
        <f t="shared" si="1078"/>
        <v>1.9751380603790121E-3</v>
      </c>
      <c r="E321" s="251">
        <f t="shared" ref="E321" si="1106">(C321-$C$2)/$C$2</f>
        <v>7.6144860257605515E-2</v>
      </c>
      <c r="F321" s="252">
        <v>5457.44</v>
      </c>
      <c r="G321" s="175">
        <f t="shared" si="983"/>
        <v>3.7298883976192988E-3</v>
      </c>
      <c r="H321" s="253">
        <f t="shared" ref="H321" si="1107">(F321-F$2)/F$2</f>
        <v>7.1830626313411985E-2</v>
      </c>
      <c r="I321" s="584">
        <v>327054.27</v>
      </c>
      <c r="J321" s="255">
        <v>300000</v>
      </c>
      <c r="K321" s="255">
        <f t="shared" ref="K321" si="1108">I321-I320-J321+J320</f>
        <v>8.75</v>
      </c>
      <c r="L321" s="175">
        <f t="shared" si="986"/>
        <v>2.6754685402814872E-5</v>
      </c>
      <c r="M321" s="256">
        <f t="shared" ref="M321" si="1109">I321-J321</f>
        <v>27054.270000000019</v>
      </c>
      <c r="N321" s="257">
        <f t="shared" ref="N321" si="1110">M321/J321</f>
        <v>9.0180900000000064E-2</v>
      </c>
      <c r="O321" s="256" t="b">
        <f t="shared" ref="O321" si="1111">L321&gt;D321</f>
        <v>0</v>
      </c>
      <c r="P321" s="257">
        <f>COUNTIF(O$2:O321, TRUE)/(COUNTIF(O$2:O321,FALSE) + COUNTIF(O$2:O321, TRUE))</f>
        <v>0.5</v>
      </c>
      <c r="Q321" s="255">
        <v>231413.84</v>
      </c>
      <c r="R321" s="255">
        <f t="shared" ref="R321" si="1112">I321-Q321</f>
        <v>95640.430000000022</v>
      </c>
      <c r="S321" s="255">
        <v>-28148</v>
      </c>
      <c r="T321" s="255">
        <f t="shared" ref="T321" si="1113">M321-S321</f>
        <v>55202.270000000019</v>
      </c>
      <c r="U321" s="257">
        <f>STDEV(D$2:D321)*SQRT(252)</f>
        <v>0.16713630063292181</v>
      </c>
      <c r="V321" s="257">
        <f>STDEV(L$2:L321)*SQRT(252)</f>
        <v>0.36311240060215538</v>
      </c>
      <c r="W321" s="256">
        <f t="shared" ref="W321" si="1114">N321/V321</f>
        <v>0.24835532978342675</v>
      </c>
    </row>
    <row r="322" spans="2:23" ht="20.100000000000001" customHeight="1" x14ac:dyDescent="0.25">
      <c r="B322" s="249">
        <v>42724</v>
      </c>
      <c r="C322" s="250">
        <v>2270.7600000000002</v>
      </c>
      <c r="D322" s="175">
        <f t="shared" ref="D322" si="1115">(C322-C321)/C321</f>
        <v>3.6375208284531112E-3</v>
      </c>
      <c r="E322" s="251">
        <f t="shared" ref="E322" si="1116">(C322-$C$2)/$C$2</f>
        <v>8.0059359601225316E-2</v>
      </c>
      <c r="F322" s="252">
        <v>5483.94</v>
      </c>
      <c r="G322" s="175">
        <f t="shared" ref="G322" si="1117">(F322-F321)/F321</f>
        <v>4.8557565451933507E-3</v>
      </c>
      <c r="H322" s="253">
        <f t="shared" ref="H322" si="1118">(F322-F$2)/F$2</f>
        <v>7.7035174892472025E-2</v>
      </c>
      <c r="I322" s="584">
        <v>325810.98</v>
      </c>
      <c r="J322" s="255">
        <v>300000</v>
      </c>
      <c r="K322" s="255">
        <f t="shared" ref="K322" si="1119">I322-I321-J322+J321</f>
        <v>-1243.2900000000373</v>
      </c>
      <c r="L322" s="175">
        <f t="shared" ref="L322" si="1120">K322/I321</f>
        <v>-3.8014791857022296E-3</v>
      </c>
      <c r="M322" s="256">
        <f t="shared" ref="M322" si="1121">I322-J322</f>
        <v>25810.979999999981</v>
      </c>
      <c r="N322" s="257">
        <f t="shared" ref="N322" si="1122">M322/J322</f>
        <v>8.6036599999999935E-2</v>
      </c>
      <c r="O322" s="256" t="b">
        <f t="shared" ref="O322" si="1123">L322&gt;D322</f>
        <v>0</v>
      </c>
      <c r="P322" s="257">
        <f>COUNTIF(O$2:O322, TRUE)/(COUNTIF(O$2:O322,FALSE) + COUNTIF(O$2:O322, TRUE))</f>
        <v>0.49844236760124611</v>
      </c>
      <c r="Q322" s="255">
        <v>230633.3</v>
      </c>
      <c r="R322" s="255">
        <f t="shared" ref="R322" si="1124">I322-Q322</f>
        <v>95177.68</v>
      </c>
      <c r="S322" s="255">
        <v>-28828</v>
      </c>
      <c r="T322" s="255">
        <f t="shared" ref="T322" si="1125">M322-S322</f>
        <v>54638.979999999981</v>
      </c>
      <c r="U322" s="257">
        <f>STDEV(D$2:D322)*SQRT(252)</f>
        <v>0.16690064073830019</v>
      </c>
      <c r="V322" s="257">
        <f>STDEV(L$2:L322)*SQRT(252)</f>
        <v>0.36256564475592484</v>
      </c>
      <c r="W322" s="256">
        <f t="shared" ref="W322" si="1126">N322/V322</f>
        <v>0.23729937252581892</v>
      </c>
    </row>
    <row r="323" spans="2:23" ht="20.100000000000001" customHeight="1" x14ac:dyDescent="0.25">
      <c r="B323" s="249">
        <v>42725</v>
      </c>
      <c r="C323" s="250">
        <v>2265.1799999999998</v>
      </c>
      <c r="D323" s="175">
        <f t="shared" ref="D323" si="1127">(C323-C322)/C322</f>
        <v>-2.4573270623052994E-3</v>
      </c>
      <c r="E323" s="251">
        <f t="shared" ref="E323" si="1128">(C323-$C$2)/$C$2</f>
        <v>7.7405300507981098E-2</v>
      </c>
      <c r="F323" s="252">
        <v>5471.43</v>
      </c>
      <c r="G323" s="175">
        <f t="shared" ref="G323" si="1129">(F323-F322)/F322</f>
        <v>-2.2812065777523659E-3</v>
      </c>
      <c r="H323" s="253">
        <f t="shared" ref="H323" si="1130">(F323-F$2)/F$2</f>
        <v>7.4578235167036641E-2</v>
      </c>
      <c r="I323" s="584">
        <v>324443.28000000003</v>
      </c>
      <c r="J323" s="255">
        <v>300000</v>
      </c>
      <c r="K323" s="255">
        <f t="shared" ref="K323" si="1131">I323-I322-J323+J322</f>
        <v>-1367.6999999999534</v>
      </c>
      <c r="L323" s="175">
        <f t="shared" ref="L323:L348" si="1132">K323/I322</f>
        <v>-4.1978327433899055E-3</v>
      </c>
      <c r="M323" s="256">
        <f t="shared" ref="M323" si="1133">I323-J323</f>
        <v>24443.280000000028</v>
      </c>
      <c r="N323" s="257">
        <f t="shared" ref="N323" si="1134">M323/J323</f>
        <v>8.1477600000000094E-2</v>
      </c>
      <c r="O323" s="256" t="b">
        <f t="shared" ref="O323" si="1135">L323&gt;D323</f>
        <v>0</v>
      </c>
      <c r="P323" s="257">
        <f>COUNTIF(O$2:O323, TRUE)/(COUNTIF(O$2:O323,FALSE) + COUNTIF(O$2:O323, TRUE))</f>
        <v>0.49689440993788819</v>
      </c>
      <c r="Q323" s="255">
        <v>231596.6</v>
      </c>
      <c r="R323" s="255">
        <f>I323-Q323</f>
        <v>92846.680000000022</v>
      </c>
      <c r="S323" s="255">
        <v>-28725</v>
      </c>
      <c r="T323" s="255">
        <f t="shared" ref="T323" si="1136">M323-S323</f>
        <v>53168.280000000028</v>
      </c>
      <c r="U323" s="257">
        <f>STDEV(D$2:D323)*SQRT(252)</f>
        <v>0.16665750598477963</v>
      </c>
      <c r="V323" s="257">
        <f>STDEV(L$2:L323)*SQRT(252)</f>
        <v>0.36202544499478717</v>
      </c>
      <c r="W323" s="256">
        <f t="shared" ref="W323" si="1137">N323/V323</f>
        <v>0.22506042358755554</v>
      </c>
    </row>
    <row r="324" spans="2:23" ht="20.100000000000001" customHeight="1" x14ac:dyDescent="0.25">
      <c r="B324" s="249">
        <v>42726</v>
      </c>
      <c r="C324" s="250">
        <v>2260.96</v>
      </c>
      <c r="D324" s="175">
        <f t="shared" ref="D324" si="1138">(C324-C323)/C323</f>
        <v>-1.8629866059208541E-3</v>
      </c>
      <c r="E324" s="251">
        <f t="shared" ref="E324" si="1139">(C324-$C$2)/$C$2</f>
        <v>7.5398108863986596E-2</v>
      </c>
      <c r="F324" s="252">
        <v>5447.42</v>
      </c>
      <c r="G324" s="175">
        <f t="shared" ref="G324:G334" si="1140">(F324-F323)/F323</f>
        <v>-4.3882495069845024E-3</v>
      </c>
      <c r="H324" s="253">
        <f t="shared" ref="H324" si="1141">(F324-F$2)/F$2</f>
        <v>6.9862717756348613E-2</v>
      </c>
      <c r="I324" s="584">
        <v>328249.78000000003</v>
      </c>
      <c r="J324" s="255">
        <v>300000</v>
      </c>
      <c r="K324" s="255">
        <f t="shared" ref="K324" si="1142">I324-I323-J324+J323</f>
        <v>3806.5</v>
      </c>
      <c r="L324" s="175">
        <f t="shared" si="1132"/>
        <v>1.1732405121782764E-2</v>
      </c>
      <c r="M324" s="256">
        <f t="shared" ref="M324" si="1143">I324-J324</f>
        <v>28249.780000000028</v>
      </c>
      <c r="N324" s="257">
        <f t="shared" ref="N324" si="1144">M324/J324</f>
        <v>9.4165933333333424E-2</v>
      </c>
      <c r="O324" s="256" t="b">
        <f t="shared" ref="O324" si="1145">L324&gt;D324</f>
        <v>1</v>
      </c>
      <c r="P324" s="257">
        <f>COUNTIF(O$2:O324, TRUE)/(COUNTIF(O$2:O324,FALSE) + COUNTIF(O$2:O324, TRUE))</f>
        <v>0.49845201238390091</v>
      </c>
      <c r="Q324" s="255">
        <v>235403.1</v>
      </c>
      <c r="R324" s="255">
        <f t="shared" ref="R324" si="1146">I324-Q324</f>
        <v>92846.680000000022</v>
      </c>
      <c r="S324" s="255">
        <v>-28852</v>
      </c>
      <c r="T324" s="255">
        <f t="shared" ref="T324" si="1147">M324-S324</f>
        <v>57101.780000000028</v>
      </c>
      <c r="U324" s="257">
        <f>STDEV(D$2:D324)*SQRT(252)</f>
        <v>0.16640858320872839</v>
      </c>
      <c r="V324" s="257">
        <f>STDEV(L$2:L324)*SQRT(252)</f>
        <v>0.36159155840983148</v>
      </c>
      <c r="W324" s="256">
        <f t="shared" ref="W324" si="1148">N324/V324</f>
        <v>0.2604207181922229</v>
      </c>
    </row>
    <row r="325" spans="2:23" ht="20.100000000000001" customHeight="1" x14ac:dyDescent="0.25">
      <c r="B325" s="249">
        <v>42727</v>
      </c>
      <c r="C325" s="250">
        <v>2263.79</v>
      </c>
      <c r="D325" s="175">
        <f t="shared" ref="D325:D334" si="1149">(C325-C324)/C324</f>
        <v>1.251680702002657E-3</v>
      </c>
      <c r="E325" s="251">
        <f t="shared" ref="E325" si="1150">(C325-$C$2)/$C$2</f>
        <v>7.6744163923821801E-2</v>
      </c>
      <c r="F325" s="252">
        <v>5462.68</v>
      </c>
      <c r="G325" s="175">
        <f t="shared" si="1140"/>
        <v>2.8013261323709604E-3</v>
      </c>
      <c r="H325" s="253">
        <f t="shared" ref="H325" si="1151">(F325-F$2)/F$2</f>
        <v>7.2859752145648896E-2</v>
      </c>
      <c r="I325" s="584">
        <v>329298.48</v>
      </c>
      <c r="J325" s="255">
        <v>300000</v>
      </c>
      <c r="K325" s="255">
        <f t="shared" ref="K325" si="1152">I325-I324-J325+J324</f>
        <v>1048.6999999999534</v>
      </c>
      <c r="L325" s="175">
        <f t="shared" si="1132"/>
        <v>3.1948231618006062E-3</v>
      </c>
      <c r="M325" s="256">
        <f t="shared" ref="M325" si="1153">I325-J325</f>
        <v>29298.479999999981</v>
      </c>
      <c r="N325" s="257">
        <f t="shared" ref="N325" si="1154">M325/J325</f>
        <v>9.7661599999999932E-2</v>
      </c>
      <c r="O325" s="256" t="b">
        <f t="shared" ref="O325" si="1155">L325&gt;D325</f>
        <v>1</v>
      </c>
      <c r="P325" s="257">
        <f>COUNTIF(O$2:O325, TRUE)/(COUNTIF(O$2:O325,FALSE) + COUNTIF(O$2:O325, TRUE))</f>
        <v>0.5</v>
      </c>
      <c r="Q325" s="255">
        <v>236451.8</v>
      </c>
      <c r="R325" s="255">
        <f t="shared" ref="R325" si="1156">I325-Q325</f>
        <v>92846.68</v>
      </c>
      <c r="S325" s="255">
        <v>-28456</v>
      </c>
      <c r="T325" s="255">
        <f t="shared" ref="T325" si="1157">M325-S325</f>
        <v>57754.479999999981</v>
      </c>
      <c r="U325" s="257">
        <f>STDEV(D$2:D325)*SQRT(252)</f>
        <v>0.16615219867312236</v>
      </c>
      <c r="V325" s="257">
        <f>STDEV(L$2:L325)*SQRT(252)</f>
        <v>0.36103590347828884</v>
      </c>
      <c r="W325" s="256">
        <f t="shared" ref="W325" si="1158">N325/V325</f>
        <v>0.27050384479523898</v>
      </c>
    </row>
    <row r="326" spans="2:23" ht="20.100000000000001" customHeight="1" x14ac:dyDescent="0.25">
      <c r="B326" s="176">
        <v>42731</v>
      </c>
      <c r="C326" s="220">
        <v>2268.88</v>
      </c>
      <c r="D326" s="175">
        <f t="shared" si="1149"/>
        <v>2.2484417724259521E-3</v>
      </c>
      <c r="E326" s="214">
        <f t="shared" ref="E326" si="1159">(C326-$C$2)/$C$2</f>
        <v>7.9165160480203972E-2</v>
      </c>
      <c r="F326" s="224">
        <v>5487.44</v>
      </c>
      <c r="G326" s="175">
        <f t="shared" si="1140"/>
        <v>4.5325737550065736E-3</v>
      </c>
      <c r="H326" s="208">
        <f t="shared" ref="H326" si="1160">(F326-F$2)/F$2</f>
        <v>7.7722568101027123E-2</v>
      </c>
      <c r="I326" s="226">
        <v>330109.08</v>
      </c>
      <c r="J326" s="177">
        <v>300000</v>
      </c>
      <c r="K326" s="177">
        <f t="shared" ref="K326" si="1161">I326-I325-J326+J325</f>
        <v>810.60000000003492</v>
      </c>
      <c r="L326" s="175">
        <f t="shared" si="1132"/>
        <v>2.4615965430512614E-3</v>
      </c>
      <c r="M326" s="187">
        <f t="shared" ref="M326" si="1162">I326-J326</f>
        <v>30109.080000000016</v>
      </c>
      <c r="N326" s="189">
        <f t="shared" ref="N326" si="1163">M326/J326</f>
        <v>0.10036360000000005</v>
      </c>
      <c r="O326" s="187" t="b">
        <f t="shared" ref="O326" si="1164">L326&gt;D326</f>
        <v>1</v>
      </c>
      <c r="P326" s="189">
        <f>COUNTIF(O$2:O326, TRUE)/(COUNTIF(O$2:O326,FALSE) + COUNTIF(O$2:O326, TRUE))</f>
        <v>0.50153846153846149</v>
      </c>
      <c r="Q326" s="177">
        <v>237262.4</v>
      </c>
      <c r="R326" s="177">
        <f t="shared" ref="R326:R331" si="1165">I326-Q326</f>
        <v>92846.680000000022</v>
      </c>
      <c r="S326" s="177">
        <v>-28216</v>
      </c>
      <c r="T326" s="177">
        <f t="shared" ref="T326" si="1166">M326-S326</f>
        <v>58325.080000000016</v>
      </c>
      <c r="U326" s="189">
        <f>STDEV(D$2:D326)*SQRT(252)</f>
        <v>0.16590384909473915</v>
      </c>
      <c r="V326" s="189">
        <f>STDEV(L$2:L326)*SQRT(252)</f>
        <v>0.36047958608732461</v>
      </c>
      <c r="W326" s="187">
        <f t="shared" ref="W326" si="1167">N326/V326</f>
        <v>0.27841687538913068</v>
      </c>
    </row>
    <row r="327" spans="2:23" ht="20.100000000000001" customHeight="1" x14ac:dyDescent="0.25">
      <c r="B327" s="176">
        <v>42732</v>
      </c>
      <c r="C327" s="220">
        <v>2249.92</v>
      </c>
      <c r="D327" s="175">
        <f t="shared" si="1149"/>
        <v>-8.3565459610028016E-3</v>
      </c>
      <c r="E327" s="214">
        <f t="shared" ref="E327" si="1168">(C327-$C$2)/$C$2</f>
        <v>7.014706721713819E-2</v>
      </c>
      <c r="F327" s="224">
        <v>5438.55</v>
      </c>
      <c r="G327" s="175">
        <f t="shared" si="1140"/>
        <v>-8.9094368229993264E-3</v>
      </c>
      <c r="H327" s="208">
        <f t="shared" ref="H327" si="1169">(F327-F$2)/F$2</f>
        <v>6.8120666967810425E-2</v>
      </c>
      <c r="I327" s="226">
        <v>326202.98</v>
      </c>
      <c r="J327" s="177">
        <v>300000</v>
      </c>
      <c r="K327" s="177">
        <f t="shared" ref="K327" si="1170">I327-I326-J327+J326</f>
        <v>-3906.1000000000349</v>
      </c>
      <c r="L327" s="175">
        <f t="shared" si="1132"/>
        <v>-1.1832755403153511E-2</v>
      </c>
      <c r="M327" s="187">
        <f t="shared" ref="M327" si="1171">I327-J327</f>
        <v>26202.979999999981</v>
      </c>
      <c r="N327" s="189">
        <f t="shared" ref="N327" si="1172">M327/J327</f>
        <v>8.73432666666666E-2</v>
      </c>
      <c r="O327" s="187" t="b">
        <f t="shared" ref="O327" si="1173">L327&gt;D327</f>
        <v>0</v>
      </c>
      <c r="P327" s="189">
        <f>COUNTIF(O$2:O327, TRUE)/(COUNTIF(O$2:O327,FALSE) + COUNTIF(O$2:O327, TRUE))</f>
        <v>0.5</v>
      </c>
      <c r="Q327" s="177">
        <v>235463.51</v>
      </c>
      <c r="R327" s="177">
        <f t="shared" si="1165"/>
        <v>90739.469999999972</v>
      </c>
      <c r="S327" s="177">
        <v>-29179</v>
      </c>
      <c r="T327" s="177">
        <f t="shared" ref="T327" si="1174">M327-S327</f>
        <v>55381.979999999981</v>
      </c>
      <c r="U327" s="189">
        <f>STDEV(D$2:D327)*SQRT(252)</f>
        <v>0.16582249339031452</v>
      </c>
      <c r="V327" s="189">
        <f>STDEV(L$2:L327)*SQRT(252)</f>
        <v>0.36009473393131058</v>
      </c>
      <c r="W327" s="187">
        <f t="shared" ref="W327" si="1175">N327/V327</f>
        <v>0.24255635652624583</v>
      </c>
    </row>
    <row r="328" spans="2:23" ht="20.100000000000001" customHeight="1" x14ac:dyDescent="0.25">
      <c r="B328" s="176">
        <v>42733</v>
      </c>
      <c r="C328" s="220">
        <v>2249.2600000000002</v>
      </c>
      <c r="D328" s="175">
        <f t="shared" si="1149"/>
        <v>-2.9334376333374273E-4</v>
      </c>
      <c r="E328" s="214">
        <f t="shared" ref="E328" si="1176">(C328-$C$2)/$C$2</f>
        <v>6.983314624912014E-2</v>
      </c>
      <c r="F328" s="224">
        <v>5432.09</v>
      </c>
      <c r="G328" s="175">
        <f t="shared" si="1140"/>
        <v>-1.1878166055290539E-3</v>
      </c>
      <c r="H328" s="208">
        <f t="shared" ref="H328" si="1177">(F328-F$2)/F$2</f>
        <v>6.6851935502877297E-2</v>
      </c>
      <c r="I328" s="226">
        <v>324645.53000000003</v>
      </c>
      <c r="J328" s="177">
        <v>300000</v>
      </c>
      <c r="K328" s="177">
        <f t="shared" ref="K328" si="1178">I328-I327-J328+J327</f>
        <v>-1557.4499999999534</v>
      </c>
      <c r="L328" s="175">
        <f t="shared" si="1132"/>
        <v>-4.774481214119974E-3</v>
      </c>
      <c r="M328" s="187">
        <f t="shared" ref="M328" si="1179">I328-J328</f>
        <v>24645.530000000028</v>
      </c>
      <c r="N328" s="189">
        <f t="shared" ref="N328" si="1180">M328/J328</f>
        <v>8.2151766666666765E-2</v>
      </c>
      <c r="O328" s="187" t="b">
        <f t="shared" ref="O328" si="1181">L328&gt;D328</f>
        <v>0</v>
      </c>
      <c r="P328" s="189">
        <f>COUNTIF(O$2:O328, TRUE)/(COUNTIF(O$2:O328,FALSE) + COUNTIF(O$2:O328, TRUE))</f>
        <v>0.49847094801223241</v>
      </c>
      <c r="Q328" s="177">
        <v>245575.8</v>
      </c>
      <c r="R328" s="177">
        <f t="shared" si="1165"/>
        <v>79069.73000000004</v>
      </c>
      <c r="S328" s="177">
        <v>-28777</v>
      </c>
      <c r="T328" s="177">
        <f t="shared" ref="T328" si="1182">M328-S328</f>
        <v>53422.530000000028</v>
      </c>
      <c r="U328" s="189">
        <f>STDEV(D$2:D328)*SQRT(252)</f>
        <v>0.16556790757023543</v>
      </c>
      <c r="V328" s="189">
        <f>STDEV(L$2:L328)*SQRT(252)</f>
        <v>0.35957326133174794</v>
      </c>
      <c r="W328" s="187">
        <f t="shared" ref="W328" si="1183">N328/V328</f>
        <v>0.22847017701594963</v>
      </c>
    </row>
    <row r="329" spans="2:23" ht="20.100000000000001" customHeight="1" x14ac:dyDescent="0.25">
      <c r="B329" s="176">
        <v>42734</v>
      </c>
      <c r="C329" s="220">
        <v>2238.83</v>
      </c>
      <c r="D329" s="175">
        <f t="shared" si="1149"/>
        <v>-4.6370806398550145E-3</v>
      </c>
      <c r="E329" s="214">
        <f t="shared" ref="E329" si="1184">(C329-$C$2)/$C$2</f>
        <v>6.4872243678773173E-2</v>
      </c>
      <c r="F329" s="224">
        <v>5383.11</v>
      </c>
      <c r="G329" s="175">
        <f t="shared" si="1140"/>
        <v>-9.0167872770886472E-3</v>
      </c>
      <c r="H329" s="208">
        <f t="shared" ref="H329" si="1185">(F329-F$2)/F$2</f>
        <v>5.7232358544297555E-2</v>
      </c>
      <c r="I329" s="490">
        <v>322309.38</v>
      </c>
      <c r="J329" s="177">
        <v>300000</v>
      </c>
      <c r="K329" s="177">
        <f t="shared" ref="K329" si="1186">I329-I328-J329+J328</f>
        <v>-2336.1500000000233</v>
      </c>
      <c r="L329" s="175">
        <f t="shared" si="1132"/>
        <v>-7.1960023598662305E-3</v>
      </c>
      <c r="M329" s="490">
        <f t="shared" ref="M329" si="1187">I329-J329</f>
        <v>22309.380000000005</v>
      </c>
      <c r="N329" s="189">
        <f t="shared" ref="N329" si="1188">M329/J329</f>
        <v>7.4364600000000017E-2</v>
      </c>
      <c r="O329" s="187" t="b">
        <f t="shared" ref="O329" si="1189">L329&gt;D329</f>
        <v>0</v>
      </c>
      <c r="P329" s="189">
        <f>COUNTIF(O$2:O329, TRUE)/(COUNTIF(O$2:O329,FALSE) + COUNTIF(O$2:O329, TRUE))</f>
        <v>0.49695121951219512</v>
      </c>
      <c r="Q329" s="177">
        <v>244515.65</v>
      </c>
      <c r="R329" s="177">
        <f t="shared" si="1165"/>
        <v>77793.73000000001</v>
      </c>
      <c r="S329" s="177">
        <v>-29211</v>
      </c>
      <c r="T329" s="177">
        <f t="shared" ref="T329" si="1190">M329-S329</f>
        <v>51520.380000000005</v>
      </c>
      <c r="U329" s="189">
        <f>STDEV(D$2:D329)*SQRT(252)</f>
        <v>0.16536968849667288</v>
      </c>
      <c r="V329" s="189">
        <f>STDEV(L$2:L329)*SQRT(252)</f>
        <v>0.35908901250550984</v>
      </c>
      <c r="W329" s="187">
        <f t="shared" ref="W329" si="1191">N329/V329</f>
        <v>0.2070923849246403</v>
      </c>
    </row>
    <row r="330" spans="2:23" ht="20.100000000000001" customHeight="1" x14ac:dyDescent="0.25">
      <c r="B330" s="249">
        <v>42738</v>
      </c>
      <c r="C330" s="250">
        <v>2257.83</v>
      </c>
      <c r="D330" s="175">
        <f t="shared" si="1149"/>
        <v>8.4865755774221358E-3</v>
      </c>
      <c r="E330" s="251">
        <f t="shared" ref="E330" si="1192">(C330-$C$2)/$C$2</f>
        <v>7.3909362455052169E-2</v>
      </c>
      <c r="F330" s="252">
        <v>5429.08</v>
      </c>
      <c r="G330" s="175">
        <f t="shared" si="1140"/>
        <v>8.5396731629114511E-3</v>
      </c>
      <c r="H330" s="253">
        <f t="shared" ref="H330" si="1193">(F330-F$2)/F$2</f>
        <v>6.6260777343519872E-2</v>
      </c>
      <c r="I330" s="584">
        <v>327489.65000000002</v>
      </c>
      <c r="J330" s="255">
        <v>300000</v>
      </c>
      <c r="K330" s="255">
        <f t="shared" ref="K330" si="1194">I330-I329-J330+J329</f>
        <v>5180.2700000000186</v>
      </c>
      <c r="L330" s="175">
        <f t="shared" si="1132"/>
        <v>1.6072352594888855E-2</v>
      </c>
      <c r="M330" s="256">
        <f t="shared" ref="M330" si="1195">I330-J330</f>
        <v>27489.650000000023</v>
      </c>
      <c r="N330" s="257">
        <f t="shared" ref="N330" si="1196">M330/J330</f>
        <v>9.1632166666666751E-2</v>
      </c>
      <c r="O330" s="256" t="b">
        <f t="shared" ref="O330" si="1197">L330&gt;D330</f>
        <v>1</v>
      </c>
      <c r="P330" s="257">
        <f>COUNTIF(O$2:O330, TRUE)/(COUNTIF(O$2:O330,FALSE) + COUNTIF(O$2:O330, TRUE))</f>
        <v>0.49848024316109424</v>
      </c>
      <c r="Q330" s="255">
        <v>246849.1</v>
      </c>
      <c r="R330" s="255">
        <f t="shared" si="1165"/>
        <v>80640.550000000017</v>
      </c>
      <c r="S330" s="255">
        <v>-28453</v>
      </c>
      <c r="T330" s="255">
        <f t="shared" ref="T330" si="1198">M330-S330</f>
        <v>55942.650000000023</v>
      </c>
      <c r="U330" s="257">
        <f>STDEV(D$2:D330)*SQRT(252)</f>
        <v>0.16527453966612005</v>
      </c>
      <c r="V330" s="257">
        <f>STDEV(L$2:L330)*SQRT(252)</f>
        <v>0.35879195158503097</v>
      </c>
      <c r="W330" s="256">
        <f t="shared" ref="W330" si="1199">N330/V330</f>
        <v>0.25539080868972786</v>
      </c>
    </row>
    <row r="331" spans="2:23" ht="20.100000000000001" customHeight="1" x14ac:dyDescent="0.25">
      <c r="B331" s="249">
        <v>42739</v>
      </c>
      <c r="C331" s="250">
        <v>2270.75</v>
      </c>
      <c r="D331" s="175">
        <f t="shared" si="1149"/>
        <v>5.7223085883348493E-3</v>
      </c>
      <c r="E331" s="251">
        <f t="shared" ref="E331" si="1200">(C331-$C$2)/$C$2</f>
        <v>8.0054603222921905E-2</v>
      </c>
      <c r="F331" s="252">
        <v>5477</v>
      </c>
      <c r="G331" s="175">
        <f t="shared" si="1140"/>
        <v>8.8265415134792767E-3</v>
      </c>
      <c r="H331" s="253">
        <f t="shared" ref="H331" si="1201">(F331-F$2)/F$2</f>
        <v>7.5672172358937126E-2</v>
      </c>
      <c r="I331" s="584">
        <v>330177.02</v>
      </c>
      <c r="J331" s="255">
        <v>300000</v>
      </c>
      <c r="K331" s="255">
        <f t="shared" ref="K331" si="1202">I331-I330-J331+J330</f>
        <v>2687.3699999999953</v>
      </c>
      <c r="L331" s="175">
        <f t="shared" si="1132"/>
        <v>8.2059692573490349E-3</v>
      </c>
      <c r="M331" s="256">
        <f t="shared" ref="M331" si="1203">I331-J331</f>
        <v>30177.020000000019</v>
      </c>
      <c r="N331" s="257">
        <f t="shared" ref="N331" si="1204">M331/J331</f>
        <v>0.10059006666666673</v>
      </c>
      <c r="O331" s="256" t="b">
        <f t="shared" ref="O331" si="1205">L331&gt;D331</f>
        <v>1</v>
      </c>
      <c r="P331" s="257">
        <f>COUNTIF(O$2:O331, TRUE)/(COUNTIF(O$2:O331,FALSE) + COUNTIF(O$2:O331, TRUE))</f>
        <v>0.5</v>
      </c>
      <c r="Q331" s="255">
        <v>236646.05</v>
      </c>
      <c r="R331" s="255">
        <f t="shared" si="1165"/>
        <v>93530.97000000003</v>
      </c>
      <c r="S331" s="255">
        <v>-27557</v>
      </c>
      <c r="T331" s="255">
        <f t="shared" ref="T331" si="1206">M331-S331</f>
        <v>57734.020000000019</v>
      </c>
      <c r="U331" s="257">
        <f>STDEV(D$2:D331)*SQRT(252)</f>
        <v>0.1650913475554088</v>
      </c>
      <c r="V331" s="257">
        <f>STDEV(L$2:L331)*SQRT(252)</f>
        <v>0.3583037455998867</v>
      </c>
      <c r="W331" s="256">
        <f t="shared" ref="W331" si="1207">N331/V331</f>
        <v>0.2807396459064494</v>
      </c>
    </row>
    <row r="332" spans="2:23" ht="20.100000000000001" customHeight="1" x14ac:dyDescent="0.25">
      <c r="B332" s="249">
        <v>42740</v>
      </c>
      <c r="C332" s="340">
        <v>2269</v>
      </c>
      <c r="D332" s="175">
        <f t="shared" si="1149"/>
        <v>-7.7067048332048887E-4</v>
      </c>
      <c r="E332" s="251">
        <f t="shared" ref="E332" si="1208">(C332-$C$2)/$C$2</f>
        <v>7.9222237019843586E-2</v>
      </c>
      <c r="F332" s="252">
        <v>5487.93</v>
      </c>
      <c r="G332" s="175">
        <f t="shared" si="1140"/>
        <v>1.995618039072538E-3</v>
      </c>
      <c r="H332" s="253">
        <f t="shared" ref="H332" si="1209">(F332-F$2)/F$2</f>
        <v>7.7818803150224977E-2</v>
      </c>
      <c r="I332" s="584">
        <v>330571.57</v>
      </c>
      <c r="J332" s="255">
        <v>300000</v>
      </c>
      <c r="K332" s="255">
        <f t="shared" ref="K332" si="1210">I332-I331-J332+J331</f>
        <v>394.54999999998836</v>
      </c>
      <c r="L332" s="175">
        <f t="shared" si="1132"/>
        <v>1.1949650523830771E-3</v>
      </c>
      <c r="M332" s="256">
        <f t="shared" ref="M332" si="1211">I332-J332</f>
        <v>30571.570000000007</v>
      </c>
      <c r="N332" s="257">
        <f t="shared" ref="N332" si="1212">M332/J332</f>
        <v>0.10190523333333336</v>
      </c>
      <c r="O332" s="256" t="b">
        <f t="shared" ref="O332" si="1213">L332&gt;D332</f>
        <v>1</v>
      </c>
      <c r="P332" s="257">
        <f>COUNTIF(O$2:O332, TRUE)/(COUNTIF(O$2:O332,FALSE) + COUNTIF(O$2:O332, TRUE))</f>
        <v>0.50151057401812693</v>
      </c>
      <c r="Q332" s="255">
        <v>239220.1</v>
      </c>
      <c r="R332" s="255">
        <f t="shared" ref="R332" si="1214">I332-Q332</f>
        <v>91351.47</v>
      </c>
      <c r="S332" s="255">
        <v>-27577</v>
      </c>
      <c r="T332" s="255">
        <f t="shared" ref="T332" si="1215">M332-S332</f>
        <v>58148.570000000007</v>
      </c>
      <c r="U332" s="257">
        <f>STDEV(D$2:D332)*SQRT(252)</f>
        <v>0.16484285342326518</v>
      </c>
      <c r="V332" s="257">
        <f>STDEV(L$2:L332)*SQRT(252)</f>
        <v>0.35775897178882049</v>
      </c>
      <c r="W332" s="256">
        <f t="shared" ref="W332" si="1216">N332/V332</f>
        <v>0.28484326423401735</v>
      </c>
    </row>
    <row r="333" spans="2:23" ht="20.100000000000001" customHeight="1" x14ac:dyDescent="0.25">
      <c r="B333" s="249">
        <v>42741</v>
      </c>
      <c r="C333" s="340">
        <v>2276.98</v>
      </c>
      <c r="D333" s="175">
        <f t="shared" si="1149"/>
        <v>3.516967827236676E-3</v>
      </c>
      <c r="E333" s="251">
        <f t="shared" ref="E333" si="1217">(C333-$C$2)/$C$2</f>
        <v>8.3017826905880762E-2</v>
      </c>
      <c r="F333" s="252">
        <v>5521.05</v>
      </c>
      <c r="G333" s="175">
        <f t="shared" si="1140"/>
        <v>6.0350624005772466E-3</v>
      </c>
      <c r="H333" s="253">
        <f t="shared" ref="H333" si="1218">(F333-F$2)/F$2</f>
        <v>8.4323506883752064E-2</v>
      </c>
      <c r="I333" s="584">
        <v>329655.77</v>
      </c>
      <c r="J333" s="255">
        <v>300000</v>
      </c>
      <c r="K333" s="255">
        <f t="shared" ref="K333" si="1219">I333-I332-J333+J332</f>
        <v>-915.79999999998836</v>
      </c>
      <c r="L333" s="175">
        <f t="shared" si="1132"/>
        <v>-2.7703531794944988E-3</v>
      </c>
      <c r="M333" s="256">
        <f t="shared" ref="M333" si="1220">I333-J333</f>
        <v>29655.770000000019</v>
      </c>
      <c r="N333" s="257">
        <f t="shared" ref="N333" si="1221">M333/J333</f>
        <v>9.8852566666666725E-2</v>
      </c>
      <c r="O333" s="256" t="b">
        <f t="shared" ref="O333" si="1222">L333&gt;D333</f>
        <v>0</v>
      </c>
      <c r="P333" s="257">
        <f>COUNTIF(O$2:O333, TRUE)/(COUNTIF(O$2:O333,FALSE) + COUNTIF(O$2:O333, TRUE))</f>
        <v>0.5</v>
      </c>
      <c r="Q333" s="255">
        <v>244584.65</v>
      </c>
      <c r="R333" s="255">
        <f t="shared" ref="R333" si="1223">I333-Q333</f>
        <v>85071.120000000024</v>
      </c>
      <c r="S333" s="255">
        <v>-26799</v>
      </c>
      <c r="T333" s="255">
        <f t="shared" ref="T333" si="1224">M333-S333</f>
        <v>56454.770000000019</v>
      </c>
      <c r="U333" s="257">
        <f>STDEV(D$2:D333)*SQRT(252)</f>
        <v>0.16461706321052907</v>
      </c>
      <c r="V333" s="257">
        <f>STDEV(L$2:L333)*SQRT(252)</f>
        <v>0.35723001747832872</v>
      </c>
      <c r="W333" s="256">
        <f t="shared" ref="W333" si="1225">N333/V333</f>
        <v>0.27671965352873401</v>
      </c>
    </row>
    <row r="334" spans="2:23" ht="20.100000000000001" customHeight="1" x14ac:dyDescent="0.25">
      <c r="B334" s="176">
        <v>42744</v>
      </c>
      <c r="C334" s="220">
        <v>2268.9</v>
      </c>
      <c r="D334" s="175">
        <f t="shared" si="1149"/>
        <v>-3.5485599346502506E-3</v>
      </c>
      <c r="E334" s="214">
        <f t="shared" ref="E334" si="1226">(C334-$C$2)/$C$2</f>
        <v>7.9174673236810572E-2</v>
      </c>
      <c r="F334" s="224">
        <v>5531.81</v>
      </c>
      <c r="G334" s="175">
        <f t="shared" si="1140"/>
        <v>1.9489046467610722E-3</v>
      </c>
      <c r="H334" s="208">
        <f t="shared" ref="H334" si="1227">(F334-F$2)/F$2</f>
        <v>8.6436750004910065E-2</v>
      </c>
      <c r="I334" s="226">
        <v>326473.82</v>
      </c>
      <c r="J334" s="177">
        <v>300000</v>
      </c>
      <c r="K334" s="177">
        <f t="shared" ref="K334" si="1228">I334-I333-J334+J333</f>
        <v>-3181.9500000000116</v>
      </c>
      <c r="L334" s="175">
        <f t="shared" si="1132"/>
        <v>-9.652341289218179E-3</v>
      </c>
      <c r="M334" s="187">
        <f t="shared" ref="M334" si="1229">I334-J334</f>
        <v>26473.820000000007</v>
      </c>
      <c r="N334" s="189">
        <f t="shared" ref="N334" si="1230">M334/J334</f>
        <v>8.8246066666666692E-2</v>
      </c>
      <c r="O334" s="187" t="b">
        <f t="shared" ref="O334" si="1231">L334&gt;D334</f>
        <v>0</v>
      </c>
      <c r="P334" s="189">
        <f>COUNTIF(O$2:O334, TRUE)/(COUNTIF(O$2:O334,FALSE) + COUNTIF(O$2:O334, TRUE))</f>
        <v>0.49849849849849848</v>
      </c>
      <c r="Q334" s="177">
        <v>241402.7</v>
      </c>
      <c r="R334" s="177">
        <f t="shared" ref="R334" si="1232">I334-Q334</f>
        <v>85071.12</v>
      </c>
      <c r="S334" s="177">
        <v>-27249</v>
      </c>
      <c r="T334" s="177">
        <f t="shared" ref="T334" si="1233">M334-S334</f>
        <v>53722.820000000007</v>
      </c>
      <c r="U334" s="189">
        <f>STDEV(D$2:D334)*SQRT(252)</f>
        <v>0.1644023055783676</v>
      </c>
      <c r="V334" s="189">
        <f>STDEV(L$2:L334)*SQRT(252)</f>
        <v>0.35680577395997881</v>
      </c>
      <c r="W334" s="187">
        <f t="shared" ref="W334" si="1234">N334/V334</f>
        <v>0.24732241770438623</v>
      </c>
    </row>
    <row r="335" spans="2:23" ht="20.100000000000001" customHeight="1" x14ac:dyDescent="0.25">
      <c r="B335" s="176">
        <v>42745</v>
      </c>
      <c r="C335" s="220">
        <v>2268.9</v>
      </c>
      <c r="D335" s="175">
        <f t="shared" ref="D335" si="1235">(C335-C334)/C334</f>
        <v>0</v>
      </c>
      <c r="E335" s="214">
        <f t="shared" ref="E335" si="1236">(C335-$C$2)/$C$2</f>
        <v>7.9174673236810572E-2</v>
      </c>
      <c r="F335" s="224">
        <v>5551.81</v>
      </c>
      <c r="G335" s="175">
        <f t="shared" ref="G335:G348" si="1237">(F335-F334)/F334</f>
        <v>3.6154531699389529E-3</v>
      </c>
      <c r="H335" s="208">
        <f t="shared" ref="H335" si="1238">(F335-F$2)/F$2</f>
        <v>9.0364711196653499E-2</v>
      </c>
      <c r="I335" s="226">
        <v>326978.32</v>
      </c>
      <c r="J335" s="177">
        <v>300000</v>
      </c>
      <c r="K335" s="177">
        <f t="shared" ref="K335" si="1239">I335-I334-J335+J334</f>
        <v>504.5</v>
      </c>
      <c r="L335" s="175">
        <f t="shared" si="1132"/>
        <v>1.545300018237297E-3</v>
      </c>
      <c r="M335" s="187">
        <f t="shared" ref="M335" si="1240">I335-J335</f>
        <v>26978.320000000007</v>
      </c>
      <c r="N335" s="189">
        <f t="shared" ref="N335" si="1241">M335/J335</f>
        <v>8.9927733333333357E-2</v>
      </c>
      <c r="O335" s="187" t="b">
        <f t="shared" ref="O335" si="1242">L335&gt;D335</f>
        <v>1</v>
      </c>
      <c r="P335" s="189">
        <f>COUNTIF(O$2:O335, TRUE)/(COUNTIF(O$2:O335,FALSE) + COUNTIF(O$2:O335, TRUE))</f>
        <v>0.5</v>
      </c>
      <c r="Q335" s="177">
        <v>241907.20000000001</v>
      </c>
      <c r="R335" s="177">
        <f t="shared" ref="R335" si="1243">I335-Q335</f>
        <v>85071.12</v>
      </c>
      <c r="S335" s="177">
        <v>-27297</v>
      </c>
      <c r="T335" s="177">
        <f t="shared" ref="T335" si="1244">M335-S335</f>
        <v>54275.320000000007</v>
      </c>
      <c r="U335" s="189">
        <f>STDEV(D$2:D335)*SQRT(252)</f>
        <v>0.16415470946518282</v>
      </c>
      <c r="V335" s="189">
        <f>STDEV(L$2:L335)*SQRT(252)</f>
        <v>0.35626868426595099</v>
      </c>
      <c r="W335" s="187">
        <f t="shared" ref="W335" si="1245">N335/V335</f>
        <v>0.25241548669543801</v>
      </c>
    </row>
    <row r="336" spans="2:23" ht="20.100000000000001" customHeight="1" x14ac:dyDescent="0.25">
      <c r="B336" s="176">
        <v>42746</v>
      </c>
      <c r="C336" s="220">
        <v>2275.3200000000002</v>
      </c>
      <c r="D336" s="175">
        <f t="shared" ref="D336" si="1246">(C336-C335)/C335</f>
        <v>2.8295649874388791E-3</v>
      </c>
      <c r="E336" s="214">
        <f t="shared" ref="E336" si="1247">(C336-$C$2)/$C$2</f>
        <v>8.2228268107532254E-2</v>
      </c>
      <c r="F336" s="224">
        <v>5563.64</v>
      </c>
      <c r="G336" s="175">
        <f t="shared" si="1237"/>
        <v>2.1308366100424776E-3</v>
      </c>
      <c r="H336" s="208">
        <f t="shared" ref="H336" si="1248">(F336-F$2)/F$2</f>
        <v>9.2688100241569718E-2</v>
      </c>
      <c r="I336" s="226">
        <v>329085.82</v>
      </c>
      <c r="J336" s="177">
        <v>300000</v>
      </c>
      <c r="K336" s="177">
        <f t="shared" ref="K336" si="1249">I336-I335-J336+J335</f>
        <v>2107.5</v>
      </c>
      <c r="L336" s="175">
        <f t="shared" si="1132"/>
        <v>6.4453814552597856E-3</v>
      </c>
      <c r="M336" s="187">
        <f t="shared" ref="M336" si="1250">I336-J336</f>
        <v>29085.820000000007</v>
      </c>
      <c r="N336" s="189">
        <f t="shared" ref="N336" si="1251">M336/J336</f>
        <v>9.695273333333336E-2</v>
      </c>
      <c r="O336" s="187" t="b">
        <f t="shared" ref="O336" si="1252">L336&gt;D336</f>
        <v>1</v>
      </c>
      <c r="P336" s="189">
        <f>COUNTIF(O$2:O336, TRUE)/(COUNTIF(O$2:O336,FALSE) + COUNTIF(O$2:O336, TRUE))</f>
        <v>0.5014925373134328</v>
      </c>
      <c r="Q336" s="177">
        <v>251208.6</v>
      </c>
      <c r="R336" s="177">
        <f t="shared" ref="R336" si="1253">I336-Q336</f>
        <v>77877.22</v>
      </c>
      <c r="S336" s="177">
        <v>-26997</v>
      </c>
      <c r="T336" s="177">
        <f t="shared" ref="T336" si="1254">M336-S336</f>
        <v>56082.820000000007</v>
      </c>
      <c r="U336" s="189">
        <f>STDEV(D$2:D336)*SQRT(252)</f>
        <v>0.16392298199837227</v>
      </c>
      <c r="V336" s="189">
        <f>STDEV(L$2:L336)*SQRT(252)</f>
        <v>0.35576772600589157</v>
      </c>
      <c r="W336" s="187">
        <f t="shared" ref="W336" si="1255">N336/V336</f>
        <v>0.2725169436300352</v>
      </c>
    </row>
    <row r="337" spans="2:23" ht="20.100000000000001" customHeight="1" x14ac:dyDescent="0.25">
      <c r="B337" s="176">
        <v>42747</v>
      </c>
      <c r="C337" s="220">
        <v>2270.44</v>
      </c>
      <c r="D337" s="175">
        <f t="shared" ref="D337:D339" si="1256">(C337-C336)/C336</f>
        <v>-2.1447532654747942E-3</v>
      </c>
      <c r="E337" s="214">
        <f t="shared" ref="E337" si="1257">(C337-$C$2)/$C$2</f>
        <v>7.9907155495519494E-2</v>
      </c>
      <c r="F337" s="224">
        <v>5547.48</v>
      </c>
      <c r="G337" s="175">
        <f t="shared" si="1237"/>
        <v>-2.9045732649849313E-3</v>
      </c>
      <c r="H337" s="208">
        <f t="shared" ref="H337" si="1258">(F337-F$2)/F$2</f>
        <v>8.9514307598640874E-2</v>
      </c>
      <c r="I337" s="226">
        <v>326943.46999999997</v>
      </c>
      <c r="J337" s="177">
        <v>300000</v>
      </c>
      <c r="K337" s="177">
        <f t="shared" ref="K337" si="1259">I337-I336-J337+J336</f>
        <v>-2142.3500000000349</v>
      </c>
      <c r="L337" s="175">
        <f t="shared" si="1132"/>
        <v>-6.5100039861943453E-3</v>
      </c>
      <c r="M337" s="187">
        <f t="shared" ref="M337" si="1260">I337-J337</f>
        <v>26943.469999999972</v>
      </c>
      <c r="N337" s="189">
        <f t="shared" ref="N337" si="1261">M337/J337</f>
        <v>8.9811566666666579E-2</v>
      </c>
      <c r="O337" s="187" t="b">
        <f t="shared" ref="O337" si="1262">L337&gt;D337</f>
        <v>0</v>
      </c>
      <c r="P337" s="189">
        <f>COUNTIF(O$2:O337, TRUE)/(COUNTIF(O$2:O337,FALSE) + COUNTIF(O$2:O337, TRUE))</f>
        <v>0.5</v>
      </c>
      <c r="Q337" s="177">
        <v>249037.25</v>
      </c>
      <c r="R337" s="177">
        <f t="shared" ref="R337" si="1263">I337-Q337</f>
        <v>77906.219999999972</v>
      </c>
      <c r="S337" s="177">
        <v>-27073</v>
      </c>
      <c r="T337" s="177">
        <f t="shared" ref="T337" si="1264">M337-S337</f>
        <v>54016.469999999972</v>
      </c>
      <c r="U337" s="189">
        <f>STDEV(D$2:D337)*SQRT(252)</f>
        <v>0.1636910220978732</v>
      </c>
      <c r="V337" s="189">
        <f>STDEV(L$2:L337)*SQRT(252)</f>
        <v>0.35529082433819081</v>
      </c>
      <c r="W337" s="187">
        <f t="shared" ref="W337" si="1265">N337/V337</f>
        <v>0.2527832426687654</v>
      </c>
    </row>
    <row r="338" spans="2:23" ht="20.100000000000001" customHeight="1" x14ac:dyDescent="0.25">
      <c r="B338" s="176">
        <v>42748</v>
      </c>
      <c r="C338" s="220">
        <v>2274.64</v>
      </c>
      <c r="D338" s="175">
        <f t="shared" si="1256"/>
        <v>1.8498617008156208E-3</v>
      </c>
      <c r="E338" s="214">
        <f t="shared" ref="E338" si="1266">(C338-$C$2)/$C$2</f>
        <v>8.1904834382907396E-2</v>
      </c>
      <c r="F338" s="224">
        <v>5574.12</v>
      </c>
      <c r="G338" s="175">
        <f t="shared" si="1237"/>
        <v>4.8021804495014548E-3</v>
      </c>
      <c r="H338" s="208">
        <f t="shared" ref="H338" si="1267">(F338-F$2)/F$2</f>
        <v>9.4746351906043191E-2</v>
      </c>
      <c r="I338" s="226">
        <v>327247.34999999998</v>
      </c>
      <c r="J338" s="177">
        <v>300000</v>
      </c>
      <c r="K338" s="177">
        <f t="shared" ref="K338" si="1268">I338-I337-J338+J337</f>
        <v>303.88000000000466</v>
      </c>
      <c r="L338" s="175">
        <f t="shared" si="1132"/>
        <v>9.2945731566378945E-4</v>
      </c>
      <c r="M338" s="187">
        <f t="shared" ref="M338" si="1269">I338-J338</f>
        <v>27247.349999999977</v>
      </c>
      <c r="N338" s="189">
        <f t="shared" ref="N338" si="1270">M338/J338</f>
        <v>9.0824499999999919E-2</v>
      </c>
      <c r="O338" s="187" t="b">
        <f t="shared" ref="O338" si="1271">L338&gt;D338</f>
        <v>0</v>
      </c>
      <c r="P338" s="189">
        <f>COUNTIF(O$2:O338, TRUE)/(COUNTIF(O$2:O338,FALSE) + COUNTIF(O$2:O338, TRUE))</f>
        <v>0.49851632047477745</v>
      </c>
      <c r="Q338" s="177">
        <v>250832.3</v>
      </c>
      <c r="R338" s="177">
        <f t="shared" ref="R338" si="1272">I338-Q338</f>
        <v>76415.049999999988</v>
      </c>
      <c r="S338" s="177">
        <v>-26980</v>
      </c>
      <c r="T338" s="177">
        <f t="shared" ref="T338" si="1273">M338-S338</f>
        <v>54227.349999999977</v>
      </c>
      <c r="U338" s="189">
        <f>STDEV(D$2:D338)*SQRT(252)</f>
        <v>0.1634521615646928</v>
      </c>
      <c r="V338" s="189">
        <f>STDEV(L$2:L338)*SQRT(252)</f>
        <v>0.35476017854562014</v>
      </c>
      <c r="W338" s="187">
        <f t="shared" ref="W338" si="1274">N338/V338</f>
        <v>0.25601661486456945</v>
      </c>
    </row>
    <row r="339" spans="2:23" ht="20.100000000000001" customHeight="1" x14ac:dyDescent="0.25">
      <c r="B339" s="249">
        <v>42752</v>
      </c>
      <c r="C339" s="340">
        <v>2267.89</v>
      </c>
      <c r="D339" s="175">
        <f t="shared" si="1256"/>
        <v>-2.9675025498540428E-3</v>
      </c>
      <c r="E339" s="251">
        <f t="shared" ref="E339" si="1275">(C339-$C$2)/$C$2</f>
        <v>7.8694279028176703E-2</v>
      </c>
      <c r="F339" s="252">
        <v>5538.72</v>
      </c>
      <c r="G339" s="175">
        <f t="shared" si="1237"/>
        <v>-6.3507782394350383E-3</v>
      </c>
      <c r="H339" s="253">
        <f t="shared" ref="H339" si="1276">(F339-F$2)/F$2</f>
        <v>8.7793860596657392E-2</v>
      </c>
      <c r="I339" s="584">
        <v>326901.49</v>
      </c>
      <c r="J339" s="255">
        <v>300000</v>
      </c>
      <c r="K339" s="255">
        <f t="shared" ref="K339" si="1277">I339-I338-J339+J338</f>
        <v>-345.85999999998603</v>
      </c>
      <c r="L339" s="175">
        <f t="shared" si="1132"/>
        <v>-1.0568763964016394E-3</v>
      </c>
      <c r="M339" s="256">
        <f t="shared" ref="M339" si="1278">I339-J339</f>
        <v>26901.489999999991</v>
      </c>
      <c r="N339" s="257">
        <f t="shared" ref="N339" si="1279">M339/J339</f>
        <v>8.9671633333333306E-2</v>
      </c>
      <c r="O339" s="256" t="b">
        <f t="shared" ref="O339" si="1280">L339&gt;D339</f>
        <v>1</v>
      </c>
      <c r="P339" s="257">
        <f>COUNTIF(O$2:O339, TRUE)/(COUNTIF(O$2:O339,FALSE) + COUNTIF(O$2:O339, TRUE))</f>
        <v>0.5</v>
      </c>
      <c r="Q339" s="255">
        <v>246815.4</v>
      </c>
      <c r="R339" s="255">
        <f t="shared" ref="R339" si="1281">I339-Q339</f>
        <v>80086.09</v>
      </c>
      <c r="S339" s="255">
        <v>-26747</v>
      </c>
      <c r="T339" s="255">
        <f t="shared" ref="T339" si="1282">M339-S339</f>
        <v>53648.489999999991</v>
      </c>
      <c r="U339" s="257">
        <f>STDEV(D$2:D339)*SQRT(252)</f>
        <v>0.16323301111868488</v>
      </c>
      <c r="V339" s="257">
        <f>STDEV(L$2:L339)*SQRT(252)</f>
        <v>0.35423530326809799</v>
      </c>
      <c r="W339" s="256">
        <f t="shared" ref="W339" si="1283">N339/V339</f>
        <v>0.25314143594961397</v>
      </c>
    </row>
    <row r="340" spans="2:23" ht="20.100000000000001" customHeight="1" x14ac:dyDescent="0.25">
      <c r="B340" s="249">
        <v>42753</v>
      </c>
      <c r="C340" s="340">
        <v>2271.89</v>
      </c>
      <c r="D340" s="175">
        <f t="shared" ref="D340:D348" si="1284">(C340-C339)/C339</f>
        <v>1.7637539739581726E-3</v>
      </c>
      <c r="E340" s="251">
        <f t="shared" ref="E340" si="1285">(C340-$C$2)/$C$2</f>
        <v>8.0596830349498591E-2</v>
      </c>
      <c r="F340" s="252">
        <v>5555.65</v>
      </c>
      <c r="G340" s="175">
        <f t="shared" si="1237"/>
        <v>3.0566629112862504E-3</v>
      </c>
      <c r="H340" s="253">
        <f t="shared" ref="H340" si="1286">(F340-F$2)/F$2</f>
        <v>9.1118879745468076E-2</v>
      </c>
      <c r="I340" s="584">
        <v>326777.7</v>
      </c>
      <c r="J340" s="255">
        <v>300000</v>
      </c>
      <c r="K340" s="255">
        <f t="shared" ref="K340" si="1287">I340-I339-J340+J339</f>
        <v>-123.78999999997905</v>
      </c>
      <c r="L340" s="175">
        <f t="shared" si="1132"/>
        <v>-3.7867676895562345E-4</v>
      </c>
      <c r="M340" s="256">
        <f t="shared" ref="M340" si="1288">I340-J340</f>
        <v>26777.700000000012</v>
      </c>
      <c r="N340" s="257">
        <f t="shared" ref="N340" si="1289">M340/J340</f>
        <v>8.9259000000000033E-2</v>
      </c>
      <c r="O340" s="256" t="b">
        <f t="shared" ref="O340" si="1290">L340&gt;D340</f>
        <v>0</v>
      </c>
      <c r="P340" s="257">
        <f>COUNTIF(O$2:O340, TRUE)/(COUNTIF(O$2:O340,FALSE) + COUNTIF(O$2:O340, TRUE))</f>
        <v>0.49852507374631266</v>
      </c>
      <c r="Q340" s="255">
        <v>244625.7</v>
      </c>
      <c r="R340" s="255">
        <f t="shared" ref="R340" si="1291">I340-Q340</f>
        <v>82152</v>
      </c>
      <c r="S340" s="255">
        <v>-26746</v>
      </c>
      <c r="T340" s="255">
        <f t="shared" ref="T340" si="1292">M340-S340</f>
        <v>53523.700000000012</v>
      </c>
      <c r="U340" s="257">
        <f>STDEV(D$2:D340)*SQRT(252)</f>
        <v>0.16299569851885642</v>
      </c>
      <c r="V340" s="257">
        <f>STDEV(L$2:L340)*SQRT(252)</f>
        <v>0.35371066425752529</v>
      </c>
      <c r="W340" s="256">
        <f t="shared" ref="W340" si="1293">N340/V340</f>
        <v>0.25235032194283358</v>
      </c>
    </row>
    <row r="341" spans="2:23" ht="20.100000000000001" customHeight="1" x14ac:dyDescent="0.25">
      <c r="B341" s="249">
        <v>42754</v>
      </c>
      <c r="C341" s="340">
        <v>2263.69</v>
      </c>
      <c r="D341" s="175">
        <f t="shared" si="1284"/>
        <v>-3.6093296770529464E-3</v>
      </c>
      <c r="E341" s="251">
        <f t="shared" ref="E341" si="1294">(C341-$C$2)/$C$2</f>
        <v>7.6696600140788801E-2</v>
      </c>
      <c r="F341" s="252">
        <v>5540.08</v>
      </c>
      <c r="G341" s="175">
        <f t="shared" si="1237"/>
        <v>-2.8025523566098855E-3</v>
      </c>
      <c r="H341" s="253">
        <f t="shared" ref="H341" si="1295">(F341-F$2)/F$2</f>
        <v>8.8060961957695888E-2</v>
      </c>
      <c r="I341" s="584">
        <v>324862.34999999998</v>
      </c>
      <c r="J341" s="255">
        <v>300000</v>
      </c>
      <c r="K341" s="255">
        <f t="shared" ref="K341" si="1296">I341-I340-J341+J340</f>
        <v>-1915.3500000000349</v>
      </c>
      <c r="L341" s="175">
        <f t="shared" si="1132"/>
        <v>-5.8613240744397029E-3</v>
      </c>
      <c r="M341" s="256">
        <f t="shared" ref="M341" si="1297">I341-J341</f>
        <v>24862.349999999977</v>
      </c>
      <c r="N341" s="257">
        <f t="shared" ref="N341" si="1298">M341/J341</f>
        <v>8.287449999999992E-2</v>
      </c>
      <c r="O341" s="256" t="b">
        <f t="shared" ref="O341" si="1299">L341&gt;D341</f>
        <v>0</v>
      </c>
      <c r="P341" s="257">
        <f>COUNTIF(O$2:O341, TRUE)/(COUNTIF(O$2:O341,FALSE) + COUNTIF(O$2:O341, TRUE))</f>
        <v>0.49705882352941178</v>
      </c>
      <c r="Q341" s="255">
        <v>251939.75</v>
      </c>
      <c r="R341" s="255">
        <f t="shared" ref="R341" si="1300">I341-Q341</f>
        <v>72922.599999999977</v>
      </c>
      <c r="S341" s="255">
        <v>-27278</v>
      </c>
      <c r="T341" s="255">
        <f t="shared" ref="T341" si="1301">M341-S341</f>
        <v>52140.349999999977</v>
      </c>
      <c r="U341" s="257">
        <f>STDEV(D$2:D341)*SQRT(252)</f>
        <v>0.16278897536112508</v>
      </c>
      <c r="V341" s="257">
        <f>STDEV(L$2:L341)*SQRT(252)</f>
        <v>0.35323287120524727</v>
      </c>
      <c r="W341" s="256">
        <f t="shared" ref="W341" si="1302">N341/V341</f>
        <v>0.23461717964477147</v>
      </c>
    </row>
    <row r="342" spans="2:23" ht="20.100000000000001" customHeight="1" x14ac:dyDescent="0.25">
      <c r="B342" s="249">
        <v>42755</v>
      </c>
      <c r="C342" s="340">
        <v>2271.31</v>
      </c>
      <c r="D342" s="175">
        <f t="shared" si="1284"/>
        <v>3.3661852992237853E-3</v>
      </c>
      <c r="E342" s="251">
        <f t="shared" ref="E342" si="1303">(C342-$C$2)/$C$2</f>
        <v>8.0320960407906955E-2</v>
      </c>
      <c r="F342" s="252">
        <v>5555.33</v>
      </c>
      <c r="G342" s="175">
        <f t="shared" si="1237"/>
        <v>2.7526678315114585E-3</v>
      </c>
      <c r="H342" s="253">
        <f t="shared" ref="H342" si="1304">(F342-F$2)/F$2</f>
        <v>9.1056032366400239E-2</v>
      </c>
      <c r="I342" s="584">
        <v>326822.08</v>
      </c>
      <c r="J342" s="255">
        <v>300000</v>
      </c>
      <c r="K342" s="255">
        <f t="shared" ref="K342" si="1305">I342-I341-J342+J341</f>
        <v>1959.7300000000396</v>
      </c>
      <c r="L342" s="175">
        <f t="shared" si="1132"/>
        <v>6.0324934545355584E-3</v>
      </c>
      <c r="M342" s="256">
        <f t="shared" ref="M342" si="1306">I342-J342</f>
        <v>26822.080000000016</v>
      </c>
      <c r="N342" s="257">
        <f t="shared" ref="N342" si="1307">M342/J342</f>
        <v>8.9406933333333383E-2</v>
      </c>
      <c r="O342" s="256" t="b">
        <f t="shared" ref="O342" si="1308">L342&gt;D342</f>
        <v>1</v>
      </c>
      <c r="P342" s="257">
        <f>COUNTIF(O$2:O342, TRUE)/(COUNTIF(O$2:O342,FALSE) + COUNTIF(O$2:O342, TRUE))</f>
        <v>0.49853372434017595</v>
      </c>
      <c r="Q342" s="255">
        <v>263368.55</v>
      </c>
      <c r="R342" s="255">
        <f t="shared" ref="R342" si="1309">I342-Q342</f>
        <v>63453.530000000028</v>
      </c>
      <c r="S342" s="255">
        <v>-27778</v>
      </c>
      <c r="T342" s="255">
        <f t="shared" ref="T342" si="1310">M342-S342</f>
        <v>54600.080000000016</v>
      </c>
      <c r="U342" s="257">
        <f>STDEV(D$2:D342)*SQRT(252)</f>
        <v>0.16257054597852011</v>
      </c>
      <c r="V342" s="257">
        <f>STDEV(L$2:L342)*SQRT(252)</f>
        <v>0.35274115689547414</v>
      </c>
      <c r="W342" s="256">
        <f t="shared" ref="W342" si="1311">N342/V342</f>
        <v>0.25346328769859666</v>
      </c>
    </row>
    <row r="343" spans="2:23" ht="20.100000000000001" customHeight="1" x14ac:dyDescent="0.25">
      <c r="B343" s="176">
        <v>42758</v>
      </c>
      <c r="C343" s="220">
        <v>2265.1999999999998</v>
      </c>
      <c r="D343" s="175">
        <f t="shared" si="1284"/>
        <v>-2.6900775323492289E-3</v>
      </c>
      <c r="E343" s="214">
        <f t="shared" ref="E343" si="1312">(C343-$C$2)/$C$2</f>
        <v>7.7414813264587698E-2</v>
      </c>
      <c r="F343" s="224">
        <v>5552.94</v>
      </c>
      <c r="G343" s="175">
        <f t="shared" si="1237"/>
        <v>-4.3021746682921221E-4</v>
      </c>
      <c r="H343" s="208">
        <f t="shared" ref="H343" si="1313">(F343-F$2)/F$2</f>
        <v>9.0586641003986834E-2</v>
      </c>
      <c r="I343" s="226">
        <v>324687.64</v>
      </c>
      <c r="J343" s="177">
        <v>300000</v>
      </c>
      <c r="K343" s="177">
        <f t="shared" ref="K343" si="1314">I343-I342-J343+J342</f>
        <v>-2134.4400000000023</v>
      </c>
      <c r="L343" s="175">
        <f t="shared" si="1132"/>
        <v>-6.530892894384621E-3</v>
      </c>
      <c r="M343" s="187">
        <f t="shared" ref="M343" si="1315">I343-J343</f>
        <v>24687.640000000014</v>
      </c>
      <c r="N343" s="189">
        <f t="shared" ref="N343" si="1316">M343/J343</f>
        <v>8.2292133333333378E-2</v>
      </c>
      <c r="O343" s="187" t="b">
        <f t="shared" ref="O343" si="1317">L343&gt;D343</f>
        <v>0</v>
      </c>
      <c r="P343" s="189">
        <f>COUNTIF(O$2:O343, TRUE)/(COUNTIF(O$2:O343,FALSE) + COUNTIF(O$2:O343, TRUE))</f>
        <v>0.49707602339181284</v>
      </c>
      <c r="Q343" s="177">
        <v>262468.09999999998</v>
      </c>
      <c r="R343" s="177">
        <f t="shared" ref="R343" si="1318">I343-Q343</f>
        <v>62219.540000000037</v>
      </c>
      <c r="S343" s="177">
        <v>-28619</v>
      </c>
      <c r="T343" s="177">
        <f t="shared" ref="T343" si="1319">M343-S343</f>
        <v>53306.640000000014</v>
      </c>
      <c r="U343" s="189">
        <f>STDEV(D$2:D343)*SQRT(252)</f>
        <v>0.16235136583576509</v>
      </c>
      <c r="V343" s="189">
        <f>STDEV(L$2:L343)*SQRT(252)</f>
        <v>0.3522774110686045</v>
      </c>
      <c r="W343" s="187">
        <f t="shared" ref="W343" si="1320">N343/V343</f>
        <v>0.23360036933309739</v>
      </c>
    </row>
    <row r="344" spans="2:23" ht="20.100000000000001" customHeight="1" x14ac:dyDescent="0.25">
      <c r="B344" s="176">
        <v>42759</v>
      </c>
      <c r="C344" s="220">
        <v>2280.0700000000002</v>
      </c>
      <c r="D344" s="175">
        <f t="shared" si="1284"/>
        <v>6.5645417623169467E-3</v>
      </c>
      <c r="E344" s="214">
        <f t="shared" ref="E344" si="1321">(C344-$C$2)/$C$2</f>
        <v>8.4487547801602003E-2</v>
      </c>
      <c r="F344" s="224">
        <v>5600.95</v>
      </c>
      <c r="G344" s="175">
        <f t="shared" si="1237"/>
        <v>8.6458704758200552E-3</v>
      </c>
      <c r="H344" s="208">
        <f t="shared" ref="H344" si="1322">(F344-F$2)/F$2</f>
        <v>0.10001571184476697</v>
      </c>
      <c r="I344" s="226">
        <v>328611.7</v>
      </c>
      <c r="J344" s="177">
        <v>300000</v>
      </c>
      <c r="K344" s="177">
        <f t="shared" ref="K344" si="1323">I344-I343-J344+J343</f>
        <v>3924.0599999999977</v>
      </c>
      <c r="L344" s="175">
        <f t="shared" si="1132"/>
        <v>1.208564637693014E-2</v>
      </c>
      <c r="M344" s="187">
        <f t="shared" ref="M344" si="1324">I344-J344</f>
        <v>28611.700000000012</v>
      </c>
      <c r="N344" s="189">
        <f t="shared" ref="N344" si="1325">M344/J344</f>
        <v>9.5372333333333378E-2</v>
      </c>
      <c r="O344" s="187" t="b">
        <f t="shared" ref="O344" si="1326">L344&gt;D344</f>
        <v>1</v>
      </c>
      <c r="P344" s="189">
        <f>COUNTIF(O$2:O344, TRUE)/(COUNTIF(O$2:O344,FALSE) + COUNTIF(O$2:O344, TRUE))</f>
        <v>0.49854227405247814</v>
      </c>
      <c r="Q344" s="177">
        <v>264117.25</v>
      </c>
      <c r="R344" s="177">
        <f t="shared" ref="R344" si="1327">I344-Q344</f>
        <v>64494.450000000012</v>
      </c>
      <c r="S344" s="177">
        <v>-28448</v>
      </c>
      <c r="T344" s="177">
        <f t="shared" ref="T344" si="1328">M344-S344</f>
        <v>57059.700000000012</v>
      </c>
      <c r="U344" s="189">
        <f>STDEV(D$2:D344)*SQRT(252)</f>
        <v>0.16220313783315865</v>
      </c>
      <c r="V344" s="189">
        <f>STDEV(L$2:L344)*SQRT(252)</f>
        <v>0.35189592517189633</v>
      </c>
      <c r="W344" s="187">
        <f t="shared" ref="W344" si="1329">N344/V344</f>
        <v>0.27102426175223626</v>
      </c>
    </row>
    <row r="345" spans="2:23" ht="20.100000000000001" customHeight="1" x14ac:dyDescent="0.25">
      <c r="B345" s="176">
        <v>42760</v>
      </c>
      <c r="C345" s="220">
        <v>2298.37</v>
      </c>
      <c r="D345" s="175">
        <f t="shared" si="1284"/>
        <v>8.0260693750629254E-3</v>
      </c>
      <c r="E345" s="214">
        <f t="shared" ref="E345" si="1330">(C345-$C$2)/$C$2</f>
        <v>9.3191720096649527E-2</v>
      </c>
      <c r="F345" s="224">
        <v>5656.33</v>
      </c>
      <c r="G345" s="175">
        <f t="shared" si="1237"/>
        <v>9.887608352154565E-3</v>
      </c>
      <c r="H345" s="208">
        <f t="shared" ref="H345" si="1331">(F345-F$2)/F$2</f>
        <v>0.11089223638470455</v>
      </c>
      <c r="I345" s="226">
        <v>331080.08</v>
      </c>
      <c r="J345" s="177">
        <v>300000</v>
      </c>
      <c r="K345" s="177">
        <f t="shared" ref="K345" si="1332">I345-I344-J345+J344</f>
        <v>2468.3800000000047</v>
      </c>
      <c r="L345" s="175">
        <f t="shared" si="1132"/>
        <v>7.511540216005713E-3</v>
      </c>
      <c r="M345" s="187">
        <f t="shared" ref="M345" si="1333">I345-J345</f>
        <v>31080.080000000016</v>
      </c>
      <c r="N345" s="189">
        <f t="shared" ref="N345" si="1334">M345/J345</f>
        <v>0.10360026666666672</v>
      </c>
      <c r="O345" s="187" t="b">
        <f t="shared" ref="O345" si="1335">L345&gt;D345</f>
        <v>0</v>
      </c>
      <c r="P345" s="189">
        <f>COUNTIF(O$2:O345, TRUE)/(COUNTIF(O$2:O345,FALSE) + COUNTIF(O$2:O345, TRUE))</f>
        <v>0.49709302325581395</v>
      </c>
      <c r="Q345" s="177">
        <v>259620.35</v>
      </c>
      <c r="R345" s="177">
        <f t="shared" ref="R345" si="1336">I345-Q345</f>
        <v>71459.73000000001</v>
      </c>
      <c r="S345" s="177">
        <v>-28211</v>
      </c>
      <c r="T345" s="177">
        <f t="shared" ref="T345" si="1337">M345-S345</f>
        <v>59291.080000000016</v>
      </c>
      <c r="U345" s="189">
        <f>STDEV(D$2:D345)*SQRT(252)</f>
        <v>0.16210153500122582</v>
      </c>
      <c r="V345" s="189">
        <f>STDEV(L$2:L345)*SQRT(252)</f>
        <v>0.35142892173835949</v>
      </c>
      <c r="W345" s="187">
        <f t="shared" ref="W345" si="1338">N345/V345</f>
        <v>0.29479721291635075</v>
      </c>
    </row>
    <row r="346" spans="2:23" ht="20.100000000000001" customHeight="1" x14ac:dyDescent="0.25">
      <c r="B346" s="176">
        <v>42761</v>
      </c>
      <c r="C346" s="220">
        <v>2296.6799999999998</v>
      </c>
      <c r="D346" s="175">
        <f t="shared" si="1284"/>
        <v>-7.3530371524169506E-4</v>
      </c>
      <c r="E346" s="214">
        <f t="shared" ref="E346" si="1339">(C346-$C$2)/$C$2</f>
        <v>9.2387892163390994E-2</v>
      </c>
      <c r="F346" s="224">
        <v>5655.17</v>
      </c>
      <c r="G346" s="175">
        <f t="shared" si="1237"/>
        <v>-2.0507997234953663E-4</v>
      </c>
      <c r="H346" s="208">
        <f t="shared" ref="H346" si="1340">(F346-F$2)/F$2</f>
        <v>0.11066441463558345</v>
      </c>
      <c r="I346" s="226">
        <v>330371.86</v>
      </c>
      <c r="J346" s="177">
        <v>300000</v>
      </c>
      <c r="K346" s="177">
        <f t="shared" ref="K346" si="1341">I346-I345-J346+J345</f>
        <v>-708.22000000003027</v>
      </c>
      <c r="L346" s="175">
        <f t="shared" si="1132"/>
        <v>-2.1391199373880488E-3</v>
      </c>
      <c r="M346" s="187">
        <f t="shared" ref="M346" si="1342">I346-J346</f>
        <v>30371.859999999986</v>
      </c>
      <c r="N346" s="189">
        <f t="shared" ref="N346" si="1343">M346/J346</f>
        <v>0.10123953333333328</v>
      </c>
      <c r="O346" s="187" t="b">
        <f t="shared" ref="O346" si="1344">L346&gt;D346</f>
        <v>0</v>
      </c>
      <c r="P346" s="189">
        <f>COUNTIF(O$2:O346, TRUE)/(COUNTIF(O$2:O346,FALSE) + COUNTIF(O$2:O346, TRUE))</f>
        <v>0.4956521739130435</v>
      </c>
      <c r="Q346" s="177">
        <v>261550.96</v>
      </c>
      <c r="R346" s="177">
        <f t="shared" ref="R346" si="1345">I346-Q346</f>
        <v>68820.899999999994</v>
      </c>
      <c r="S346" s="177">
        <v>-28489</v>
      </c>
      <c r="T346" s="177">
        <f t="shared" ref="T346" si="1346">M346-S346</f>
        <v>58860.859999999986</v>
      </c>
      <c r="U346" s="189">
        <f>STDEV(D$2:D346)*SQRT(252)</f>
        <v>0.16186754333702152</v>
      </c>
      <c r="V346" s="189">
        <f>STDEV(L$2:L346)*SQRT(252)</f>
        <v>0.35092507165589804</v>
      </c>
      <c r="W346" s="187">
        <f t="shared" ref="W346" si="1347">N346/V346</f>
        <v>0.28849330387144412</v>
      </c>
    </row>
    <row r="347" spans="2:23" ht="20.100000000000001" customHeight="1" x14ac:dyDescent="0.25">
      <c r="B347" s="176">
        <v>42762</v>
      </c>
      <c r="C347" s="220">
        <v>2294.69</v>
      </c>
      <c r="D347" s="175">
        <f t="shared" si="1284"/>
        <v>-8.6646811919805194E-4</v>
      </c>
      <c r="E347" s="214">
        <f t="shared" ref="E347" si="1348">(C347-$C$2)/$C$2</f>
        <v>9.1441372881033461E-2</v>
      </c>
      <c r="F347" s="224">
        <v>5660.78</v>
      </c>
      <c r="G347" s="175">
        <f t="shared" si="1237"/>
        <v>9.9201261854191345E-4</v>
      </c>
      <c r="H347" s="208">
        <f t="shared" ref="H347" si="1349">(F347-F$2)/F$2</f>
        <v>0.11176620774986742</v>
      </c>
      <c r="I347" s="226">
        <v>328778.71999999997</v>
      </c>
      <c r="J347" s="177">
        <v>300000</v>
      </c>
      <c r="K347" s="177">
        <f t="shared" ref="K347" si="1350">I347-I346-J347+J346</f>
        <v>-1593.140000000014</v>
      </c>
      <c r="L347" s="175">
        <f t="shared" si="1132"/>
        <v>-4.822263009930731E-3</v>
      </c>
      <c r="M347" s="187">
        <f t="shared" ref="M347" si="1351">I347-J347</f>
        <v>28778.719999999972</v>
      </c>
      <c r="N347" s="189">
        <f t="shared" ref="N347" si="1352">M347/J347</f>
        <v>9.5929066666666576E-2</v>
      </c>
      <c r="O347" s="187" t="b">
        <f t="shared" ref="O347" si="1353">L347&gt;D347</f>
        <v>0</v>
      </c>
      <c r="P347" s="189">
        <f>COUNTIF(O$2:O347, TRUE)/(COUNTIF(O$2:O347,FALSE) + COUNTIF(O$2:O347, TRUE))</f>
        <v>0.49421965317919075</v>
      </c>
      <c r="Q347" s="177">
        <v>258478.8</v>
      </c>
      <c r="R347" s="177">
        <f t="shared" ref="R347" si="1354">I347-Q347</f>
        <v>70299.919999999984</v>
      </c>
      <c r="S347" s="177">
        <v>-28586</v>
      </c>
      <c r="T347" s="177">
        <f t="shared" ref="T347" si="1355">M347-S347</f>
        <v>57364.719999999972</v>
      </c>
      <c r="U347" s="189">
        <f>STDEV(D$2:D347)*SQRT(252)</f>
        <v>0.16163521958957874</v>
      </c>
      <c r="V347" s="189">
        <f>STDEV(L$2:L347)*SQRT(252)</f>
        <v>0.35044708647568024</v>
      </c>
      <c r="W347" s="187">
        <f t="shared" ref="W347" si="1356">N347/V347</f>
        <v>0.27373338335150837</v>
      </c>
    </row>
    <row r="348" spans="2:23" ht="20.100000000000001" customHeight="1" x14ac:dyDescent="0.25">
      <c r="B348" s="249">
        <v>42765</v>
      </c>
      <c r="C348" s="340">
        <v>2280.9</v>
      </c>
      <c r="D348" s="175">
        <f t="shared" si="1284"/>
        <v>-6.0095263412486928E-3</v>
      </c>
      <c r="E348" s="251">
        <f t="shared" ref="E348" si="1357">(C348-$C$2)/$C$2</f>
        <v>8.488232720077625E-2</v>
      </c>
      <c r="F348" s="252">
        <v>5613.71</v>
      </c>
      <c r="G348" s="175">
        <f t="shared" si="1237"/>
        <v>-8.3151085186139919E-3</v>
      </c>
      <c r="H348" s="253">
        <f t="shared" ref="H348" si="1358">(F348-F$2)/F$2</f>
        <v>0.10252175108509932</v>
      </c>
      <c r="I348" s="584">
        <v>323091.52</v>
      </c>
      <c r="J348" s="255">
        <v>300000</v>
      </c>
      <c r="K348" s="255">
        <f t="shared" ref="K348" si="1359">I348-I347-J348+J347</f>
        <v>-5687.1999999999534</v>
      </c>
      <c r="L348" s="175">
        <f t="shared" si="1132"/>
        <v>-1.7297956510080561E-2</v>
      </c>
      <c r="M348" s="256">
        <f t="shared" ref="M348" si="1360">I348-J348</f>
        <v>23091.520000000019</v>
      </c>
      <c r="N348" s="257">
        <f t="shared" ref="N348" si="1361">M348/J348</f>
        <v>7.6971733333333389E-2</v>
      </c>
      <c r="O348" s="256" t="b">
        <f t="shared" ref="O348" si="1362">L348&gt;D348</f>
        <v>0</v>
      </c>
      <c r="P348" s="257">
        <f>COUNTIF(O$2:O348, TRUE)/(COUNTIF(O$2:O348,FALSE) + COUNTIF(O$2:O348, TRUE))</f>
        <v>0.49279538904899134</v>
      </c>
      <c r="Q348" s="255">
        <v>273132.59999999998</v>
      </c>
      <c r="R348" s="255">
        <f t="shared" ref="R348" si="1363">I348-Q348</f>
        <v>49958.920000000042</v>
      </c>
      <c r="S348" s="255">
        <v>-28819</v>
      </c>
      <c r="T348" s="255">
        <f t="shared" ref="T348" si="1364">M348-S348</f>
        <v>51910.520000000019</v>
      </c>
      <c r="U348" s="257">
        <f>STDEV(D$2:D348)*SQRT(252)</f>
        <v>0.16149074119515683</v>
      </c>
      <c r="V348" s="257">
        <f>STDEV(L$2:L348)*SQRT(252)</f>
        <v>0.35027731512032595</v>
      </c>
      <c r="W348" s="256">
        <f t="shared" ref="W348" si="1365">N348/V348</f>
        <v>0.21974512767660204</v>
      </c>
    </row>
    <row r="349" spans="2:23" ht="20.100000000000001" customHeight="1" x14ac:dyDescent="0.25">
      <c r="B349" s="249">
        <v>42766</v>
      </c>
      <c r="C349" s="340">
        <v>2278.87</v>
      </c>
      <c r="D349" s="175">
        <f>(C349-C348)/C348</f>
        <v>-8.8999956157665837E-4</v>
      </c>
      <c r="E349" s="251">
        <f t="shared" ref="E349" si="1366">(C349-$C$2)/$C$2</f>
        <v>8.3916782405205295E-2</v>
      </c>
      <c r="F349" s="252">
        <v>5614.78</v>
      </c>
      <c r="G349" s="175">
        <f>(F349-F348)/F348</f>
        <v>1.9060478720840743E-4</v>
      </c>
      <c r="H349" s="253">
        <f>(F349-F$2)/F$2</f>
        <v>0.10273189700885754</v>
      </c>
      <c r="I349" s="633">
        <v>326440.17</v>
      </c>
      <c r="J349" s="255">
        <v>300000</v>
      </c>
      <c r="K349" s="255">
        <f>I349-I348-J349+J348</f>
        <v>3348.6499999999651</v>
      </c>
      <c r="L349" s="175">
        <f>K349/I348</f>
        <v>1.0364400774121107E-2</v>
      </c>
      <c r="M349" s="489">
        <f t="shared" ref="M349" si="1367">I349-J349</f>
        <v>26440.169999999984</v>
      </c>
      <c r="N349" s="257">
        <f t="shared" ref="N349" si="1368">M349/J349</f>
        <v>8.8133899999999946E-2</v>
      </c>
      <c r="O349" s="256" t="b">
        <f t="shared" ref="O349" si="1369">L349&gt;D349</f>
        <v>1</v>
      </c>
      <c r="P349" s="257">
        <f>COUNTIF(O$2:O349, TRUE)/(COUNTIF(O$2:O349,FALSE) + COUNTIF(O$2:O349, TRUE))</f>
        <v>0.4942528735632184</v>
      </c>
      <c r="Q349" s="255">
        <v>269996.05</v>
      </c>
      <c r="R349" s="255">
        <f t="shared" ref="R349" si="1370">I349-Q349</f>
        <v>56444.119999999995</v>
      </c>
      <c r="S349" s="255">
        <v>-28046</v>
      </c>
      <c r="T349" s="255">
        <f t="shared" ref="T349" si="1371">M349-S349</f>
        <v>54486.169999999984</v>
      </c>
      <c r="U349" s="257">
        <f>STDEV(D$2:D349)*SQRT(252)</f>
        <v>0.16126032344317026</v>
      </c>
      <c r="V349" s="257">
        <f>STDEV(L$2:L349)*SQRT(252)</f>
        <v>0.34986792755966306</v>
      </c>
      <c r="W349" s="256">
        <f t="shared" ref="W349" si="1372">N349/V349</f>
        <v>0.25190619961862737</v>
      </c>
    </row>
    <row r="350" spans="2:23" ht="20.100000000000001" customHeight="1" x14ac:dyDescent="0.25">
      <c r="B350" s="249">
        <v>42767</v>
      </c>
      <c r="C350" s="340">
        <v>2279.5500000000002</v>
      </c>
      <c r="D350" s="175">
        <f>(C350-C349)/C349</f>
        <v>2.9839350204280678E-4</v>
      </c>
      <c r="E350" s="251">
        <f t="shared" ref="E350" si="1373">(C350-$C$2)/$C$2</f>
        <v>8.4240216129830167E-2</v>
      </c>
      <c r="F350" s="252">
        <v>5642.65</v>
      </c>
      <c r="G350" s="175">
        <f>(F350-F349)/F349</f>
        <v>4.9636851310291569E-3</v>
      </c>
      <c r="H350" s="253">
        <f>(F350-F$2)/F$2</f>
        <v>0.10820551092955198</v>
      </c>
      <c r="I350" s="584">
        <v>325798.71999999997</v>
      </c>
      <c r="J350" s="255">
        <v>300000</v>
      </c>
      <c r="K350" s="255">
        <f>I350-I349-J350+J349</f>
        <v>-641.45000000001164</v>
      </c>
      <c r="L350" s="175">
        <f>K350/I349</f>
        <v>-1.9649848852854464E-3</v>
      </c>
      <c r="M350" s="636">
        <f t="shared" ref="M350" si="1374">I350-J350</f>
        <v>25798.719999999972</v>
      </c>
      <c r="N350" s="257">
        <f t="shared" ref="N350" si="1375">M350/J350</f>
        <v>8.5995733333333241E-2</v>
      </c>
      <c r="O350" s="256" t="b">
        <f t="shared" ref="O350" si="1376">L350&gt;D350</f>
        <v>0</v>
      </c>
      <c r="P350" s="257">
        <f>COUNTIF(O$2:O350, TRUE)/(COUNTIF(O$2:O350,FALSE) + COUNTIF(O$2:O350, TRUE))</f>
        <v>0.49283667621776506</v>
      </c>
      <c r="Q350" s="255">
        <v>267944.34999999998</v>
      </c>
      <c r="R350" s="255">
        <f t="shared" ref="R350" si="1377">I350-Q350</f>
        <v>57854.369999999995</v>
      </c>
      <c r="S350" s="255">
        <v>-28725</v>
      </c>
      <c r="T350" s="255">
        <f t="shared" ref="T350" si="1378">M350-S350</f>
        <v>54523.719999999972</v>
      </c>
      <c r="U350" s="257">
        <f>STDEV(D$2:D350)*SQRT(252)</f>
        <v>0.1610277927077004</v>
      </c>
      <c r="V350" s="257">
        <f>STDEV(L$2:L350)*SQRT(252)</f>
        <v>0.34937088827322704</v>
      </c>
      <c r="W350" s="256">
        <f t="shared" ref="W350" si="1379">N350/V350</f>
        <v>0.24614453069735992</v>
      </c>
    </row>
    <row r="351" spans="2:23" ht="20.100000000000001" customHeight="1" x14ac:dyDescent="0.25">
      <c r="B351" s="249">
        <v>42768</v>
      </c>
      <c r="C351" s="340">
        <v>2280.85</v>
      </c>
      <c r="D351" s="175">
        <f>(C351-C350)/C350</f>
        <v>5.7028799543757628E-4</v>
      </c>
      <c r="E351" s="251">
        <f t="shared" ref="E351" si="1380">(C351-$C$2)/$C$2</f>
        <v>8.4858545309259639E-2</v>
      </c>
      <c r="F351" s="252">
        <v>5636.19</v>
      </c>
      <c r="G351" s="175">
        <f>(F351-F350)/F350</f>
        <v>-1.1448521528005524E-3</v>
      </c>
      <c r="H351" s="253">
        <f>(F351-F$2)/F$2</f>
        <v>0.10693677946461885</v>
      </c>
      <c r="I351" s="584">
        <v>326587.24</v>
      </c>
      <c r="J351" s="255">
        <v>300000</v>
      </c>
      <c r="K351" s="255">
        <f>I351-I350-J351+J350</f>
        <v>788.52000000001863</v>
      </c>
      <c r="L351" s="175">
        <f>K351/I350</f>
        <v>2.4202673356114434E-3</v>
      </c>
      <c r="M351" s="636">
        <f t="shared" ref="M351" si="1381">I351-J351</f>
        <v>26587.239999999991</v>
      </c>
      <c r="N351" s="257">
        <f t="shared" ref="N351" si="1382">M351/J351</f>
        <v>8.8624133333333299E-2</v>
      </c>
      <c r="O351" s="256" t="b">
        <f t="shared" ref="O351" si="1383">L351&gt;D351</f>
        <v>1</v>
      </c>
      <c r="P351" s="257">
        <f>COUNTIF(O$2:O351, TRUE)/(COUNTIF(O$2:O351,FALSE) + COUNTIF(O$2:O351, TRUE))</f>
        <v>0.49428571428571427</v>
      </c>
      <c r="Q351" s="255">
        <v>272398.15000000002</v>
      </c>
      <c r="R351" s="255">
        <f t="shared" ref="R351" si="1384">I351-Q351</f>
        <v>54189.089999999967</v>
      </c>
      <c r="S351" s="255">
        <v>-29233</v>
      </c>
      <c r="T351" s="255">
        <f t="shared" ref="T351" si="1385">M351-S351</f>
        <v>55820.239999999991</v>
      </c>
      <c r="U351" s="257">
        <f>STDEV(D$2:D351)*SQRT(252)</f>
        <v>0.16079644900185747</v>
      </c>
      <c r="V351" s="257">
        <f>STDEV(L$2:L351)*SQRT(252)</f>
        <v>0.34887158546682562</v>
      </c>
      <c r="W351" s="256">
        <f t="shared" ref="W351" si="1386">N351/V351</f>
        <v>0.25403081542093836</v>
      </c>
    </row>
    <row r="352" spans="2:23" ht="20.100000000000001" customHeight="1" x14ac:dyDescent="0.25">
      <c r="B352" s="249">
        <v>42769</v>
      </c>
      <c r="C352" s="340">
        <v>2297.42</v>
      </c>
      <c r="D352" s="175">
        <f>(C352-C351)/C351</f>
        <v>7.2648354780016945E-3</v>
      </c>
      <c r="E352" s="251">
        <f t="shared" ref="E352" si="1387">(C352-$C$2)/$C$2</f>
        <v>9.2739864157835666E-2</v>
      </c>
      <c r="F352" s="252">
        <v>5666.76</v>
      </c>
      <c r="G352" s="175">
        <f>(F352-F351)/F351</f>
        <v>5.4238767678166672E-3</v>
      </c>
      <c r="H352" s="253">
        <f>(F352-F$2)/F$2</f>
        <v>0.1129406681461988</v>
      </c>
      <c r="I352" s="584">
        <v>330217.57</v>
      </c>
      <c r="J352" s="255">
        <v>300000</v>
      </c>
      <c r="K352" s="255">
        <f>I352-I351-J352+J351</f>
        <v>3630.3300000000163</v>
      </c>
      <c r="L352" s="175">
        <f>K352/I351</f>
        <v>1.1115957867796723E-2</v>
      </c>
      <c r="M352" s="636">
        <f t="shared" ref="M352" si="1388">I352-J352</f>
        <v>30217.570000000007</v>
      </c>
      <c r="N352" s="257">
        <f t="shared" ref="N352" si="1389">M352/J352</f>
        <v>0.10072523333333336</v>
      </c>
      <c r="O352" s="256" t="b">
        <f t="shared" ref="O352" si="1390">L352&gt;D352</f>
        <v>1</v>
      </c>
      <c r="P352" s="257">
        <f>COUNTIF(O$2:O352, TRUE)/(COUNTIF(O$2:O352,FALSE) + COUNTIF(O$2:O352, TRUE))</f>
        <v>0.49572649572649574</v>
      </c>
      <c r="Q352" s="255">
        <v>260496.3</v>
      </c>
      <c r="R352" s="255">
        <f t="shared" ref="R352" si="1391">I352-Q352</f>
        <v>69721.270000000019</v>
      </c>
      <c r="S352" s="255">
        <v>-28712</v>
      </c>
      <c r="T352" s="255">
        <f t="shared" ref="T352" si="1392">M352-S352</f>
        <v>58929.570000000007</v>
      </c>
      <c r="U352" s="257">
        <f>STDEV(D$2:D352)*SQRT(252)</f>
        <v>0.16067512606366424</v>
      </c>
      <c r="V352" s="257">
        <f>STDEV(L$2:L352)*SQRT(252)</f>
        <v>0.34848319217701207</v>
      </c>
      <c r="W352" s="256">
        <f t="shared" ref="W352" si="1393">N352/V352</f>
        <v>0.28903899985560844</v>
      </c>
    </row>
  </sheetData>
  <conditionalFormatting sqref="D3:D352">
    <cfRule type="colorScale" priority="302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352">
    <cfRule type="colorScale" priority="238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352">
    <cfRule type="colorScale" priority="237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352">
    <cfRule type="colorScale" priority="304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1:L2 L353:L1048576">
    <cfRule type="colorScale" priority="528">
      <colorScale>
        <cfvo type="min"/>
        <cfvo type="num" val="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N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8.7109375" customWidth="1"/>
    <col min="23" max="23" width="10" customWidth="1"/>
    <col min="24" max="27" width="7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0" x14ac:dyDescent="0.25">
      <c r="A2" s="6" t="s">
        <v>62</v>
      </c>
      <c r="G2" s="74"/>
      <c r="H2" s="185"/>
      <c r="I2" s="3"/>
      <c r="J2" s="3"/>
      <c r="K2" s="3"/>
      <c r="L2" s="4"/>
      <c r="O2" s="11" t="s">
        <v>57</v>
      </c>
      <c r="Q2">
        <f>C18-H18</f>
        <v>0</v>
      </c>
      <c r="W2" s="133">
        <v>42768</v>
      </c>
      <c r="X2" s="10">
        <v>263.76</v>
      </c>
      <c r="Y2" s="10">
        <v>264.52</v>
      </c>
      <c r="Z2" s="10">
        <v>260.5</v>
      </c>
      <c r="AA2" s="10">
        <v>264.23</v>
      </c>
      <c r="AB2" s="95">
        <v>2728300</v>
      </c>
      <c r="AC2" s="10">
        <v>264.23</v>
      </c>
      <c r="AD2" s="2">
        <f>Y2-Z2</f>
        <v>4.0199999999999818</v>
      </c>
      <c r="AE2" s="138">
        <f>AC2/AC3-1</f>
        <v>-6.1983030991515475E-2</v>
      </c>
    </row>
    <row r="3" spans="1:40" x14ac:dyDescent="0.25">
      <c r="A3" s="23" t="s">
        <v>71</v>
      </c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264.67</v>
      </c>
      <c r="W3" s="133">
        <v>42767</v>
      </c>
      <c r="X3" s="10">
        <v>278.98</v>
      </c>
      <c r="Y3" s="10">
        <v>282.07</v>
      </c>
      <c r="Z3" s="10">
        <v>277.51</v>
      </c>
      <c r="AA3" s="10">
        <v>281.69</v>
      </c>
      <c r="AB3" s="95">
        <v>1697600</v>
      </c>
      <c r="AC3" s="10">
        <v>281.69</v>
      </c>
      <c r="AD3" s="2">
        <f t="shared" ref="AD3:AD66" si="0">Y3-Z3</f>
        <v>4.5600000000000023</v>
      </c>
      <c r="AE3" s="138">
        <f t="shared" ref="AE3:AE66" si="1">AC3/AC4-1</f>
        <v>1.6051074880969463E-2</v>
      </c>
      <c r="AG3" s="1"/>
      <c r="AK3" s="234"/>
      <c r="AN3" s="234"/>
    </row>
    <row r="4" spans="1:40" x14ac:dyDescent="0.25">
      <c r="G4" s="74"/>
      <c r="H4" s="185"/>
      <c r="I4" s="3"/>
      <c r="J4" s="3"/>
      <c r="K4" s="3"/>
      <c r="L4" s="4"/>
      <c r="O4" s="11" t="s">
        <v>66</v>
      </c>
      <c r="Q4" s="55">
        <v>264.67</v>
      </c>
      <c r="R4" s="526">
        <v>1.6999999999999999E-3</v>
      </c>
      <c r="T4" s="1"/>
      <c r="W4" s="133">
        <v>42766</v>
      </c>
      <c r="X4" s="10">
        <v>275.01</v>
      </c>
      <c r="Y4" s="10">
        <v>278</v>
      </c>
      <c r="Z4" s="10">
        <v>271.89999999999998</v>
      </c>
      <c r="AA4" s="10">
        <v>277.24</v>
      </c>
      <c r="AB4" s="95">
        <v>1854500</v>
      </c>
      <c r="AC4" s="10">
        <v>277.24</v>
      </c>
      <c r="AD4" s="2">
        <f t="shared" si="0"/>
        <v>6.1000000000000227</v>
      </c>
      <c r="AE4" s="138">
        <f t="shared" si="1"/>
        <v>4.2744330942547926E-3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O5" s="11" t="s">
        <v>67</v>
      </c>
      <c r="Q5" s="3">
        <f>Q4*Q2</f>
        <v>0</v>
      </c>
      <c r="T5" s="1"/>
      <c r="W5" s="133">
        <v>42765</v>
      </c>
      <c r="X5" s="10">
        <v>278.27</v>
      </c>
      <c r="Y5" s="10">
        <v>278.89999999999998</v>
      </c>
      <c r="Z5" s="10">
        <v>274.22000000000003</v>
      </c>
      <c r="AA5" s="10">
        <v>276.06</v>
      </c>
      <c r="AB5" s="95">
        <v>1297900</v>
      </c>
      <c r="AC5" s="10">
        <v>276.06</v>
      </c>
      <c r="AD5" s="2">
        <f t="shared" si="0"/>
        <v>4.67999999999995</v>
      </c>
      <c r="AE5" s="138">
        <f t="shared" si="1"/>
        <v>-7.7279752704790816E-3</v>
      </c>
      <c r="AK5" s="234"/>
      <c r="AN5" s="234"/>
    </row>
    <row r="6" spans="1:40" x14ac:dyDescent="0.25">
      <c r="B6" s="164"/>
      <c r="C6" s="4"/>
      <c r="D6" s="3"/>
      <c r="E6" s="3"/>
      <c r="F6" s="3"/>
      <c r="G6" s="7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42762</v>
      </c>
      <c r="X6" s="10">
        <v>280.45999999999998</v>
      </c>
      <c r="Y6" s="10">
        <v>281.98</v>
      </c>
      <c r="Z6" s="10">
        <v>277.29000000000002</v>
      </c>
      <c r="AA6" s="10">
        <v>278.20999999999998</v>
      </c>
      <c r="AB6" s="95">
        <v>1334600</v>
      </c>
      <c r="AC6" s="10">
        <v>278.20999999999998</v>
      </c>
      <c r="AD6" s="2">
        <f t="shared" si="0"/>
        <v>4.6899999999999977</v>
      </c>
      <c r="AE6" s="138">
        <f t="shared" si="1"/>
        <v>-2.4382372978594136E-3</v>
      </c>
      <c r="AK6" s="234"/>
      <c r="AN6" s="234"/>
    </row>
    <row r="7" spans="1:40" x14ac:dyDescent="0.25">
      <c r="B7" s="16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181</v>
      </c>
      <c r="Q7" s="2">
        <f>Q10+Q8</f>
        <v>1659.3600000000079</v>
      </c>
      <c r="R7">
        <v>0</v>
      </c>
      <c r="W7" s="133">
        <v>42761</v>
      </c>
      <c r="X7" s="10">
        <v>278</v>
      </c>
      <c r="Y7" s="10">
        <v>285.77999999999997</v>
      </c>
      <c r="Z7" s="10">
        <v>277</v>
      </c>
      <c r="AA7" s="10">
        <v>278.89</v>
      </c>
      <c r="AB7" s="95">
        <v>2417200</v>
      </c>
      <c r="AC7" s="10">
        <v>278.89</v>
      </c>
      <c r="AD7" s="2">
        <f t="shared" si="0"/>
        <v>8.7799999999999727</v>
      </c>
      <c r="AE7" s="138">
        <f t="shared" si="1"/>
        <v>2.0677792416922802E-2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O8" s="11" t="s">
        <v>184</v>
      </c>
      <c r="P8" s="34"/>
      <c r="Q8" s="2">
        <f>K18+M18-F18+Q2*Q4</f>
        <v>0</v>
      </c>
      <c r="W8" s="133">
        <v>42760</v>
      </c>
      <c r="X8" s="10">
        <v>274.54000000000002</v>
      </c>
      <c r="Y8" s="10">
        <v>277.77999999999997</v>
      </c>
      <c r="Z8" s="10">
        <v>271.43</v>
      </c>
      <c r="AA8" s="10">
        <v>273.24</v>
      </c>
      <c r="AB8" s="95">
        <v>2506100</v>
      </c>
      <c r="AC8" s="10">
        <v>273.24</v>
      </c>
      <c r="AD8" s="2">
        <f t="shared" si="0"/>
        <v>6.3499999999999659</v>
      </c>
      <c r="AE8" s="138">
        <f t="shared" si="1"/>
        <v>-2.1181798261631357E-3</v>
      </c>
      <c r="AK8" s="234"/>
      <c r="AN8" s="234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O9" s="11" t="s">
        <v>214</v>
      </c>
      <c r="Q9" s="138">
        <f>IF(Q2=0, 0, Q8/Q6)</f>
        <v>0</v>
      </c>
      <c r="T9" s="158"/>
      <c r="W9" s="133">
        <v>42759</v>
      </c>
      <c r="X9" s="10">
        <v>275.74</v>
      </c>
      <c r="Y9" s="10">
        <v>278.39999999999998</v>
      </c>
      <c r="Z9" s="10">
        <v>271.47000000000003</v>
      </c>
      <c r="AA9" s="10">
        <v>273.82</v>
      </c>
      <c r="AB9" s="95">
        <v>1942600</v>
      </c>
      <c r="AC9" s="10">
        <v>273.82</v>
      </c>
      <c r="AD9" s="2">
        <f t="shared" si="0"/>
        <v>6.92999999999995</v>
      </c>
      <c r="AE9" s="138">
        <f t="shared" si="1"/>
        <v>-7.9704369248604356E-3</v>
      </c>
    </row>
    <row r="10" spans="1:40" x14ac:dyDescent="0.25">
      <c r="B10" s="74"/>
      <c r="C10" s="4"/>
      <c r="D10" s="3"/>
      <c r="E10" s="3"/>
      <c r="F10" s="3"/>
      <c r="G10" s="74"/>
      <c r="H10" s="4"/>
      <c r="I10" s="4"/>
      <c r="J10" s="4"/>
      <c r="K10" s="3"/>
      <c r="L10" s="4"/>
      <c r="O10" s="11" t="s">
        <v>213</v>
      </c>
      <c r="P10" s="34"/>
      <c r="Q10" s="2">
        <f>M39</f>
        <v>1659.3600000000079</v>
      </c>
      <c r="W10" s="133">
        <v>42758</v>
      </c>
      <c r="X10" s="10">
        <v>280.35000000000002</v>
      </c>
      <c r="Y10" s="10">
        <v>282.72000000000003</v>
      </c>
      <c r="Z10" s="10">
        <v>275.49</v>
      </c>
      <c r="AA10" s="10">
        <v>276.02</v>
      </c>
      <c r="AB10" s="95">
        <v>1849800</v>
      </c>
      <c r="AC10" s="10">
        <v>276.02</v>
      </c>
      <c r="AD10" s="2">
        <f t="shared" si="0"/>
        <v>7.2300000000000182</v>
      </c>
      <c r="AE10" s="138">
        <f t="shared" si="1"/>
        <v>-1.6532459203306593E-2</v>
      </c>
    </row>
    <row r="11" spans="1:40" x14ac:dyDescent="0.25">
      <c r="B11" s="74"/>
      <c r="C11" s="4"/>
      <c r="D11" s="3"/>
      <c r="E11" s="3"/>
      <c r="F11" s="3"/>
      <c r="G11" s="74"/>
      <c r="H11" s="4"/>
      <c r="I11" s="4"/>
      <c r="J11" s="4"/>
      <c r="K11" s="3"/>
      <c r="L11" s="4"/>
      <c r="O11" s="11" t="s">
        <v>178</v>
      </c>
      <c r="P11" s="34"/>
      <c r="Q11" s="138">
        <f>IF(U58="N/A (N/A)", 0, VALUE(TRIM(CLEAN(MID(U58, FIND("(", U58)+1, 5)))))</f>
        <v>0</v>
      </c>
      <c r="W11" s="133">
        <v>42755</v>
      </c>
      <c r="X11" s="10">
        <v>282.07</v>
      </c>
      <c r="Y11" s="10">
        <v>282.56</v>
      </c>
      <c r="Z11" s="10">
        <v>279.41000000000003</v>
      </c>
      <c r="AA11" s="10">
        <v>280.66000000000003</v>
      </c>
      <c r="AB11" s="95">
        <v>1949400</v>
      </c>
      <c r="AC11" s="10">
        <v>280.66000000000003</v>
      </c>
      <c r="AD11" s="2">
        <f t="shared" si="0"/>
        <v>3.1499999999999773</v>
      </c>
      <c r="AE11" s="138">
        <f t="shared" si="1"/>
        <v>1.1057606563225075E-3</v>
      </c>
    </row>
    <row r="12" spans="1:40" x14ac:dyDescent="0.25">
      <c r="B12" s="74"/>
      <c r="C12" s="4"/>
      <c r="D12" s="3"/>
      <c r="E12" s="3"/>
      <c r="F12" s="3"/>
      <c r="G12" s="74"/>
      <c r="H12" s="4"/>
      <c r="I12" s="4"/>
      <c r="J12" s="4"/>
      <c r="K12" s="3"/>
      <c r="L12" s="4"/>
      <c r="W12" s="133">
        <v>42754</v>
      </c>
      <c r="X12" s="10">
        <v>282.74</v>
      </c>
      <c r="Y12" s="10">
        <v>284.83999999999997</v>
      </c>
      <c r="Z12" s="10">
        <v>279.23</v>
      </c>
      <c r="AA12" s="10">
        <v>280.35000000000002</v>
      </c>
      <c r="AB12" s="95">
        <v>1384600</v>
      </c>
      <c r="AC12" s="10">
        <v>280.35000000000002</v>
      </c>
      <c r="AD12" s="2">
        <f t="shared" si="0"/>
        <v>5.6099999999999568</v>
      </c>
      <c r="AE12" s="138">
        <f t="shared" si="1"/>
        <v>-1.1494658157328641E-2</v>
      </c>
    </row>
    <row r="13" spans="1:40" x14ac:dyDescent="0.25">
      <c r="B13" s="74"/>
      <c r="C13" s="4"/>
      <c r="D13" s="3"/>
      <c r="E13" s="3"/>
      <c r="F13" s="3"/>
      <c r="G13" s="74"/>
      <c r="H13" s="4"/>
      <c r="I13" s="3"/>
      <c r="J13" s="4"/>
      <c r="K13" s="3"/>
      <c r="L13" s="4"/>
      <c r="W13" s="133">
        <v>42753</v>
      </c>
      <c r="X13" s="10">
        <v>284.79000000000002</v>
      </c>
      <c r="Y13" s="10">
        <v>286.16000000000003</v>
      </c>
      <c r="Z13" s="10">
        <v>282.87</v>
      </c>
      <c r="AA13" s="10">
        <v>283.61</v>
      </c>
      <c r="AB13" s="95">
        <v>1074300</v>
      </c>
      <c r="AC13" s="10">
        <v>283.61</v>
      </c>
      <c r="AD13" s="2">
        <f t="shared" si="0"/>
        <v>3.2900000000000205</v>
      </c>
      <c r="AE13" s="138">
        <f t="shared" si="1"/>
        <v>2.1200664287481796E-3</v>
      </c>
    </row>
    <row r="14" spans="1:40" x14ac:dyDescent="0.25">
      <c r="B14" s="74"/>
      <c r="C14" s="4"/>
      <c r="D14" s="3"/>
      <c r="E14" s="3"/>
      <c r="F14" s="3"/>
      <c r="G14" s="74"/>
      <c r="H14" s="4"/>
      <c r="I14" s="4"/>
      <c r="J14" s="4"/>
      <c r="K14" s="3"/>
      <c r="L14" s="4"/>
      <c r="W14" s="133">
        <v>42752</v>
      </c>
      <c r="X14" s="10">
        <v>284.27999999999997</v>
      </c>
      <c r="Y14" s="10">
        <v>286.35000000000002</v>
      </c>
      <c r="Z14" s="10">
        <v>281.08</v>
      </c>
      <c r="AA14" s="10">
        <v>283.01</v>
      </c>
      <c r="AB14" s="95">
        <v>1966100</v>
      </c>
      <c r="AC14" s="10">
        <v>283.01</v>
      </c>
      <c r="AD14" s="2">
        <f t="shared" si="0"/>
        <v>5.2700000000000387</v>
      </c>
      <c r="AE14" s="138">
        <f t="shared" si="1"/>
        <v>-6.1106233538191779E-3</v>
      </c>
    </row>
    <row r="15" spans="1:40" x14ac:dyDescent="0.25">
      <c r="B15" s="4"/>
      <c r="C15" s="4"/>
      <c r="D15" s="3"/>
      <c r="E15" s="3"/>
      <c r="F15" s="3"/>
      <c r="G15" s="74"/>
      <c r="H15" s="4"/>
      <c r="I15" s="4"/>
      <c r="J15" s="4"/>
      <c r="K15" s="3"/>
      <c r="L15" s="4"/>
      <c r="W15" s="133">
        <v>42748</v>
      </c>
      <c r="X15" s="10">
        <v>288.07</v>
      </c>
      <c r="Y15" s="10">
        <v>289.86</v>
      </c>
      <c r="Z15" s="10">
        <v>284.25</v>
      </c>
      <c r="AA15" s="10">
        <v>284.75</v>
      </c>
      <c r="AB15" s="95">
        <v>1691700</v>
      </c>
      <c r="AC15" s="10">
        <v>284.75</v>
      </c>
      <c r="AD15" s="2">
        <f t="shared" si="0"/>
        <v>5.6100000000000136</v>
      </c>
      <c r="AE15" s="138">
        <f t="shared" si="1"/>
        <v>-1.0494492129130895E-2</v>
      </c>
    </row>
    <row r="16" spans="1:40" x14ac:dyDescent="0.25">
      <c r="G16" s="1"/>
      <c r="W16" s="133">
        <v>42747</v>
      </c>
      <c r="X16" s="10">
        <v>286.61</v>
      </c>
      <c r="Y16" s="10">
        <v>288.99</v>
      </c>
      <c r="Z16" s="10">
        <v>285.04000000000002</v>
      </c>
      <c r="AA16" s="10">
        <v>287.77</v>
      </c>
      <c r="AB16" s="95">
        <v>1353100</v>
      </c>
      <c r="AC16" s="10">
        <v>287.77</v>
      </c>
      <c r="AD16" s="2">
        <f t="shared" si="0"/>
        <v>3.9499999999999886</v>
      </c>
      <c r="AE16" s="138">
        <f t="shared" si="1"/>
        <v>2.2987705060777408E-3</v>
      </c>
    </row>
    <row r="17" spans="1:31" x14ac:dyDescent="0.25">
      <c r="G17" s="1"/>
      <c r="W17" s="133">
        <v>42746</v>
      </c>
      <c r="X17" s="10">
        <v>296.95</v>
      </c>
      <c r="Y17" s="10">
        <v>297.89999999999998</v>
      </c>
      <c r="Z17" s="10">
        <v>285</v>
      </c>
      <c r="AA17" s="10">
        <v>287.11</v>
      </c>
      <c r="AB17" s="95">
        <v>2442600</v>
      </c>
      <c r="AC17" s="10">
        <v>287.11</v>
      </c>
      <c r="AD17" s="2">
        <f t="shared" si="0"/>
        <v>12.899999999999977</v>
      </c>
      <c r="AE17" s="138">
        <f t="shared" si="1"/>
        <v>-3.5864199603747648E-2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3">
        <v>42745</v>
      </c>
      <c r="X18" s="10">
        <v>300.42</v>
      </c>
      <c r="Y18" s="10">
        <v>301.42</v>
      </c>
      <c r="Z18" s="10">
        <v>296.43</v>
      </c>
      <c r="AA18" s="10">
        <v>297.79000000000002</v>
      </c>
      <c r="AB18" s="95">
        <v>1399700</v>
      </c>
      <c r="AC18" s="10">
        <v>297.79000000000002</v>
      </c>
      <c r="AD18" s="2">
        <f t="shared" si="0"/>
        <v>4.9900000000000091</v>
      </c>
      <c r="AE18" s="138">
        <f t="shared" si="1"/>
        <v>-4.1134372282789489E-3</v>
      </c>
    </row>
    <row r="19" spans="1:31" x14ac:dyDescent="0.25">
      <c r="N19" s="2"/>
      <c r="W19" s="133">
        <v>42744</v>
      </c>
      <c r="X19" s="10">
        <v>295.39</v>
      </c>
      <c r="Y19" s="10">
        <v>300</v>
      </c>
      <c r="Z19" s="10">
        <v>294.41000000000003</v>
      </c>
      <c r="AA19" s="10">
        <v>299.02</v>
      </c>
      <c r="AB19" s="95">
        <v>1429100</v>
      </c>
      <c r="AC19" s="10">
        <v>299.02</v>
      </c>
      <c r="AD19" s="2">
        <f t="shared" si="0"/>
        <v>5.589999999999975</v>
      </c>
      <c r="AE19" s="138">
        <f t="shared" si="1"/>
        <v>1.3627118644067737E-2</v>
      </c>
    </row>
    <row r="20" spans="1:31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5" t="s">
        <v>65</v>
      </c>
      <c r="G20" s="229" t="s">
        <v>152</v>
      </c>
      <c r="H20" s="195" t="s">
        <v>88</v>
      </c>
      <c r="I20" s="195" t="s">
        <v>155</v>
      </c>
      <c r="W20" s="133">
        <v>42741</v>
      </c>
      <c r="X20" s="10">
        <v>294.58999999999997</v>
      </c>
      <c r="Y20" s="10">
        <v>296.41000000000003</v>
      </c>
      <c r="Z20" s="10">
        <v>292.39</v>
      </c>
      <c r="AA20" s="10">
        <v>295</v>
      </c>
      <c r="AB20" s="95">
        <v>1077900</v>
      </c>
      <c r="AC20" s="10">
        <v>295</v>
      </c>
      <c r="AD20" s="2">
        <f t="shared" si="0"/>
        <v>4.0200000000000387</v>
      </c>
      <c r="AE20" s="138">
        <f t="shared" si="1"/>
        <v>4.8710699322138673E-3</v>
      </c>
    </row>
    <row r="21" spans="1:31" x14ac:dyDescent="0.25">
      <c r="B21" s="193"/>
      <c r="C21" s="10"/>
      <c r="D21" s="40"/>
      <c r="E21" s="40"/>
      <c r="F21" s="40"/>
      <c r="G21" s="40"/>
      <c r="H21" s="231"/>
      <c r="I21" s="231"/>
      <c r="W21" s="133">
        <v>42740</v>
      </c>
      <c r="X21" s="10">
        <v>294.81</v>
      </c>
      <c r="Y21" s="10">
        <v>296.32</v>
      </c>
      <c r="Z21" s="10">
        <v>292.22000000000003</v>
      </c>
      <c r="AA21" s="10">
        <v>293.57</v>
      </c>
      <c r="AB21" s="95">
        <v>1144200</v>
      </c>
      <c r="AC21" s="10">
        <v>293.57</v>
      </c>
      <c r="AD21" s="2">
        <f t="shared" si="0"/>
        <v>4.0999999999999659</v>
      </c>
      <c r="AE21" s="138">
        <f t="shared" si="1"/>
        <v>-1.6323754463527518E-3</v>
      </c>
    </row>
    <row r="22" spans="1:31" x14ac:dyDescent="0.25">
      <c r="B22" s="193"/>
      <c r="C22" s="10"/>
      <c r="D22" s="40"/>
      <c r="E22" s="40"/>
      <c r="F22" s="40"/>
      <c r="G22" s="40"/>
      <c r="H22" s="231"/>
      <c r="I22" s="231"/>
      <c r="W22" s="133">
        <v>42739</v>
      </c>
      <c r="X22" s="10">
        <v>291.58999999999997</v>
      </c>
      <c r="Y22" s="10">
        <v>296.83</v>
      </c>
      <c r="Z22" s="10">
        <v>290.04000000000002</v>
      </c>
      <c r="AA22" s="10">
        <v>294.05</v>
      </c>
      <c r="AB22" s="95">
        <v>1262600</v>
      </c>
      <c r="AC22" s="10">
        <v>294.05</v>
      </c>
      <c r="AD22" s="2">
        <f t="shared" si="0"/>
        <v>6.7899999999999636</v>
      </c>
      <c r="AE22" s="138">
        <f t="shared" si="1"/>
        <v>8.0216653525762016E-3</v>
      </c>
    </row>
    <row r="23" spans="1:31" x14ac:dyDescent="0.25">
      <c r="B23" s="193"/>
      <c r="C23" s="10"/>
      <c r="D23" s="40"/>
      <c r="E23" s="40"/>
      <c r="F23" s="40"/>
      <c r="G23" s="40"/>
      <c r="H23" s="231"/>
      <c r="I23" s="231"/>
      <c r="W23" s="133">
        <v>42738</v>
      </c>
      <c r="X23" s="10">
        <v>285.82</v>
      </c>
      <c r="Y23" s="10">
        <v>293.2</v>
      </c>
      <c r="Z23" s="10">
        <v>284.86</v>
      </c>
      <c r="AA23" s="10">
        <v>291.70999999999998</v>
      </c>
      <c r="AB23" s="95">
        <v>1736800</v>
      </c>
      <c r="AC23" s="10">
        <v>291.70999999999998</v>
      </c>
      <c r="AD23" s="2">
        <f t="shared" si="0"/>
        <v>8.339999999999975</v>
      </c>
      <c r="AE23" s="138">
        <f t="shared" si="1"/>
        <v>2.8669158614852863E-2</v>
      </c>
    </row>
    <row r="24" spans="1:31" x14ac:dyDescent="0.25">
      <c r="B24" s="193"/>
      <c r="C24" s="10"/>
      <c r="D24" s="40"/>
      <c r="E24" s="40"/>
      <c r="F24" s="40"/>
      <c r="G24" s="40"/>
      <c r="H24" s="231"/>
      <c r="I24" s="231"/>
      <c r="W24" s="133">
        <v>42734</v>
      </c>
      <c r="X24" s="10">
        <v>287.79000000000002</v>
      </c>
      <c r="Y24" s="10">
        <v>288.56</v>
      </c>
      <c r="Z24" s="10">
        <v>282.64</v>
      </c>
      <c r="AA24" s="10">
        <v>283.58</v>
      </c>
      <c r="AB24" s="95">
        <v>1315200</v>
      </c>
      <c r="AC24" s="10">
        <v>283.58</v>
      </c>
      <c r="AD24" s="2">
        <f t="shared" si="0"/>
        <v>5.9200000000000159</v>
      </c>
      <c r="AE24" s="138">
        <f t="shared" si="1"/>
        <v>-1.201964951398804E-2</v>
      </c>
    </row>
    <row r="25" spans="1:31" x14ac:dyDescent="0.25">
      <c r="B25" s="193"/>
      <c r="C25" s="10"/>
      <c r="D25" s="40"/>
      <c r="E25" s="40"/>
      <c r="F25" s="40"/>
      <c r="G25" s="40"/>
      <c r="H25" s="232"/>
      <c r="I25" s="232"/>
      <c r="W25" s="133">
        <v>42733</v>
      </c>
      <c r="X25" s="10">
        <v>288.95999999999998</v>
      </c>
      <c r="Y25" s="10">
        <v>290.41000000000003</v>
      </c>
      <c r="Z25" s="10">
        <v>285.23</v>
      </c>
      <c r="AA25" s="10">
        <v>287.02999999999997</v>
      </c>
      <c r="AB25" s="95">
        <v>1119800</v>
      </c>
      <c r="AC25" s="10">
        <v>287.02999999999997</v>
      </c>
      <c r="AD25" s="2">
        <f t="shared" si="0"/>
        <v>5.1800000000000068</v>
      </c>
      <c r="AE25" s="138">
        <f t="shared" si="1"/>
        <v>-7.6750216076060251E-3</v>
      </c>
    </row>
    <row r="26" spans="1:31" x14ac:dyDescent="0.25">
      <c r="B26" s="193"/>
      <c r="C26" s="10"/>
      <c r="D26" s="40"/>
      <c r="E26" s="40"/>
      <c r="F26" s="40"/>
      <c r="G26" s="40"/>
      <c r="H26" s="232"/>
      <c r="I26" s="232"/>
      <c r="W26" s="133">
        <v>42732</v>
      </c>
      <c r="X26" s="10">
        <v>291.99</v>
      </c>
      <c r="Y26" s="10">
        <v>292.11</v>
      </c>
      <c r="Z26" s="10">
        <v>288.5</v>
      </c>
      <c r="AA26" s="10">
        <v>289.25</v>
      </c>
      <c r="AB26" s="95">
        <v>1020900</v>
      </c>
      <c r="AC26" s="10">
        <v>289.25</v>
      </c>
      <c r="AD26" s="2">
        <f t="shared" si="0"/>
        <v>3.6100000000000136</v>
      </c>
      <c r="AE26" s="138">
        <f t="shared" si="1"/>
        <v>-6.4234679857103627E-3</v>
      </c>
    </row>
    <row r="27" spans="1:31" x14ac:dyDescent="0.25">
      <c r="B27" s="193"/>
      <c r="C27" s="10"/>
      <c r="D27" s="40"/>
      <c r="E27" s="40"/>
      <c r="F27" s="40"/>
      <c r="G27" s="40"/>
      <c r="H27" s="232"/>
      <c r="I27" s="232"/>
      <c r="W27" s="133">
        <v>42731</v>
      </c>
      <c r="X27" s="10">
        <v>295.17</v>
      </c>
      <c r="Y27" s="10">
        <v>296.38</v>
      </c>
      <c r="Z27" s="10">
        <v>290.75</v>
      </c>
      <c r="AA27" s="10">
        <v>291.12</v>
      </c>
      <c r="AB27" s="95">
        <v>1439200</v>
      </c>
      <c r="AC27" s="10">
        <v>291.12</v>
      </c>
      <c r="AD27" s="2">
        <f t="shared" si="0"/>
        <v>5.6299999999999955</v>
      </c>
      <c r="AE27" s="138">
        <f t="shared" si="1"/>
        <v>1.248565367092147E-2</v>
      </c>
    </row>
    <row r="28" spans="1:31" x14ac:dyDescent="0.25">
      <c r="B28" s="193"/>
      <c r="C28" s="10"/>
      <c r="D28" s="40"/>
      <c r="E28" s="40"/>
      <c r="F28" s="40"/>
      <c r="G28" s="40"/>
      <c r="H28" s="232"/>
      <c r="I28" s="232"/>
      <c r="W28" s="133">
        <v>42727</v>
      </c>
      <c r="X28" s="10">
        <v>283.05</v>
      </c>
      <c r="Y28" s="10">
        <v>288.38</v>
      </c>
      <c r="Z28" s="10">
        <v>281.81</v>
      </c>
      <c r="AA28" s="10">
        <v>287.52999999999997</v>
      </c>
      <c r="AB28" s="95">
        <v>1110500</v>
      </c>
      <c r="AC28" s="10">
        <v>287.52999999999997</v>
      </c>
      <c r="AD28" s="2">
        <f t="shared" si="0"/>
        <v>6.5699999999999932</v>
      </c>
      <c r="AE28" s="138">
        <f t="shared" si="1"/>
        <v>1.5755820115165742E-2</v>
      </c>
    </row>
    <row r="29" spans="1:31" x14ac:dyDescent="0.25">
      <c r="B29" s="193"/>
      <c r="C29" s="10"/>
      <c r="D29" s="40"/>
      <c r="E29" s="40"/>
      <c r="F29" s="40"/>
      <c r="G29" s="40"/>
      <c r="H29" s="232"/>
      <c r="I29" s="232"/>
      <c r="W29" s="133">
        <v>42726</v>
      </c>
      <c r="X29" s="10">
        <v>281.83</v>
      </c>
      <c r="Y29" s="10">
        <v>283.17</v>
      </c>
      <c r="Z29" s="10">
        <v>280.02</v>
      </c>
      <c r="AA29" s="10">
        <v>283.07</v>
      </c>
      <c r="AB29" s="95">
        <v>1035100</v>
      </c>
      <c r="AC29" s="10">
        <v>283.07</v>
      </c>
      <c r="AD29" s="2">
        <f t="shared" si="0"/>
        <v>3.1500000000000341</v>
      </c>
      <c r="AE29" s="138">
        <f t="shared" si="1"/>
        <v>-1.4128783864930661E-4</v>
      </c>
    </row>
    <row r="30" spans="1:31" x14ac:dyDescent="0.25">
      <c r="B30" s="193"/>
      <c r="C30" s="10"/>
      <c r="D30" s="40"/>
      <c r="E30" s="40"/>
      <c r="F30" s="40"/>
      <c r="G30" s="40"/>
      <c r="H30" s="232"/>
      <c r="I30" s="232"/>
      <c r="W30" s="133">
        <v>42725</v>
      </c>
      <c r="X30" s="10">
        <v>285.06</v>
      </c>
      <c r="Y30" s="10">
        <v>285.64999999999998</v>
      </c>
      <c r="Z30" s="10">
        <v>281</v>
      </c>
      <c r="AA30" s="10">
        <v>283.11</v>
      </c>
      <c r="AB30" s="95">
        <v>1370000</v>
      </c>
      <c r="AC30" s="10">
        <v>283.11</v>
      </c>
      <c r="AD30" s="2">
        <f t="shared" si="0"/>
        <v>4.6499999999999773</v>
      </c>
      <c r="AE30" s="138">
        <f t="shared" si="1"/>
        <v>-8.6837774431876014E-3</v>
      </c>
    </row>
    <row r="31" spans="1:31" x14ac:dyDescent="0.25">
      <c r="B31" s="193"/>
      <c r="C31" s="10"/>
      <c r="D31" s="40"/>
      <c r="E31" s="40"/>
      <c r="F31" s="40"/>
      <c r="G31" s="40"/>
      <c r="H31" s="232"/>
      <c r="I31" s="232"/>
      <c r="W31" s="133">
        <v>42724</v>
      </c>
      <c r="X31" s="10">
        <v>280.98</v>
      </c>
      <c r="Y31" s="10">
        <v>286.67</v>
      </c>
      <c r="Z31" s="10">
        <v>279.13</v>
      </c>
      <c r="AA31" s="10">
        <v>285.58999999999997</v>
      </c>
      <c r="AB31" s="95">
        <v>2194500</v>
      </c>
      <c r="AC31" s="10">
        <v>285.58999999999997</v>
      </c>
      <c r="AD31" s="2">
        <f t="shared" si="0"/>
        <v>7.5400000000000205</v>
      </c>
      <c r="AE31" s="138">
        <f t="shared" si="1"/>
        <v>2.4464612404491159E-2</v>
      </c>
    </row>
    <row r="32" spans="1:31" x14ac:dyDescent="0.25">
      <c r="B32" s="193"/>
      <c r="C32" s="10"/>
      <c r="D32" s="40"/>
      <c r="E32" s="40"/>
      <c r="F32" s="40"/>
      <c r="G32" s="40"/>
      <c r="H32" s="232"/>
      <c r="I32" s="232"/>
      <c r="W32" s="133">
        <v>42723</v>
      </c>
      <c r="X32" s="10">
        <v>286.58999999999997</v>
      </c>
      <c r="Y32" s="10">
        <v>290.51</v>
      </c>
      <c r="Z32" s="10">
        <v>272.95999999999998</v>
      </c>
      <c r="AA32" s="10">
        <v>278.77</v>
      </c>
      <c r="AB32" s="95">
        <v>2471300</v>
      </c>
      <c r="AC32" s="10">
        <v>278.77</v>
      </c>
      <c r="AD32" s="2">
        <f t="shared" si="0"/>
        <v>17.550000000000011</v>
      </c>
      <c r="AE32" s="138">
        <f t="shared" si="1"/>
        <v>-2.6641061452513992E-2</v>
      </c>
    </row>
    <row r="33" spans="1:31" x14ac:dyDescent="0.25">
      <c r="B33" s="10"/>
      <c r="C33" s="10"/>
      <c r="D33" s="40"/>
      <c r="E33" s="40"/>
      <c r="F33" s="40"/>
      <c r="G33" s="40"/>
      <c r="H33" s="232"/>
      <c r="I33" s="232"/>
      <c r="W33" s="133">
        <v>42720</v>
      </c>
      <c r="X33" s="10">
        <v>287.62</v>
      </c>
      <c r="Y33" s="10">
        <v>289.08999999999997</v>
      </c>
      <c r="Z33" s="10">
        <v>286</v>
      </c>
      <c r="AA33" s="10">
        <v>286.39999999999998</v>
      </c>
      <c r="AB33" s="95">
        <v>2264700</v>
      </c>
      <c r="AC33" s="10">
        <v>286.39999999999998</v>
      </c>
      <c r="AD33" s="2">
        <f t="shared" si="0"/>
        <v>3.089999999999975</v>
      </c>
      <c r="AE33" s="138">
        <f t="shared" si="1"/>
        <v>-1.986270341847729E-3</v>
      </c>
    </row>
    <row r="34" spans="1:31" x14ac:dyDescent="0.25">
      <c r="B34" s="10"/>
      <c r="C34" s="10"/>
      <c r="D34" s="40"/>
      <c r="E34" s="40"/>
      <c r="F34" s="40"/>
      <c r="G34" s="40"/>
      <c r="H34" s="232"/>
      <c r="I34" s="232"/>
      <c r="W34" s="133">
        <v>42719</v>
      </c>
      <c r="X34" s="10">
        <v>287.16000000000003</v>
      </c>
      <c r="Y34" s="10">
        <v>288.52999999999997</v>
      </c>
      <c r="Z34" s="10">
        <v>285.02</v>
      </c>
      <c r="AA34" s="10">
        <v>286.97000000000003</v>
      </c>
      <c r="AB34" s="95">
        <v>1699600</v>
      </c>
      <c r="AC34" s="10">
        <v>286.97000000000003</v>
      </c>
      <c r="AD34" s="2">
        <f t="shared" si="0"/>
        <v>3.5099999999999909</v>
      </c>
      <c r="AE34" s="138">
        <f t="shared" si="1"/>
        <v>2.5152838427948687E-3</v>
      </c>
    </row>
    <row r="35" spans="1:31" x14ac:dyDescent="0.25">
      <c r="B35" s="10"/>
      <c r="C35" s="10"/>
      <c r="D35" s="40"/>
      <c r="E35" s="40"/>
      <c r="F35" s="40"/>
      <c r="G35" s="40"/>
      <c r="H35" s="232"/>
      <c r="I35" s="232"/>
      <c r="W35" s="133">
        <v>42718</v>
      </c>
      <c r="X35" s="10">
        <v>288.20999999999998</v>
      </c>
      <c r="Y35" s="10">
        <v>289.95999999999998</v>
      </c>
      <c r="Z35" s="10">
        <v>285.24</v>
      </c>
      <c r="AA35" s="10">
        <v>286.25</v>
      </c>
      <c r="AB35" s="95">
        <v>1271500</v>
      </c>
      <c r="AC35" s="10">
        <v>286.25</v>
      </c>
      <c r="AD35" s="2">
        <f t="shared" si="0"/>
        <v>4.7199999999999704</v>
      </c>
      <c r="AE35" s="138">
        <f t="shared" si="1"/>
        <v>-3.9320759969377894E-3</v>
      </c>
    </row>
    <row r="36" spans="1:31" x14ac:dyDescent="0.25">
      <c r="W36" s="133">
        <v>42717</v>
      </c>
      <c r="X36" s="10">
        <v>286.75</v>
      </c>
      <c r="Y36" s="10">
        <v>289.5</v>
      </c>
      <c r="Z36" s="10">
        <v>284.81</v>
      </c>
      <c r="AA36" s="10">
        <v>287.38</v>
      </c>
      <c r="AB36" s="95">
        <v>1578200</v>
      </c>
      <c r="AC36" s="10">
        <v>287.38</v>
      </c>
      <c r="AD36" s="2">
        <f t="shared" si="0"/>
        <v>4.6899999999999977</v>
      </c>
      <c r="AE36" s="138">
        <f t="shared" si="1"/>
        <v>3.1065656741944281E-3</v>
      </c>
    </row>
    <row r="37" spans="1:31" x14ac:dyDescent="0.25">
      <c r="W37" s="133">
        <v>42716</v>
      </c>
      <c r="X37" s="10">
        <v>289.2</v>
      </c>
      <c r="Y37" s="10">
        <v>290.95</v>
      </c>
      <c r="Z37" s="10">
        <v>284.07</v>
      </c>
      <c r="AA37" s="10">
        <v>286.49</v>
      </c>
      <c r="AB37" s="95">
        <v>1769100</v>
      </c>
      <c r="AC37" s="10">
        <v>286.49</v>
      </c>
      <c r="AD37" s="2">
        <f t="shared" si="0"/>
        <v>6.8799999999999955</v>
      </c>
      <c r="AE37" s="138">
        <f t="shared" si="1"/>
        <v>-4.4479966640024182E-3</v>
      </c>
    </row>
    <row r="38" spans="1:31" x14ac:dyDescent="0.25">
      <c r="W38" s="133">
        <v>42713</v>
      </c>
      <c r="X38" s="10">
        <v>305.24</v>
      </c>
      <c r="Y38" s="10">
        <v>306.98</v>
      </c>
      <c r="Z38" s="10">
        <v>281.79000000000002</v>
      </c>
      <c r="AA38" s="10">
        <v>287.77</v>
      </c>
      <c r="AB38" s="95">
        <v>6247700</v>
      </c>
      <c r="AC38" s="10">
        <v>287.77</v>
      </c>
      <c r="AD38" s="2">
        <f t="shared" si="0"/>
        <v>25.189999999999998</v>
      </c>
      <c r="AE38" s="138">
        <f t="shared" si="1"/>
        <v>-6.1131449886027145E-3</v>
      </c>
    </row>
    <row r="39" spans="1:31" x14ac:dyDescent="0.25">
      <c r="A39" s="261"/>
      <c r="B39" s="261"/>
      <c r="C39" s="261"/>
      <c r="D39" s="262"/>
      <c r="E39" s="262"/>
      <c r="F39" s="262"/>
      <c r="G39" s="261"/>
      <c r="H39" s="261"/>
      <c r="I39" s="261"/>
      <c r="J39" s="261"/>
      <c r="K39" s="263" t="s">
        <v>131</v>
      </c>
      <c r="L39" s="261"/>
      <c r="M39" s="262">
        <f>K57+M57-F57</f>
        <v>1659.3600000000079</v>
      </c>
      <c r="W39" s="133">
        <v>42712</v>
      </c>
      <c r="X39" s="10">
        <v>285.8</v>
      </c>
      <c r="Y39" s="10">
        <v>292.97000000000003</v>
      </c>
      <c r="Z39" s="10">
        <v>278.58</v>
      </c>
      <c r="AA39" s="10">
        <v>289.54000000000002</v>
      </c>
      <c r="AB39" s="95">
        <v>4750600</v>
      </c>
      <c r="AC39" s="10">
        <v>289.54000000000002</v>
      </c>
      <c r="AD39" s="2">
        <f t="shared" si="0"/>
        <v>14.390000000000043</v>
      </c>
      <c r="AE39" s="138">
        <f t="shared" si="1"/>
        <v>1.4861549246407257E-2</v>
      </c>
    </row>
    <row r="40" spans="1:31" x14ac:dyDescent="0.25">
      <c r="A40" s="263" t="s">
        <v>1</v>
      </c>
      <c r="B40" s="263" t="s">
        <v>2</v>
      </c>
      <c r="C40" s="263" t="s">
        <v>4</v>
      </c>
      <c r="D40" s="264" t="s">
        <v>5</v>
      </c>
      <c r="E40" s="264" t="s">
        <v>94</v>
      </c>
      <c r="F40" s="264" t="s">
        <v>60</v>
      </c>
      <c r="G40" s="263" t="s">
        <v>3</v>
      </c>
      <c r="H40" s="263" t="s">
        <v>6</v>
      </c>
      <c r="I40" s="263" t="s">
        <v>7</v>
      </c>
      <c r="J40" s="263" t="s">
        <v>95</v>
      </c>
      <c r="K40" s="264" t="s">
        <v>61</v>
      </c>
      <c r="L40" s="263" t="s">
        <v>77</v>
      </c>
      <c r="M40" s="263" t="s">
        <v>38</v>
      </c>
      <c r="W40" s="133">
        <v>42711</v>
      </c>
      <c r="X40" s="10">
        <v>285.5</v>
      </c>
      <c r="Y40" s="10">
        <v>288.97000000000003</v>
      </c>
      <c r="Z40" s="10">
        <v>280.5</v>
      </c>
      <c r="AA40" s="10">
        <v>285.3</v>
      </c>
      <c r="AB40" s="95">
        <v>1948700</v>
      </c>
      <c r="AC40" s="10">
        <v>285.3</v>
      </c>
      <c r="AD40" s="2">
        <f t="shared" si="0"/>
        <v>8.4700000000000273</v>
      </c>
      <c r="AE40" s="138">
        <f t="shared" si="1"/>
        <v>-2.0126390987773135E-2</v>
      </c>
    </row>
    <row r="41" spans="1:31" x14ac:dyDescent="0.25">
      <c r="A41" s="265" t="s">
        <v>62</v>
      </c>
      <c r="B41" s="266">
        <v>42222</v>
      </c>
      <c r="C41" s="261">
        <v>5</v>
      </c>
      <c r="D41" s="262">
        <v>320</v>
      </c>
      <c r="E41" s="262">
        <v>0</v>
      </c>
      <c r="F41" s="262">
        <f>C41*D41 + E41</f>
        <v>1600</v>
      </c>
      <c r="G41" s="266">
        <v>42257</v>
      </c>
      <c r="H41" s="267">
        <v>5</v>
      </c>
      <c r="I41" s="262">
        <v>303.60000000000002</v>
      </c>
      <c r="J41" s="262">
        <v>0.03</v>
      </c>
      <c r="K41" s="262">
        <f t="shared" ref="K41:K48" si="3">H41*I41-J41</f>
        <v>1517.97</v>
      </c>
      <c r="L41" s="261" t="s">
        <v>80</v>
      </c>
      <c r="M41" s="261"/>
      <c r="W41" s="133">
        <v>42710</v>
      </c>
      <c r="X41" s="10">
        <v>291.75</v>
      </c>
      <c r="Y41" s="10">
        <v>294.45</v>
      </c>
      <c r="Z41" s="10">
        <v>290</v>
      </c>
      <c r="AA41" s="10">
        <v>291.16000000000003</v>
      </c>
      <c r="AB41" s="95">
        <v>1561000</v>
      </c>
      <c r="AC41" s="10">
        <v>291.16000000000003</v>
      </c>
      <c r="AD41" s="2">
        <f t="shared" si="0"/>
        <v>4.4499999999999886</v>
      </c>
      <c r="AE41" s="138">
        <f t="shared" si="1"/>
        <v>3.2389221969539861E-3</v>
      </c>
    </row>
    <row r="42" spans="1:31" ht="20.25" thickBot="1" x14ac:dyDescent="0.35">
      <c r="A42" s="268"/>
      <c r="B42" s="266">
        <v>42247</v>
      </c>
      <c r="C42" s="261">
        <v>5</v>
      </c>
      <c r="D42" s="262">
        <v>298.7</v>
      </c>
      <c r="E42" s="262">
        <v>0</v>
      </c>
      <c r="F42" s="262">
        <f>C42*D42 + E42</f>
        <v>1493.5</v>
      </c>
      <c r="G42" s="266">
        <v>42290</v>
      </c>
      <c r="H42" s="267">
        <v>5</v>
      </c>
      <c r="I42" s="262">
        <v>280.2</v>
      </c>
      <c r="J42" s="262">
        <v>0.03</v>
      </c>
      <c r="K42" s="262">
        <f t="shared" si="3"/>
        <v>1400.97</v>
      </c>
      <c r="L42" s="261"/>
      <c r="M42" s="261"/>
      <c r="O42" s="638" t="s">
        <v>78</v>
      </c>
      <c r="P42" s="638"/>
      <c r="T42" s="112" t="s">
        <v>113</v>
      </c>
      <c r="U42" s="4"/>
      <c r="W42" s="133">
        <v>42709</v>
      </c>
      <c r="X42" s="10">
        <v>298.94</v>
      </c>
      <c r="Y42" s="10">
        <v>299.89</v>
      </c>
      <c r="Z42" s="10">
        <v>289.48</v>
      </c>
      <c r="AA42" s="10">
        <v>290.22000000000003</v>
      </c>
      <c r="AB42" s="95">
        <v>1831200</v>
      </c>
      <c r="AC42" s="10">
        <v>290.22000000000003</v>
      </c>
      <c r="AD42" s="2">
        <f t="shared" si="0"/>
        <v>10.409999999999968</v>
      </c>
      <c r="AE42" s="138">
        <f t="shared" si="1"/>
        <v>-2.3453009859012663E-2</v>
      </c>
    </row>
    <row r="43" spans="1:31" ht="15.75" thickTop="1" x14ac:dyDescent="0.25">
      <c r="A43" s="261"/>
      <c r="B43" s="266">
        <v>42271</v>
      </c>
      <c r="C43" s="261">
        <v>10</v>
      </c>
      <c r="D43" s="262">
        <v>297</v>
      </c>
      <c r="E43" s="262">
        <v>0</v>
      </c>
      <c r="F43" s="262">
        <f>C43*D43 + E43</f>
        <v>2970</v>
      </c>
      <c r="G43" s="266">
        <v>42303</v>
      </c>
      <c r="H43" s="267">
        <v>10</v>
      </c>
      <c r="I43" s="262">
        <v>290</v>
      </c>
      <c r="J43" s="262">
        <v>0.05</v>
      </c>
      <c r="K43" s="262">
        <f t="shared" si="3"/>
        <v>2899.95</v>
      </c>
      <c r="L43" s="261"/>
      <c r="M43" s="261"/>
      <c r="O43" s="83">
        <v>1.1000000000000001</v>
      </c>
      <c r="P43" s="83">
        <f>O43*$Q$4</f>
        <v>291.13700000000006</v>
      </c>
      <c r="Q43" s="2"/>
      <c r="T43" s="431" t="s">
        <v>98</v>
      </c>
      <c r="U43" s="499">
        <v>281.69</v>
      </c>
      <c r="W43" s="133">
        <v>42706</v>
      </c>
      <c r="X43" s="10">
        <v>296.52999999999997</v>
      </c>
      <c r="Y43" s="10">
        <v>299.95</v>
      </c>
      <c r="Z43" s="10">
        <v>293.04000000000002</v>
      </c>
      <c r="AA43" s="10">
        <v>297.19</v>
      </c>
      <c r="AB43" s="95">
        <v>1423200</v>
      </c>
      <c r="AC43" s="10">
        <v>297.19</v>
      </c>
      <c r="AD43" s="2">
        <f t="shared" si="0"/>
        <v>6.9099999999999682</v>
      </c>
      <c r="AE43" s="138">
        <f t="shared" si="1"/>
        <v>4.7670565961188682E-3</v>
      </c>
    </row>
    <row r="44" spans="1:31" x14ac:dyDescent="0.25">
      <c r="A44" s="261"/>
      <c r="B44" s="266">
        <v>42285</v>
      </c>
      <c r="C44" s="261">
        <v>15</v>
      </c>
      <c r="D44" s="262">
        <v>283</v>
      </c>
      <c r="E44" s="262">
        <v>0</v>
      </c>
      <c r="F44" s="262">
        <f t="shared" ref="F44:F53" si="4">C44*D44 + E44</f>
        <v>4245</v>
      </c>
      <c r="G44" s="266">
        <v>42307</v>
      </c>
      <c r="H44" s="267">
        <v>10</v>
      </c>
      <c r="I44" s="262">
        <v>289.35000000000002</v>
      </c>
      <c r="J44" s="262">
        <v>7</v>
      </c>
      <c r="K44" s="262">
        <f t="shared" si="3"/>
        <v>2886.5</v>
      </c>
      <c r="L44" s="261"/>
      <c r="M44" s="261"/>
      <c r="O44" s="83">
        <v>1.0900000000000001</v>
      </c>
      <c r="P44" s="83">
        <f t="shared" ref="P44:P63" si="5">O44*$Q$4</f>
        <v>288.49030000000005</v>
      </c>
      <c r="Q44" s="2"/>
      <c r="T44" s="431" t="s">
        <v>99</v>
      </c>
      <c r="U44" s="499">
        <v>263.76</v>
      </c>
      <c r="W44" s="133">
        <v>42705</v>
      </c>
      <c r="X44" s="10">
        <v>296.32</v>
      </c>
      <c r="Y44" s="10">
        <v>296.64999999999998</v>
      </c>
      <c r="Z44" s="10">
        <v>293.11</v>
      </c>
      <c r="AA44" s="10">
        <v>295.77999999999997</v>
      </c>
      <c r="AB44" s="95">
        <v>1666800</v>
      </c>
      <c r="AC44" s="10">
        <v>295.77999999999997</v>
      </c>
      <c r="AD44" s="2">
        <f t="shared" si="0"/>
        <v>3.5399999999999636</v>
      </c>
      <c r="AE44" s="138">
        <f t="shared" si="1"/>
        <v>5.8149420206072833E-3</v>
      </c>
    </row>
    <row r="45" spans="1:31" x14ac:dyDescent="0.25">
      <c r="A45" s="261"/>
      <c r="B45" s="355">
        <v>42286</v>
      </c>
      <c r="C45" s="261">
        <v>5</v>
      </c>
      <c r="D45" s="262">
        <v>278.5</v>
      </c>
      <c r="E45" s="262">
        <v>0</v>
      </c>
      <c r="F45" s="262">
        <f t="shared" si="4"/>
        <v>1392.5</v>
      </c>
      <c r="G45" s="266">
        <v>42313</v>
      </c>
      <c r="H45" s="267">
        <v>10</v>
      </c>
      <c r="I45" s="262">
        <v>300</v>
      </c>
      <c r="J45" s="262">
        <v>0.06</v>
      </c>
      <c r="K45" s="262">
        <f t="shared" si="3"/>
        <v>2999.94</v>
      </c>
      <c r="L45" s="261"/>
      <c r="M45" s="261"/>
      <c r="O45" s="83">
        <v>1.08</v>
      </c>
      <c r="P45" s="83">
        <f t="shared" si="5"/>
        <v>285.84360000000004</v>
      </c>
      <c r="Q45" s="2"/>
      <c r="T45" s="431" t="s">
        <v>100</v>
      </c>
      <c r="U45" s="499" t="s">
        <v>528</v>
      </c>
      <c r="W45" s="133">
        <v>42704</v>
      </c>
      <c r="X45" s="10">
        <v>303.33999999999997</v>
      </c>
      <c r="Y45" s="10">
        <v>304.3</v>
      </c>
      <c r="Z45" s="10">
        <v>293.95</v>
      </c>
      <c r="AA45" s="10">
        <v>294.07</v>
      </c>
      <c r="AB45" s="95">
        <v>2120900</v>
      </c>
      <c r="AC45" s="10">
        <v>294.07</v>
      </c>
      <c r="AD45" s="2">
        <f t="shared" si="0"/>
        <v>10.350000000000023</v>
      </c>
      <c r="AE45" s="138">
        <f t="shared" si="1"/>
        <v>-2.8734683092776714E-2</v>
      </c>
    </row>
    <row r="46" spans="1:31" x14ac:dyDescent="0.25">
      <c r="A46" s="261"/>
      <c r="B46" s="355"/>
      <c r="C46" s="261">
        <v>5</v>
      </c>
      <c r="D46" s="262">
        <v>278.5</v>
      </c>
      <c r="E46" s="262">
        <v>0</v>
      </c>
      <c r="F46" s="262">
        <f t="shared" si="4"/>
        <v>1392.5</v>
      </c>
      <c r="G46" s="266">
        <v>42331</v>
      </c>
      <c r="H46" s="267">
        <v>40</v>
      </c>
      <c r="I46" s="262">
        <v>287.99</v>
      </c>
      <c r="J46" s="262">
        <v>0.21</v>
      </c>
      <c r="K46" s="262">
        <f t="shared" si="3"/>
        <v>11519.390000000001</v>
      </c>
      <c r="L46" s="261"/>
      <c r="M46" s="261"/>
      <c r="O46" s="83">
        <v>1.07</v>
      </c>
      <c r="P46" s="83">
        <f t="shared" si="5"/>
        <v>283.19690000000003</v>
      </c>
      <c r="Q46" s="2"/>
      <c r="T46" s="431" t="s">
        <v>101</v>
      </c>
      <c r="U46" s="499" t="s">
        <v>529</v>
      </c>
      <c r="W46" s="133">
        <v>42703</v>
      </c>
      <c r="X46" s="10">
        <v>304.73</v>
      </c>
      <c r="Y46" s="10">
        <v>307.42</v>
      </c>
      <c r="Z46" s="10">
        <v>302.52999999999997</v>
      </c>
      <c r="AA46" s="10">
        <v>302.77</v>
      </c>
      <c r="AB46" s="95">
        <v>1388400</v>
      </c>
      <c r="AC46" s="10">
        <v>302.77</v>
      </c>
      <c r="AD46" s="2">
        <f t="shared" si="0"/>
        <v>4.8900000000000432</v>
      </c>
      <c r="AE46" s="138">
        <f t="shared" si="1"/>
        <v>-3.3247745078675006E-3</v>
      </c>
    </row>
    <row r="47" spans="1:31" x14ac:dyDescent="0.25">
      <c r="A47" s="261"/>
      <c r="B47" s="266">
        <v>42286</v>
      </c>
      <c r="C47" s="261">
        <v>10</v>
      </c>
      <c r="D47" s="262">
        <v>274</v>
      </c>
      <c r="E47" s="262">
        <v>0</v>
      </c>
      <c r="F47" s="262">
        <f t="shared" si="4"/>
        <v>2740</v>
      </c>
      <c r="G47" s="266">
        <v>42347</v>
      </c>
      <c r="H47" s="267">
        <v>35</v>
      </c>
      <c r="I47" s="262">
        <v>282.99</v>
      </c>
      <c r="J47" s="262">
        <v>0.18</v>
      </c>
      <c r="K47" s="262">
        <f t="shared" si="3"/>
        <v>9904.4699999999993</v>
      </c>
      <c r="L47" s="261"/>
      <c r="M47" s="261"/>
      <c r="O47" s="83">
        <v>1.06</v>
      </c>
      <c r="P47" s="83">
        <f t="shared" si="5"/>
        <v>280.55020000000002</v>
      </c>
      <c r="Q47" s="2"/>
      <c r="T47" s="431" t="s">
        <v>102</v>
      </c>
      <c r="U47" s="499">
        <v>326.39</v>
      </c>
      <c r="W47" s="133">
        <v>42702</v>
      </c>
      <c r="X47" s="10">
        <v>304.36</v>
      </c>
      <c r="Y47" s="10">
        <v>305.83999999999997</v>
      </c>
      <c r="Z47" s="10">
        <v>301.3</v>
      </c>
      <c r="AA47" s="10">
        <v>303.77999999999997</v>
      </c>
      <c r="AB47" s="95">
        <v>1222600</v>
      </c>
      <c r="AC47" s="10">
        <v>303.77999999999997</v>
      </c>
      <c r="AD47" s="2">
        <f t="shared" si="0"/>
        <v>4.5399999999999636</v>
      </c>
      <c r="AE47" s="138">
        <f t="shared" si="1"/>
        <v>-4.652686762778524E-3</v>
      </c>
    </row>
    <row r="48" spans="1:31" x14ac:dyDescent="0.25">
      <c r="A48" s="261"/>
      <c r="B48" s="266">
        <v>42286</v>
      </c>
      <c r="C48" s="261">
        <v>10</v>
      </c>
      <c r="D48" s="262">
        <v>269.8</v>
      </c>
      <c r="E48" s="262">
        <v>0</v>
      </c>
      <c r="F48" s="262">
        <f t="shared" si="4"/>
        <v>2698</v>
      </c>
      <c r="G48" s="266">
        <v>42359</v>
      </c>
      <c r="H48" s="267">
        <v>25</v>
      </c>
      <c r="I48" s="262">
        <v>295</v>
      </c>
      <c r="J48" s="262">
        <v>0.14000000000000001</v>
      </c>
      <c r="K48" s="262">
        <f t="shared" si="3"/>
        <v>7374.86</v>
      </c>
      <c r="L48" s="261"/>
      <c r="M48" s="261"/>
      <c r="O48" s="83">
        <v>1.05</v>
      </c>
      <c r="P48" s="83">
        <f t="shared" si="5"/>
        <v>277.90350000000001</v>
      </c>
      <c r="Q48" s="2"/>
      <c r="T48" s="431" t="s">
        <v>103</v>
      </c>
      <c r="U48" s="499">
        <v>0.336393</v>
      </c>
      <c r="W48" s="133">
        <v>42699</v>
      </c>
      <c r="X48" s="10">
        <v>306.45999999999998</v>
      </c>
      <c r="Y48" s="10">
        <v>307.14999999999998</v>
      </c>
      <c r="Z48" s="10">
        <v>302.39</v>
      </c>
      <c r="AA48" s="10">
        <v>305.2</v>
      </c>
      <c r="AB48" s="95">
        <v>740900</v>
      </c>
      <c r="AC48" s="10">
        <v>305.2</v>
      </c>
      <c r="AD48" s="2">
        <f t="shared" si="0"/>
        <v>4.7599999999999909</v>
      </c>
      <c r="AE48" s="138">
        <f t="shared" si="1"/>
        <v>-2.3861667701762235E-3</v>
      </c>
    </row>
    <row r="49" spans="1:31" x14ac:dyDescent="0.25">
      <c r="A49" s="261"/>
      <c r="B49" s="266">
        <v>42292</v>
      </c>
      <c r="C49" s="261">
        <v>25</v>
      </c>
      <c r="D49" s="262">
        <v>268.5</v>
      </c>
      <c r="E49" s="262">
        <v>0</v>
      </c>
      <c r="F49" s="262">
        <f t="shared" si="4"/>
        <v>6712.5</v>
      </c>
      <c r="G49" s="266">
        <v>42447</v>
      </c>
      <c r="H49" s="267">
        <v>5</v>
      </c>
      <c r="I49" s="262">
        <v>249.59</v>
      </c>
      <c r="J49" s="262">
        <v>0.03</v>
      </c>
      <c r="K49" s="262">
        <v>1247.92</v>
      </c>
      <c r="L49" s="261"/>
      <c r="M49" s="261"/>
      <c r="O49" s="83">
        <v>1.04</v>
      </c>
      <c r="P49" s="83">
        <f t="shared" si="5"/>
        <v>275.2568</v>
      </c>
      <c r="Q49" s="2"/>
      <c r="T49" s="431" t="s">
        <v>122</v>
      </c>
      <c r="U49" s="499" t="s">
        <v>473</v>
      </c>
      <c r="W49" s="133">
        <v>42697</v>
      </c>
      <c r="X49" s="10">
        <v>293.82</v>
      </c>
      <c r="Y49" s="10">
        <v>308.88</v>
      </c>
      <c r="Z49" s="10">
        <v>293.8</v>
      </c>
      <c r="AA49" s="10">
        <v>305.93</v>
      </c>
      <c r="AB49" s="95">
        <v>5377500</v>
      </c>
      <c r="AC49" s="10">
        <v>305.93</v>
      </c>
      <c r="AD49" s="2">
        <f t="shared" si="0"/>
        <v>15.079999999999984</v>
      </c>
      <c r="AE49" s="138">
        <f t="shared" si="1"/>
        <v>-3.8288642293546227E-2</v>
      </c>
    </row>
    <row r="50" spans="1:31" x14ac:dyDescent="0.25">
      <c r="A50" s="261"/>
      <c r="B50" s="266">
        <v>42293</v>
      </c>
      <c r="C50" s="261">
        <v>10</v>
      </c>
      <c r="D50" s="262">
        <v>262.25</v>
      </c>
      <c r="E50" s="262">
        <v>0</v>
      </c>
      <c r="F50" s="262">
        <f t="shared" si="4"/>
        <v>2622.5</v>
      </c>
      <c r="G50" s="266">
        <v>42460</v>
      </c>
      <c r="H50" s="267">
        <v>5</v>
      </c>
      <c r="I50" s="262">
        <v>261.22000000000003</v>
      </c>
      <c r="J50" s="262">
        <v>0.03</v>
      </c>
      <c r="K50" s="262">
        <v>1306.0700000000002</v>
      </c>
      <c r="L50" s="261"/>
      <c r="M50" s="261"/>
      <c r="O50" s="83">
        <v>1.03</v>
      </c>
      <c r="P50" s="83">
        <f t="shared" si="5"/>
        <v>272.61010000000005</v>
      </c>
      <c r="Q50" s="2"/>
      <c r="T50" s="431"/>
      <c r="U50" s="499"/>
      <c r="W50" s="133">
        <v>42696</v>
      </c>
      <c r="X50" s="10">
        <v>320.79000000000002</v>
      </c>
      <c r="Y50" s="10">
        <v>321</v>
      </c>
      <c r="Z50" s="10">
        <v>314.02</v>
      </c>
      <c r="AA50" s="10">
        <v>318.11</v>
      </c>
      <c r="AB50" s="95">
        <v>1522200</v>
      </c>
      <c r="AC50" s="10">
        <v>318.11</v>
      </c>
      <c r="AD50" s="2">
        <f t="shared" si="0"/>
        <v>6.9800000000000182</v>
      </c>
      <c r="AE50" s="138">
        <f t="shared" si="1"/>
        <v>-6.5971349585314254E-4</v>
      </c>
    </row>
    <row r="51" spans="1:31" x14ac:dyDescent="0.25">
      <c r="A51" s="261"/>
      <c r="B51" s="266">
        <v>42293</v>
      </c>
      <c r="C51" s="261">
        <v>10</v>
      </c>
      <c r="D51" s="262">
        <v>255.4</v>
      </c>
      <c r="E51" s="262">
        <v>0</v>
      </c>
      <c r="F51" s="262">
        <f t="shared" si="4"/>
        <v>2554</v>
      </c>
      <c r="G51" s="266">
        <v>42482</v>
      </c>
      <c r="H51" s="267">
        <v>5</v>
      </c>
      <c r="I51" s="262">
        <v>282.95</v>
      </c>
      <c r="J51" s="262">
        <v>0.03</v>
      </c>
      <c r="K51" s="262">
        <v>1414.72</v>
      </c>
      <c r="L51" s="261"/>
      <c r="M51" s="261"/>
      <c r="O51" s="83">
        <v>1.02</v>
      </c>
      <c r="P51" s="83">
        <f t="shared" si="5"/>
        <v>269.96340000000004</v>
      </c>
      <c r="Q51" s="2"/>
      <c r="T51" s="431" t="s">
        <v>105</v>
      </c>
      <c r="U51" s="499" t="s">
        <v>530</v>
      </c>
      <c r="W51" s="133">
        <v>42695</v>
      </c>
      <c r="X51" s="10">
        <v>318.36</v>
      </c>
      <c r="Y51" s="10">
        <v>320.31</v>
      </c>
      <c r="Z51" s="10">
        <v>316.52</v>
      </c>
      <c r="AA51" s="10">
        <v>318.32</v>
      </c>
      <c r="AB51" s="95">
        <v>1328500</v>
      </c>
      <c r="AC51" s="10">
        <v>318.32</v>
      </c>
      <c r="AD51" s="2">
        <f t="shared" si="0"/>
        <v>3.7900000000000205</v>
      </c>
      <c r="AE51" s="138">
        <f t="shared" si="1"/>
        <v>4.1640378548895018E-3</v>
      </c>
    </row>
    <row r="52" spans="1:31" x14ac:dyDescent="0.25">
      <c r="A52" s="261"/>
      <c r="B52" s="266">
        <v>42314</v>
      </c>
      <c r="C52" s="261">
        <v>10</v>
      </c>
      <c r="D52" s="262">
        <v>298.81</v>
      </c>
      <c r="E52" s="262">
        <v>0</v>
      </c>
      <c r="F52" s="262">
        <f t="shared" si="4"/>
        <v>2988.1</v>
      </c>
      <c r="G52" s="266"/>
      <c r="H52" s="261"/>
      <c r="I52" s="262"/>
      <c r="J52" s="261"/>
      <c r="K52" s="262"/>
      <c r="L52" s="261"/>
      <c r="M52" s="261"/>
      <c r="O52" s="83">
        <v>1.01</v>
      </c>
      <c r="P52" s="83">
        <f t="shared" si="5"/>
        <v>267.31670000000003</v>
      </c>
      <c r="Q52" s="2"/>
      <c r="T52" s="431" t="s">
        <v>106</v>
      </c>
      <c r="U52" s="499" t="s">
        <v>269</v>
      </c>
      <c r="W52" s="133">
        <v>42692</v>
      </c>
      <c r="X52" s="10">
        <v>318.86</v>
      </c>
      <c r="Y52" s="10">
        <v>321</v>
      </c>
      <c r="Z52" s="10">
        <v>313.31</v>
      </c>
      <c r="AA52" s="10">
        <v>317</v>
      </c>
      <c r="AB52" s="95">
        <v>1277500</v>
      </c>
      <c r="AC52" s="10">
        <v>317</v>
      </c>
      <c r="AD52" s="2">
        <f t="shared" si="0"/>
        <v>7.6899999999999977</v>
      </c>
      <c r="AE52" s="138">
        <f t="shared" si="1"/>
        <v>-7.2032571249608379E-3</v>
      </c>
    </row>
    <row r="53" spans="1:31" x14ac:dyDescent="0.25">
      <c r="A53" s="261"/>
      <c r="B53" s="266">
        <v>42341</v>
      </c>
      <c r="C53" s="261">
        <v>20</v>
      </c>
      <c r="D53" s="262">
        <v>286.08999999999997</v>
      </c>
      <c r="E53" s="262">
        <v>0</v>
      </c>
      <c r="F53" s="262">
        <f t="shared" si="4"/>
        <v>5721.7999999999993</v>
      </c>
      <c r="G53" s="266"/>
      <c r="H53" s="261"/>
      <c r="I53" s="261"/>
      <c r="J53" s="261"/>
      <c r="K53" s="262"/>
      <c r="L53" s="261"/>
      <c r="M53" s="261"/>
      <c r="O53" s="83">
        <v>1</v>
      </c>
      <c r="P53" s="83">
        <f t="shared" si="5"/>
        <v>264.67</v>
      </c>
      <c r="Q53" s="2"/>
      <c r="T53" s="431" t="s">
        <v>107</v>
      </c>
      <c r="U53" s="500">
        <v>2733879</v>
      </c>
      <c r="W53" s="133">
        <v>42691</v>
      </c>
      <c r="X53" s="10">
        <v>318.23</v>
      </c>
      <c r="Y53" s="10">
        <v>320.24</v>
      </c>
      <c r="Z53" s="10">
        <v>315.35000000000002</v>
      </c>
      <c r="AA53" s="10">
        <v>319.3</v>
      </c>
      <c r="AB53" s="95">
        <v>1447000</v>
      </c>
      <c r="AC53" s="10">
        <v>319.3</v>
      </c>
      <c r="AD53" s="2">
        <f t="shared" si="0"/>
        <v>4.8899999999999864</v>
      </c>
      <c r="AE53" s="138">
        <f t="shared" si="1"/>
        <v>5.1943963481819733E-3</v>
      </c>
    </row>
    <row r="54" spans="1:31" x14ac:dyDescent="0.25">
      <c r="A54" s="261"/>
      <c r="B54" s="266">
        <v>42408</v>
      </c>
      <c r="C54" s="261">
        <v>5</v>
      </c>
      <c r="D54" s="262">
        <v>251.5</v>
      </c>
      <c r="E54" s="262">
        <v>0</v>
      </c>
      <c r="F54" s="262">
        <f>C54*D54 + E54</f>
        <v>1257.5</v>
      </c>
      <c r="G54" s="266"/>
      <c r="H54" s="261"/>
      <c r="I54" s="261"/>
      <c r="J54" s="261"/>
      <c r="K54" s="262"/>
      <c r="L54" s="261"/>
      <c r="M54" s="261"/>
      <c r="O54" s="83">
        <v>0.99</v>
      </c>
      <c r="P54" s="83">
        <f t="shared" si="5"/>
        <v>262.02330000000001</v>
      </c>
      <c r="Q54" s="2"/>
      <c r="T54" s="431" t="s">
        <v>110</v>
      </c>
      <c r="U54" s="500">
        <v>1853380</v>
      </c>
      <c r="W54" s="133">
        <v>42690</v>
      </c>
      <c r="X54" s="10">
        <v>323.14999999999998</v>
      </c>
      <c r="Y54" s="10">
        <v>325.3</v>
      </c>
      <c r="Z54" s="10">
        <v>317.39</v>
      </c>
      <c r="AA54" s="10">
        <v>317.64999999999998</v>
      </c>
      <c r="AB54" s="95">
        <v>1123900</v>
      </c>
      <c r="AC54" s="10">
        <v>317.64999999999998</v>
      </c>
      <c r="AD54" s="2">
        <f t="shared" si="0"/>
        <v>7.910000000000025</v>
      </c>
      <c r="AE54" s="138">
        <f t="shared" si="1"/>
        <v>-1.5283030566061173E-2</v>
      </c>
    </row>
    <row r="55" spans="1:31" x14ac:dyDescent="0.25">
      <c r="A55" s="261"/>
      <c r="B55" s="266">
        <v>42446</v>
      </c>
      <c r="C55" s="261">
        <v>5</v>
      </c>
      <c r="D55" s="262">
        <v>242.55</v>
      </c>
      <c r="E55" s="262">
        <v>0</v>
      </c>
      <c r="F55" s="262">
        <f>C55*D55 + E55</f>
        <v>1212.75</v>
      </c>
      <c r="G55" s="266"/>
      <c r="H55" s="261"/>
      <c r="I55" s="261"/>
      <c r="J55" s="261"/>
      <c r="K55" s="262"/>
      <c r="L55" s="261"/>
      <c r="M55" s="261"/>
      <c r="O55" s="83">
        <v>0.98</v>
      </c>
      <c r="P55" s="83">
        <f t="shared" si="5"/>
        <v>259.3766</v>
      </c>
      <c r="Q55" s="2"/>
      <c r="T55" s="431" t="s">
        <v>108</v>
      </c>
      <c r="U55" s="499" t="s">
        <v>531</v>
      </c>
      <c r="W55" s="133">
        <v>42689</v>
      </c>
      <c r="X55" s="10">
        <v>321.55</v>
      </c>
      <c r="Y55" s="10">
        <v>323.14999999999998</v>
      </c>
      <c r="Z55" s="10">
        <v>314.61</v>
      </c>
      <c r="AA55" s="10">
        <v>322.58</v>
      </c>
      <c r="AB55" s="95">
        <v>1620600</v>
      </c>
      <c r="AC55" s="10">
        <v>322.58</v>
      </c>
      <c r="AD55" s="2">
        <f t="shared" si="0"/>
        <v>8.5399999999999636</v>
      </c>
      <c r="AE55" s="138">
        <f t="shared" si="1"/>
        <v>3.3904631559300569E-3</v>
      </c>
    </row>
    <row r="56" spans="1:31" x14ac:dyDescent="0.25">
      <c r="A56" s="261"/>
      <c r="B56" s="266"/>
      <c r="C56" s="261">
        <v>5</v>
      </c>
      <c r="D56" s="262">
        <v>242.55</v>
      </c>
      <c r="E56" s="262">
        <v>0</v>
      </c>
      <c r="F56" s="262">
        <f>C56*D56 + E56</f>
        <v>1212.75</v>
      </c>
      <c r="G56" s="266"/>
      <c r="H56" s="261"/>
      <c r="I56" s="261"/>
      <c r="J56" s="261"/>
      <c r="K56" s="262"/>
      <c r="L56" s="261"/>
      <c r="M56" s="261"/>
      <c r="O56" s="83">
        <v>0.97</v>
      </c>
      <c r="P56" s="83">
        <f t="shared" si="5"/>
        <v>256.72989999999999</v>
      </c>
      <c r="T56" s="431" t="s">
        <v>111</v>
      </c>
      <c r="U56" s="499">
        <v>15.61</v>
      </c>
      <c r="W56" s="133">
        <v>42688</v>
      </c>
      <c r="X56" s="10">
        <v>319.73</v>
      </c>
      <c r="Y56" s="10">
        <v>324.83</v>
      </c>
      <c r="Z56" s="10">
        <v>317.54000000000002</v>
      </c>
      <c r="AA56" s="10">
        <v>321.49</v>
      </c>
      <c r="AB56" s="95">
        <v>1564700</v>
      </c>
      <c r="AC56" s="10">
        <v>321.49</v>
      </c>
      <c r="AD56" s="2">
        <f t="shared" si="0"/>
        <v>7.2899999999999636</v>
      </c>
      <c r="AE56" s="138">
        <f t="shared" si="1"/>
        <v>7.2372955698978281E-3</v>
      </c>
    </row>
    <row r="57" spans="1:31" x14ac:dyDescent="0.25">
      <c r="A57" s="32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3">
        <f>SUM(H41:H53)</f>
        <v>155</v>
      </c>
      <c r="I57" s="18"/>
      <c r="J57" s="18"/>
      <c r="K57" s="18">
        <f>SUM(K41:K53)</f>
        <v>44472.76</v>
      </c>
      <c r="L57" s="14"/>
      <c r="M57" s="14"/>
      <c r="O57" s="83">
        <v>0.96</v>
      </c>
      <c r="P57" s="83">
        <f t="shared" si="5"/>
        <v>254.08320000000001</v>
      </c>
      <c r="T57" s="431" t="s">
        <v>112</v>
      </c>
      <c r="U57" s="499">
        <v>16.93</v>
      </c>
      <c r="W57" s="133">
        <v>42685</v>
      </c>
      <c r="X57" s="10">
        <v>320.29000000000002</v>
      </c>
      <c r="Y57" s="10">
        <v>322.64</v>
      </c>
      <c r="Z57" s="10">
        <v>314.47000000000003</v>
      </c>
      <c r="AA57" s="10">
        <v>319.18</v>
      </c>
      <c r="AB57" s="95">
        <v>1597700</v>
      </c>
      <c r="AC57" s="10">
        <v>319.18</v>
      </c>
      <c r="AD57" s="2">
        <f t="shared" si="0"/>
        <v>8.1699999999999591</v>
      </c>
      <c r="AE57" s="138">
        <f t="shared" si="1"/>
        <v>-1.6091245376078867E-2</v>
      </c>
    </row>
    <row r="58" spans="1:31" x14ac:dyDescent="0.25">
      <c r="O58" s="83">
        <v>0.95</v>
      </c>
      <c r="P58" s="83">
        <f t="shared" si="5"/>
        <v>251.4365</v>
      </c>
      <c r="T58" s="431" t="s">
        <v>109</v>
      </c>
      <c r="U58" s="499" t="s">
        <v>123</v>
      </c>
      <c r="W58" s="133">
        <v>42684</v>
      </c>
      <c r="X58" s="10">
        <v>321.95</v>
      </c>
      <c r="Y58" s="10">
        <v>329.83</v>
      </c>
      <c r="Z58" s="10">
        <v>319.49</v>
      </c>
      <c r="AA58" s="10">
        <v>324.39999999999998</v>
      </c>
      <c r="AB58" s="95">
        <v>2665700</v>
      </c>
      <c r="AC58" s="10">
        <v>324.39999999999998</v>
      </c>
      <c r="AD58" s="2">
        <f t="shared" si="0"/>
        <v>10.339999999999975</v>
      </c>
      <c r="AE58" s="138">
        <f t="shared" si="1"/>
        <v>1.4193709748014705E-2</v>
      </c>
    </row>
    <row r="59" spans="1:31" x14ac:dyDescent="0.25">
      <c r="O59" s="83">
        <v>0.94</v>
      </c>
      <c r="P59" s="83">
        <f t="shared" si="5"/>
        <v>248.78980000000001</v>
      </c>
      <c r="W59" s="133">
        <v>42683</v>
      </c>
      <c r="X59" s="10">
        <v>312</v>
      </c>
      <c r="Y59" s="10">
        <v>328.98</v>
      </c>
      <c r="Z59" s="10">
        <v>309.68</v>
      </c>
      <c r="AA59" s="10">
        <v>319.86</v>
      </c>
      <c r="AB59" s="95">
        <v>4239200</v>
      </c>
      <c r="AC59" s="10">
        <v>319.86</v>
      </c>
      <c r="AD59" s="2">
        <f t="shared" si="0"/>
        <v>19.300000000000011</v>
      </c>
      <c r="AE59" s="138">
        <f t="shared" si="1"/>
        <v>8.2070365358592579E-2</v>
      </c>
    </row>
    <row r="60" spans="1:31" x14ac:dyDescent="0.25">
      <c r="B60" s="269" t="s">
        <v>114</v>
      </c>
      <c r="C60" s="269" t="s">
        <v>147</v>
      </c>
      <c r="D60" s="270" t="s">
        <v>146</v>
      </c>
      <c r="E60" s="271" t="s">
        <v>148</v>
      </c>
      <c r="F60" s="272" t="s">
        <v>65</v>
      </c>
      <c r="G60" s="273" t="s">
        <v>152</v>
      </c>
      <c r="H60" s="272" t="s">
        <v>88</v>
      </c>
      <c r="O60" s="83">
        <v>0.93</v>
      </c>
      <c r="P60" s="83">
        <f t="shared" si="5"/>
        <v>246.14310000000003</v>
      </c>
      <c r="W60" s="133">
        <v>42682</v>
      </c>
      <c r="X60" s="10">
        <v>295.2</v>
      </c>
      <c r="Y60" s="10">
        <v>299.07</v>
      </c>
      <c r="Z60" s="10">
        <v>292.55</v>
      </c>
      <c r="AA60" s="10">
        <v>295.60000000000002</v>
      </c>
      <c r="AB60" s="95">
        <v>1031000</v>
      </c>
      <c r="AC60" s="10">
        <v>295.60000000000002</v>
      </c>
      <c r="AD60" s="2">
        <f t="shared" si="0"/>
        <v>6.5199999999999818</v>
      </c>
      <c r="AE60" s="138">
        <f t="shared" si="1"/>
        <v>-6.7654421216367666E-5</v>
      </c>
    </row>
    <row r="61" spans="1:31" x14ac:dyDescent="0.25">
      <c r="B61" s="266">
        <v>42304</v>
      </c>
      <c r="C61" s="261">
        <v>80</v>
      </c>
      <c r="D61" s="262">
        <v>271.44</v>
      </c>
      <c r="E61" s="262">
        <v>293.69</v>
      </c>
      <c r="F61" s="262">
        <v>1780.09</v>
      </c>
      <c r="G61" s="262">
        <f t="shared" ref="G61:G66" si="6">IF(C61=0, 0,D61*C61)</f>
        <v>21715.200000000001</v>
      </c>
      <c r="H61" s="274">
        <f t="shared" ref="H61:H66" si="7">IF(C61=0, D61, (E61-D61)/D61)</f>
        <v>8.1970232832301801E-2</v>
      </c>
      <c r="O61" s="83">
        <v>0.92</v>
      </c>
      <c r="P61" s="83">
        <f t="shared" si="5"/>
        <v>243.49640000000002</v>
      </c>
      <c r="W61" s="133">
        <v>42681</v>
      </c>
      <c r="X61" s="10">
        <v>290.64</v>
      </c>
      <c r="Y61" s="10">
        <v>297.27</v>
      </c>
      <c r="Z61" s="10">
        <v>289.23</v>
      </c>
      <c r="AA61" s="10">
        <v>295.62</v>
      </c>
      <c r="AB61" s="95">
        <v>2190000</v>
      </c>
      <c r="AC61" s="10">
        <v>295.62</v>
      </c>
      <c r="AD61" s="2">
        <f t="shared" si="0"/>
        <v>8.0399999999999636</v>
      </c>
      <c r="AE61" s="138">
        <f t="shared" si="1"/>
        <v>6.7220216606498129E-2</v>
      </c>
    </row>
    <row r="62" spans="1:31" x14ac:dyDescent="0.25">
      <c r="B62" s="266">
        <v>42310</v>
      </c>
      <c r="C62" s="261">
        <v>70</v>
      </c>
      <c r="D62" s="262">
        <v>267.36</v>
      </c>
      <c r="E62" s="262">
        <v>303.08</v>
      </c>
      <c r="F62" s="262">
        <v>2500.4299999999998</v>
      </c>
      <c r="G62" s="262">
        <f t="shared" si="6"/>
        <v>18715.2</v>
      </c>
      <c r="H62" s="274">
        <f t="shared" si="7"/>
        <v>0.1336026331538</v>
      </c>
      <c r="O62" s="83">
        <v>0.91</v>
      </c>
      <c r="P62" s="83">
        <f t="shared" si="5"/>
        <v>240.84970000000001</v>
      </c>
      <c r="W62" s="133">
        <v>42678</v>
      </c>
      <c r="X62" s="10">
        <v>269.39</v>
      </c>
      <c r="Y62" s="10">
        <v>279.93</v>
      </c>
      <c r="Z62" s="10">
        <v>268</v>
      </c>
      <c r="AA62" s="10">
        <v>277</v>
      </c>
      <c r="AB62" s="95">
        <v>1307600</v>
      </c>
      <c r="AC62" s="10">
        <v>277</v>
      </c>
      <c r="AD62" s="2">
        <f t="shared" si="0"/>
        <v>11.930000000000007</v>
      </c>
      <c r="AE62" s="138">
        <f t="shared" si="1"/>
        <v>1.2834107279973583E-2</v>
      </c>
    </row>
    <row r="63" spans="1:31" x14ac:dyDescent="0.25">
      <c r="B63" s="266">
        <v>42314</v>
      </c>
      <c r="C63" s="261">
        <v>80</v>
      </c>
      <c r="D63" s="262">
        <v>271.29000000000002</v>
      </c>
      <c r="E63" s="262">
        <v>299.14</v>
      </c>
      <c r="F63" s="262">
        <v>2227.9299999999998</v>
      </c>
      <c r="G63" s="262">
        <f t="shared" si="6"/>
        <v>21703.200000000001</v>
      </c>
      <c r="H63" s="274">
        <f t="shared" si="7"/>
        <v>0.10265767260127526</v>
      </c>
      <c r="O63" s="83">
        <v>0.9</v>
      </c>
      <c r="P63" s="83">
        <f t="shared" si="5"/>
        <v>238.20300000000003</v>
      </c>
      <c r="W63" s="133">
        <v>42677</v>
      </c>
      <c r="X63" s="10">
        <v>277.64999999999998</v>
      </c>
      <c r="Y63" s="10">
        <v>278.57</v>
      </c>
      <c r="Z63" s="10">
        <v>272.98</v>
      </c>
      <c r="AA63" s="10">
        <v>273.49</v>
      </c>
      <c r="AB63" s="95">
        <v>1407900</v>
      </c>
      <c r="AC63" s="10">
        <v>273.49</v>
      </c>
      <c r="AD63" s="2">
        <f t="shared" si="0"/>
        <v>5.589999999999975</v>
      </c>
      <c r="AE63" s="138">
        <f t="shared" si="1"/>
        <v>-1.3597345451922371E-2</v>
      </c>
    </row>
    <row r="64" spans="1:31" x14ac:dyDescent="0.25">
      <c r="B64" s="266">
        <v>42326</v>
      </c>
      <c r="C64" s="261">
        <v>40</v>
      </c>
      <c r="D64" s="262">
        <v>254.6</v>
      </c>
      <c r="E64" s="262">
        <v>291.98</v>
      </c>
      <c r="F64" s="262">
        <v>1495.32</v>
      </c>
      <c r="G64" s="262">
        <f t="shared" si="6"/>
        <v>10184</v>
      </c>
      <c r="H64" s="274">
        <f t="shared" si="7"/>
        <v>0.14681853888452484</v>
      </c>
      <c r="W64" s="133">
        <v>42676</v>
      </c>
      <c r="X64" s="10">
        <v>282.31</v>
      </c>
      <c r="Y64" s="10">
        <v>282.31</v>
      </c>
      <c r="Z64" s="10">
        <v>277.08999999999997</v>
      </c>
      <c r="AA64" s="10">
        <v>277.26</v>
      </c>
      <c r="AB64" s="95">
        <v>1081900</v>
      </c>
      <c r="AC64" s="10">
        <v>277.26</v>
      </c>
      <c r="AD64" s="2">
        <f t="shared" si="0"/>
        <v>5.2200000000000273</v>
      </c>
      <c r="AE64" s="138">
        <f t="shared" si="1"/>
        <v>-1.8757078142695449E-2</v>
      </c>
    </row>
    <row r="65" spans="2:31" x14ac:dyDescent="0.25">
      <c r="B65" s="266">
        <v>42338</v>
      </c>
      <c r="C65" s="261">
        <v>60</v>
      </c>
      <c r="D65" s="262">
        <v>265.08999999999997</v>
      </c>
      <c r="E65" s="262">
        <v>286.86</v>
      </c>
      <c r="F65" s="262">
        <v>1305.92</v>
      </c>
      <c r="G65" s="262">
        <f t="shared" si="6"/>
        <v>15905.399999999998</v>
      </c>
      <c r="H65" s="274">
        <f t="shared" si="7"/>
        <v>8.2123052548191328E-2</v>
      </c>
      <c r="W65" s="133">
        <v>42675</v>
      </c>
      <c r="X65" s="10">
        <v>280.02999999999997</v>
      </c>
      <c r="Y65" s="10">
        <v>285.18</v>
      </c>
      <c r="Z65" s="10">
        <v>279.52999999999997</v>
      </c>
      <c r="AA65" s="10">
        <v>282.56</v>
      </c>
      <c r="AB65" s="95">
        <v>1371500</v>
      </c>
      <c r="AC65" s="10">
        <v>282.56</v>
      </c>
      <c r="AD65" s="2">
        <f t="shared" si="0"/>
        <v>5.6500000000000341</v>
      </c>
      <c r="AE65" s="138">
        <f t="shared" si="1"/>
        <v>8.4945392247841589E-3</v>
      </c>
    </row>
    <row r="66" spans="2:31" x14ac:dyDescent="0.25">
      <c r="B66" s="266">
        <v>42342</v>
      </c>
      <c r="C66" s="261">
        <v>25</v>
      </c>
      <c r="D66" s="262">
        <v>240.05</v>
      </c>
      <c r="E66" s="262">
        <v>284.45</v>
      </c>
      <c r="F66" s="262">
        <v>1110</v>
      </c>
      <c r="G66" s="262">
        <f t="shared" si="6"/>
        <v>6001.25</v>
      </c>
      <c r="H66" s="274">
        <f t="shared" si="7"/>
        <v>0.18496146636117466</v>
      </c>
      <c r="W66" s="133">
        <v>42674</v>
      </c>
      <c r="X66" s="10">
        <v>284.91000000000003</v>
      </c>
      <c r="Y66" s="10">
        <v>285</v>
      </c>
      <c r="Z66" s="10">
        <v>279.23</v>
      </c>
      <c r="AA66" s="10">
        <v>280.18</v>
      </c>
      <c r="AB66" s="95">
        <v>1448900</v>
      </c>
      <c r="AC66" s="10">
        <v>280.18</v>
      </c>
      <c r="AD66" s="2">
        <f t="shared" si="0"/>
        <v>5.7699999999999818</v>
      </c>
      <c r="AE66" s="138">
        <f t="shared" si="1"/>
        <v>-1.219856155690302E-2</v>
      </c>
    </row>
    <row r="67" spans="2:31" x14ac:dyDescent="0.25">
      <c r="B67" s="266">
        <v>42355</v>
      </c>
      <c r="C67" s="261">
        <v>0</v>
      </c>
      <c r="D67" s="262">
        <v>0</v>
      </c>
      <c r="E67" s="262">
        <v>297.17</v>
      </c>
      <c r="F67" s="262">
        <v>1373.65</v>
      </c>
      <c r="G67" s="262"/>
      <c r="H67" s="274"/>
      <c r="W67" s="133">
        <v>42671</v>
      </c>
      <c r="X67" s="10">
        <v>290.29000000000002</v>
      </c>
      <c r="Y67" s="10">
        <v>290.47000000000003</v>
      </c>
      <c r="Z67" s="10">
        <v>280.33999999999997</v>
      </c>
      <c r="AA67" s="10">
        <v>283.64</v>
      </c>
      <c r="AB67" s="95">
        <v>1884500</v>
      </c>
      <c r="AC67" s="10">
        <v>283.64</v>
      </c>
      <c r="AD67" s="2">
        <f>Y67-Z67</f>
        <v>10.130000000000052</v>
      </c>
      <c r="AE67" s="138" t="e">
        <f>AC67/AC68-1</f>
        <v>#DIV/0!</v>
      </c>
    </row>
    <row r="68" spans="2:31" x14ac:dyDescent="0.25">
      <c r="W68" s="10" t="s">
        <v>121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  <row r="69" spans="2:31" x14ac:dyDescent="0.25">
      <c r="B69" s="380">
        <v>42408</v>
      </c>
      <c r="C69" s="381">
        <v>5</v>
      </c>
      <c r="D69" s="382">
        <v>251.5</v>
      </c>
      <c r="E69" s="382">
        <v>256.52</v>
      </c>
      <c r="F69" s="382">
        <f>C69*(E69-D69)</f>
        <v>25.099999999999909</v>
      </c>
      <c r="G69" s="382">
        <f>D69*C69</f>
        <v>1257.5</v>
      </c>
      <c r="H69" s="383">
        <f>(E69-D69)/D69</f>
        <v>1.9960238568588397E-2</v>
      </c>
      <c r="I69" s="383"/>
    </row>
    <row r="70" spans="2:31" x14ac:dyDescent="0.25">
      <c r="B70" s="380">
        <v>42422</v>
      </c>
      <c r="C70" s="381">
        <v>5</v>
      </c>
      <c r="D70" s="382">
        <v>251.5</v>
      </c>
      <c r="E70" s="382">
        <v>265.83</v>
      </c>
      <c r="F70" s="382">
        <f t="shared" ref="F70:F79" si="8">C70*(E70-D70)</f>
        <v>71.64999999999992</v>
      </c>
      <c r="G70" s="382">
        <f t="shared" ref="G70:G80" si="9">D70*C70</f>
        <v>1257.5</v>
      </c>
      <c r="H70" s="383">
        <f t="shared" ref="H70:H79" si="10">(E70-D70)/D70</f>
        <v>5.6978131212723597E-2</v>
      </c>
      <c r="I70" s="383"/>
    </row>
    <row r="71" spans="2:31" x14ac:dyDescent="0.25">
      <c r="B71" s="380">
        <v>42431</v>
      </c>
      <c r="C71" s="381">
        <v>5</v>
      </c>
      <c r="D71" s="382">
        <v>251.5</v>
      </c>
      <c r="E71" s="382">
        <v>273.66000000000003</v>
      </c>
      <c r="F71" s="382">
        <f t="shared" si="8"/>
        <v>110.80000000000013</v>
      </c>
      <c r="G71" s="382">
        <f t="shared" si="9"/>
        <v>1257.5</v>
      </c>
      <c r="H71" s="383">
        <f t="shared" si="10"/>
        <v>8.8111332007952389E-2</v>
      </c>
      <c r="I71" s="383"/>
    </row>
    <row r="72" spans="2:31" x14ac:dyDescent="0.25">
      <c r="B72" s="380">
        <v>42433</v>
      </c>
      <c r="C72" s="381">
        <v>5</v>
      </c>
      <c r="D72" s="382">
        <v>251.5</v>
      </c>
      <c r="E72" s="382">
        <v>263.94</v>
      </c>
      <c r="F72" s="382">
        <f t="shared" si="8"/>
        <v>62.199999999999989</v>
      </c>
      <c r="G72" s="382">
        <f t="shared" si="9"/>
        <v>1257.5</v>
      </c>
      <c r="H72" s="383">
        <f t="shared" si="10"/>
        <v>4.9463220675944324E-2</v>
      </c>
      <c r="I72" s="383"/>
    </row>
    <row r="73" spans="2:31" x14ac:dyDescent="0.25">
      <c r="B73" s="380">
        <v>42439</v>
      </c>
      <c r="C73" s="381">
        <v>5</v>
      </c>
      <c r="D73" s="382">
        <v>251.5</v>
      </c>
      <c r="E73" s="382">
        <v>251.97</v>
      </c>
      <c r="F73" s="382">
        <f t="shared" si="8"/>
        <v>2.3499999999999943</v>
      </c>
      <c r="G73" s="382">
        <f t="shared" si="9"/>
        <v>1257.5</v>
      </c>
      <c r="H73" s="384">
        <f t="shared" si="10"/>
        <v>1.8687872763419437E-3</v>
      </c>
      <c r="I73" s="384"/>
    </row>
    <row r="74" spans="2:31" x14ac:dyDescent="0.25">
      <c r="B74" s="380">
        <v>42444</v>
      </c>
      <c r="C74" s="381">
        <v>5</v>
      </c>
      <c r="D74" s="382">
        <v>251.5</v>
      </c>
      <c r="E74" s="382">
        <v>250.33</v>
      </c>
      <c r="F74" s="382">
        <f t="shared" si="8"/>
        <v>-5.8499999999999375</v>
      </c>
      <c r="G74" s="382">
        <f t="shared" si="9"/>
        <v>1257.5</v>
      </c>
      <c r="H74" s="384">
        <f t="shared" si="10"/>
        <v>-4.6520874751490556E-3</v>
      </c>
      <c r="I74" s="384"/>
    </row>
    <row r="75" spans="2:31" x14ac:dyDescent="0.25">
      <c r="B75" s="380">
        <v>42446</v>
      </c>
      <c r="C75" s="381">
        <v>15</v>
      </c>
      <c r="D75" s="382">
        <v>245.5333</v>
      </c>
      <c r="E75" s="382">
        <v>246.31</v>
      </c>
      <c r="F75" s="382">
        <f t="shared" si="8"/>
        <v>11.650500000000079</v>
      </c>
      <c r="G75" s="382">
        <f t="shared" si="9"/>
        <v>3682.9994999999999</v>
      </c>
      <c r="H75" s="384">
        <f t="shared" si="10"/>
        <v>3.1633183767741701E-3</v>
      </c>
      <c r="I75" s="384"/>
    </row>
    <row r="76" spans="2:31" x14ac:dyDescent="0.25">
      <c r="B76" s="380">
        <v>42447</v>
      </c>
      <c r="C76" s="381">
        <v>10</v>
      </c>
      <c r="D76" s="382">
        <v>243.50800000000001</v>
      </c>
      <c r="E76" s="382">
        <v>250.78</v>
      </c>
      <c r="F76" s="382">
        <f t="shared" si="8"/>
        <v>72.719999999999914</v>
      </c>
      <c r="G76" s="382">
        <f t="shared" si="9"/>
        <v>2435.08</v>
      </c>
      <c r="H76" s="384">
        <f t="shared" si="10"/>
        <v>2.9863495244509385E-2</v>
      </c>
      <c r="I76" s="384" t="s">
        <v>194</v>
      </c>
    </row>
    <row r="77" spans="2:31" x14ac:dyDescent="0.25">
      <c r="B77" s="380">
        <v>42458</v>
      </c>
      <c r="C77" s="381">
        <v>10</v>
      </c>
      <c r="D77" s="382">
        <v>243.50800000000001</v>
      </c>
      <c r="E77" s="382">
        <v>254.68</v>
      </c>
      <c r="F77" s="382">
        <f t="shared" si="8"/>
        <v>111.71999999999997</v>
      </c>
      <c r="G77" s="382">
        <f t="shared" si="9"/>
        <v>2435.08</v>
      </c>
      <c r="H77" s="384">
        <f t="shared" si="10"/>
        <v>4.587939615946908E-2</v>
      </c>
      <c r="I77" s="384"/>
    </row>
    <row r="78" spans="2:31" x14ac:dyDescent="0.25">
      <c r="B78" s="380">
        <v>42460</v>
      </c>
      <c r="C78" s="381">
        <v>5</v>
      </c>
      <c r="D78" s="382">
        <v>225.80199999999999</v>
      </c>
      <c r="E78" s="382">
        <v>260.32</v>
      </c>
      <c r="F78" s="382">
        <f t="shared" si="8"/>
        <v>172.59</v>
      </c>
      <c r="G78" s="382">
        <f t="shared" si="9"/>
        <v>1129.01</v>
      </c>
      <c r="H78" s="384">
        <f t="shared" si="10"/>
        <v>0.15286844226357607</v>
      </c>
      <c r="I78" s="384"/>
    </row>
    <row r="79" spans="2:31" x14ac:dyDescent="0.25">
      <c r="B79" s="380">
        <v>42469</v>
      </c>
      <c r="C79" s="381">
        <v>5</v>
      </c>
      <c r="D79" s="382">
        <v>225.80199999999999</v>
      </c>
      <c r="E79" s="382">
        <v>270.83</v>
      </c>
      <c r="F79" s="382">
        <f t="shared" si="8"/>
        <v>225.13999999999996</v>
      </c>
      <c r="G79" s="382">
        <f t="shared" si="9"/>
        <v>1129.01</v>
      </c>
      <c r="H79" s="384">
        <f t="shared" si="10"/>
        <v>0.1994136455832986</v>
      </c>
      <c r="I79" s="384"/>
    </row>
    <row r="80" spans="2:31" x14ac:dyDescent="0.25">
      <c r="B80" s="380">
        <v>42482</v>
      </c>
      <c r="C80" s="381">
        <v>0</v>
      </c>
      <c r="D80" s="382">
        <v>0</v>
      </c>
      <c r="E80" s="382">
        <v>0</v>
      </c>
      <c r="F80" s="382">
        <v>285.70999999999998</v>
      </c>
      <c r="G80" s="382">
        <f t="shared" si="9"/>
        <v>0</v>
      </c>
      <c r="H80" s="384"/>
      <c r="I80" s="384"/>
    </row>
    <row r="81" spans="2:9" x14ac:dyDescent="0.25">
      <c r="B81" s="381"/>
      <c r="C81" s="381"/>
      <c r="D81" s="382"/>
      <c r="E81" s="382"/>
      <c r="F81" s="382"/>
      <c r="G81" s="382"/>
      <c r="H81" s="384"/>
      <c r="I81" s="384"/>
    </row>
    <row r="82" spans="2:9" x14ac:dyDescent="0.25">
      <c r="B82" s="381"/>
      <c r="C82" s="381"/>
      <c r="D82" s="382"/>
      <c r="E82" s="382"/>
      <c r="F82" s="382"/>
      <c r="G82" s="382"/>
      <c r="H82" s="384"/>
      <c r="I82" s="384"/>
    </row>
  </sheetData>
  <mergeCells count="1">
    <mergeCell ref="O42:P42"/>
  </mergeCells>
  <conditionalFormatting sqref="N19 F25:F35">
    <cfRule type="expression" dxfId="1081" priority="58">
      <formula>F19&gt;0</formula>
    </cfRule>
    <cfRule type="expression" dxfId="1080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5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{083371F5-098B-4866-B63B-5D6536D456B0}</x14:id>
        </ext>
      </extLst>
    </cfRule>
  </conditionalFormatting>
  <conditionalFormatting sqref="AE1:AE68">
    <cfRule type="iconSet" priority="53">
      <iconSet iconSet="3Arrows">
        <cfvo type="percent" val="0"/>
        <cfvo type="num" val="0"/>
        <cfvo type="num" val="0"/>
      </iconSet>
    </cfRule>
  </conditionalFormatting>
  <conditionalFormatting sqref="H25:H28">
    <cfRule type="expression" dxfId="1079" priority="47">
      <formula>H25&gt;0</formula>
    </cfRule>
    <cfRule type="expression" dxfId="1078" priority="48">
      <formula>H25&lt;0</formula>
    </cfRule>
  </conditionalFormatting>
  <conditionalFormatting sqref="M39">
    <cfRule type="expression" dxfId="1077" priority="45">
      <formula>M39&gt;0</formula>
    </cfRule>
    <cfRule type="expression" dxfId="1076" priority="46">
      <formula>M39&lt;0</formula>
    </cfRule>
  </conditionalFormatting>
  <conditionalFormatting sqref="F61:F67">
    <cfRule type="expression" dxfId="1075" priority="43">
      <formula>F61&gt;0</formula>
    </cfRule>
    <cfRule type="expression" dxfId="1074" priority="44">
      <formula>F61&lt;0</formula>
    </cfRule>
  </conditionalFormatting>
  <conditionalFormatting sqref="H61:H67">
    <cfRule type="expression" dxfId="1073" priority="41">
      <formula>H61&gt;0</formula>
    </cfRule>
    <cfRule type="expression" dxfId="1072" priority="42">
      <formula>H61&lt;0</formula>
    </cfRule>
  </conditionalFormatting>
  <conditionalFormatting sqref="F21:F24">
    <cfRule type="expression" dxfId="1071" priority="39">
      <formula>F21&gt;0</formula>
    </cfRule>
    <cfRule type="expression" dxfId="1070" priority="40">
      <formula>F21&lt;0</formula>
    </cfRule>
  </conditionalFormatting>
  <conditionalFormatting sqref="H21:H24">
    <cfRule type="expression" dxfId="1069" priority="37">
      <formula>H21&gt;0</formula>
    </cfRule>
    <cfRule type="expression" dxfId="1068" priority="38">
      <formula>H21&lt;0</formula>
    </cfRule>
  </conditionalFormatting>
  <conditionalFormatting sqref="I25:I28">
    <cfRule type="expression" dxfId="1067" priority="31">
      <formula>I25&gt;0</formula>
    </cfRule>
    <cfRule type="expression" dxfId="1066" priority="32">
      <formula>I25&lt;0</formula>
    </cfRule>
  </conditionalFormatting>
  <conditionalFormatting sqref="I21:I24">
    <cfRule type="expression" dxfId="1065" priority="29">
      <formula>I21&gt;0</formula>
    </cfRule>
    <cfRule type="expression" dxfId="1064" priority="30">
      <formula>I21&lt;0</formula>
    </cfRule>
  </conditionalFormatting>
  <conditionalFormatting sqref="H29">
    <cfRule type="expression" dxfId="1063" priority="27">
      <formula>H29&gt;0</formula>
    </cfRule>
    <cfRule type="expression" dxfId="1062" priority="28">
      <formula>H29&lt;0</formula>
    </cfRule>
  </conditionalFormatting>
  <conditionalFormatting sqref="H30">
    <cfRule type="expression" dxfId="1061" priority="25">
      <formula>H30&gt;0</formula>
    </cfRule>
    <cfRule type="expression" dxfId="1060" priority="26">
      <formula>H30&lt;0</formula>
    </cfRule>
  </conditionalFormatting>
  <conditionalFormatting sqref="H31">
    <cfRule type="expression" dxfId="1059" priority="23">
      <formula>H31&gt;0</formula>
    </cfRule>
    <cfRule type="expression" dxfId="1058" priority="24">
      <formula>H31&lt;0</formula>
    </cfRule>
  </conditionalFormatting>
  <conditionalFormatting sqref="Q7">
    <cfRule type="expression" dxfId="1057" priority="21">
      <formula>Q7&gt;0</formula>
    </cfRule>
    <cfRule type="expression" dxfId="1056" priority="22">
      <formula>Q7&lt;0</formula>
    </cfRule>
  </conditionalFormatting>
  <conditionalFormatting sqref="Q8">
    <cfRule type="expression" dxfId="1055" priority="19">
      <formula>Q8&gt;0</formula>
    </cfRule>
    <cfRule type="expression" dxfId="1054" priority="20">
      <formula>Q8&lt;0</formula>
    </cfRule>
  </conditionalFormatting>
  <conditionalFormatting sqref="F73:F82">
    <cfRule type="expression" dxfId="1053" priority="17">
      <formula>F73&gt;0</formula>
    </cfRule>
    <cfRule type="expression" dxfId="1052" priority="18">
      <formula>F73&lt;0</formula>
    </cfRule>
  </conditionalFormatting>
  <conditionalFormatting sqref="H73:H76">
    <cfRule type="expression" dxfId="1051" priority="15">
      <formula>H73&gt;0</formula>
    </cfRule>
    <cfRule type="expression" dxfId="1050" priority="16">
      <formula>H73&lt;0</formula>
    </cfRule>
  </conditionalFormatting>
  <conditionalFormatting sqref="F69:F72">
    <cfRule type="expression" dxfId="1049" priority="13">
      <formula>F69&gt;0</formula>
    </cfRule>
    <cfRule type="expression" dxfId="1048" priority="14">
      <formula>F69&lt;0</formula>
    </cfRule>
  </conditionalFormatting>
  <conditionalFormatting sqref="H69:H72">
    <cfRule type="expression" dxfId="1047" priority="11">
      <formula>H69&gt;0</formula>
    </cfRule>
    <cfRule type="expression" dxfId="1046" priority="12">
      <formula>H69&lt;0</formula>
    </cfRule>
  </conditionalFormatting>
  <conditionalFormatting sqref="I73:I76">
    <cfRule type="expression" dxfId="1045" priority="9">
      <formula>I73&gt;0</formula>
    </cfRule>
    <cfRule type="expression" dxfId="1044" priority="10">
      <formula>I73&lt;0</formula>
    </cfRule>
  </conditionalFormatting>
  <conditionalFormatting sqref="I69:I72">
    <cfRule type="expression" dxfId="1043" priority="7">
      <formula>I69&gt;0</formula>
    </cfRule>
    <cfRule type="expression" dxfId="1042" priority="8">
      <formula>I69&lt;0</formula>
    </cfRule>
  </conditionalFormatting>
  <conditionalFormatting sqref="H77">
    <cfRule type="expression" dxfId="1041" priority="5">
      <formula>H77&gt;0</formula>
    </cfRule>
    <cfRule type="expression" dxfId="1040" priority="6">
      <formula>H77&lt;0</formula>
    </cfRule>
  </conditionalFormatting>
  <conditionalFormatting sqref="H78">
    <cfRule type="expression" dxfId="1039" priority="3">
      <formula>H78&gt;0</formula>
    </cfRule>
    <cfRule type="expression" dxfId="1038" priority="4">
      <formula>H78&lt;0</formula>
    </cfRule>
  </conditionalFormatting>
  <conditionalFormatting sqref="H79">
    <cfRule type="expression" dxfId="1037" priority="1">
      <formula>H79&gt;0</formula>
    </cfRule>
    <cfRule type="expression" dxfId="1036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3371F5-098B-4866-B63B-5D6536D456B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8.28515625" customWidth="1"/>
    <col min="23" max="23" width="11.710937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0" x14ac:dyDescent="0.25">
      <c r="A2" s="6" t="s">
        <v>208</v>
      </c>
      <c r="B2" s="74"/>
      <c r="C2" s="4"/>
      <c r="D2" s="3"/>
      <c r="E2" s="3"/>
      <c r="F2" s="3"/>
      <c r="G2" s="74"/>
      <c r="H2" s="185"/>
      <c r="I2" s="3"/>
      <c r="J2" s="3"/>
      <c r="K2" s="3"/>
      <c r="L2" s="4"/>
      <c r="O2" s="11" t="s">
        <v>57</v>
      </c>
      <c r="Q2">
        <f>C18-H18</f>
        <v>0</v>
      </c>
      <c r="W2" s="133">
        <v>42768</v>
      </c>
      <c r="X2" s="10">
        <v>38.26</v>
      </c>
      <c r="Y2" s="10">
        <v>39.35</v>
      </c>
      <c r="Z2" s="10">
        <v>38.159999999999997</v>
      </c>
      <c r="AA2" s="10">
        <v>39</v>
      </c>
      <c r="AB2" s="95">
        <v>6173200</v>
      </c>
      <c r="AC2" s="10">
        <v>39</v>
      </c>
      <c r="AD2" s="2">
        <f>Y2-Z2</f>
        <v>1.1900000000000048</v>
      </c>
      <c r="AE2" s="138">
        <f>AC2/AC3-1</f>
        <v>8.7946197620281108E-3</v>
      </c>
    </row>
    <row r="3" spans="1:40" x14ac:dyDescent="0.25">
      <c r="A3" s="23" t="s">
        <v>71</v>
      </c>
      <c r="B3" s="164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39.21</v>
      </c>
      <c r="W3" s="133">
        <v>42767</v>
      </c>
      <c r="X3" s="10">
        <v>38.68</v>
      </c>
      <c r="Y3" s="10">
        <v>38.75</v>
      </c>
      <c r="Z3" s="10">
        <v>38.07</v>
      </c>
      <c r="AA3" s="10">
        <v>38.659999999999997</v>
      </c>
      <c r="AB3" s="95">
        <v>5822400</v>
      </c>
      <c r="AC3" s="10">
        <v>38.659999999999997</v>
      </c>
      <c r="AD3" s="2">
        <f t="shared" ref="AD3:AD66" si="0">Y3-Z3</f>
        <v>0.67999999999999972</v>
      </c>
      <c r="AE3" s="138">
        <f t="shared" ref="AE3:AE66" si="1">AC3/AC4-1</f>
        <v>1.6031537450722722E-2</v>
      </c>
      <c r="AG3" s="1"/>
      <c r="AK3" s="234"/>
      <c r="AN3" s="234"/>
    </row>
    <row r="4" spans="1:40" x14ac:dyDescent="0.25">
      <c r="B4" s="164"/>
      <c r="C4" s="4"/>
      <c r="D4" s="3"/>
      <c r="E4" s="3"/>
      <c r="F4" s="3"/>
      <c r="G4" s="74"/>
      <c r="H4" s="185"/>
      <c r="I4" s="3"/>
      <c r="J4" s="3"/>
      <c r="K4" s="3"/>
      <c r="L4" s="4"/>
      <c r="O4" s="11" t="s">
        <v>66</v>
      </c>
      <c r="Q4" s="55">
        <v>39.21</v>
      </c>
      <c r="R4" s="526">
        <v>5.4000000000000003E-3</v>
      </c>
      <c r="T4" s="1"/>
      <c r="W4" s="133">
        <v>42766</v>
      </c>
      <c r="X4" s="10">
        <v>37.020000000000003</v>
      </c>
      <c r="Y4" s="10">
        <v>38.090000000000003</v>
      </c>
      <c r="Z4" s="10">
        <v>36.409999999999997</v>
      </c>
      <c r="AA4" s="10">
        <v>38.049999999999997</v>
      </c>
      <c r="AB4" s="95">
        <v>7342100</v>
      </c>
      <c r="AC4" s="10">
        <v>38.049999999999997</v>
      </c>
      <c r="AD4" s="2">
        <f t="shared" si="0"/>
        <v>1.6800000000000068</v>
      </c>
      <c r="AE4" s="138">
        <f t="shared" si="1"/>
        <v>4.7055586130984928E-2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O5" s="11" t="s">
        <v>67</v>
      </c>
      <c r="Q5" s="3">
        <f>Q4*Q2</f>
        <v>0</v>
      </c>
      <c r="T5" s="1"/>
      <c r="W5" s="133">
        <v>42765</v>
      </c>
      <c r="X5" s="10">
        <v>36.57</v>
      </c>
      <c r="Y5" s="10">
        <v>36.729999999999997</v>
      </c>
      <c r="Z5" s="10">
        <v>35.5</v>
      </c>
      <c r="AA5" s="10">
        <v>36.340000000000003</v>
      </c>
      <c r="AB5" s="95">
        <v>5214500</v>
      </c>
      <c r="AC5" s="10">
        <v>36.340000000000003</v>
      </c>
      <c r="AD5" s="2">
        <f t="shared" si="0"/>
        <v>1.2299999999999969</v>
      </c>
      <c r="AE5" s="138">
        <f t="shared" si="1"/>
        <v>-8.7288597926894473E-3</v>
      </c>
      <c r="AK5" s="234"/>
      <c r="AN5" s="234"/>
    </row>
    <row r="6" spans="1:40" x14ac:dyDescent="0.25">
      <c r="B6" s="164"/>
      <c r="C6" s="4"/>
      <c r="D6" s="3"/>
      <c r="E6" s="3"/>
      <c r="F6" s="3"/>
      <c r="G6" s="7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42762</v>
      </c>
      <c r="X6" s="10">
        <v>36.159999999999997</v>
      </c>
      <c r="Y6" s="10">
        <v>36.83</v>
      </c>
      <c r="Z6" s="10">
        <v>36.01</v>
      </c>
      <c r="AA6" s="10">
        <v>36.659999999999997</v>
      </c>
      <c r="AB6" s="95">
        <v>2950600</v>
      </c>
      <c r="AC6" s="10">
        <v>36.659999999999997</v>
      </c>
      <c r="AD6" s="2">
        <f t="shared" si="0"/>
        <v>0.82000000000000028</v>
      </c>
      <c r="AE6" s="138">
        <f t="shared" si="1"/>
        <v>1.5512465373961115E-2</v>
      </c>
      <c r="AK6" s="234"/>
      <c r="AN6" s="234"/>
    </row>
    <row r="7" spans="1:40" x14ac:dyDescent="0.25">
      <c r="B7" s="16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181</v>
      </c>
      <c r="Q7" s="2">
        <f>Q10+Q8</f>
        <v>439.77999999999975</v>
      </c>
      <c r="R7">
        <v>0</v>
      </c>
      <c r="W7" s="133">
        <v>42761</v>
      </c>
      <c r="X7" s="10">
        <v>36.54</v>
      </c>
      <c r="Y7" s="10">
        <v>36.590000000000003</v>
      </c>
      <c r="Z7" s="10">
        <v>35.83</v>
      </c>
      <c r="AA7" s="10">
        <v>36.1</v>
      </c>
      <c r="AB7" s="95">
        <v>3517400</v>
      </c>
      <c r="AC7" s="10">
        <v>36.1</v>
      </c>
      <c r="AD7" s="2">
        <f t="shared" si="0"/>
        <v>0.76000000000000512</v>
      </c>
      <c r="AE7" s="138">
        <f t="shared" si="1"/>
        <v>-1.0416666666666519E-2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O8" s="11" t="s">
        <v>184</v>
      </c>
      <c r="P8" s="34"/>
      <c r="Q8" s="2">
        <f>K18+M18-F18+Q2*Q4</f>
        <v>0</v>
      </c>
      <c r="W8" s="133">
        <v>42760</v>
      </c>
      <c r="X8" s="10">
        <v>36</v>
      </c>
      <c r="Y8" s="10">
        <v>36.64</v>
      </c>
      <c r="Z8" s="10">
        <v>35.979999999999997</v>
      </c>
      <c r="AA8" s="10">
        <v>36.479999999999997</v>
      </c>
      <c r="AB8" s="95">
        <v>5124900</v>
      </c>
      <c r="AC8" s="10">
        <v>36.479999999999997</v>
      </c>
      <c r="AD8" s="2">
        <f t="shared" si="0"/>
        <v>0.66000000000000369</v>
      </c>
      <c r="AE8" s="138">
        <f t="shared" si="1"/>
        <v>1.8709857581680867E-2</v>
      </c>
      <c r="AK8" s="234"/>
      <c r="AN8" s="234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O9" s="11" t="s">
        <v>214</v>
      </c>
      <c r="Q9" s="138">
        <f>IF(Q2=0, 0, Q8/Q6)</f>
        <v>0</v>
      </c>
      <c r="T9" s="158"/>
      <c r="W9" s="133">
        <v>42759</v>
      </c>
      <c r="X9" s="10">
        <v>36.03</v>
      </c>
      <c r="Y9" s="10">
        <v>36.130000000000003</v>
      </c>
      <c r="Z9" s="10">
        <v>35.159999999999997</v>
      </c>
      <c r="AA9" s="10">
        <v>35.81</v>
      </c>
      <c r="AB9" s="95">
        <v>5067200</v>
      </c>
      <c r="AC9" s="10">
        <v>35.81</v>
      </c>
      <c r="AD9" s="2">
        <f t="shared" si="0"/>
        <v>0.97000000000000597</v>
      </c>
      <c r="AE9" s="138">
        <f t="shared" si="1"/>
        <v>-6.106022758812113E-3</v>
      </c>
    </row>
    <row r="10" spans="1:40" x14ac:dyDescent="0.25">
      <c r="B10" s="74"/>
      <c r="C10" s="4"/>
      <c r="D10" s="3"/>
      <c r="E10" s="3"/>
      <c r="F10" s="3"/>
      <c r="G10" s="74"/>
      <c r="H10" s="4"/>
      <c r="I10" s="4"/>
      <c r="J10" s="4"/>
      <c r="K10" s="3"/>
      <c r="L10" s="4"/>
      <c r="O10" s="11" t="s">
        <v>213</v>
      </c>
      <c r="P10" s="34"/>
      <c r="Q10" s="2">
        <f>M35</f>
        <v>439.77999999999975</v>
      </c>
      <c r="W10" s="133">
        <v>42758</v>
      </c>
      <c r="X10" s="10">
        <v>36.869999999999997</v>
      </c>
      <c r="Y10" s="10">
        <v>37.19</v>
      </c>
      <c r="Z10" s="10">
        <v>35.82</v>
      </c>
      <c r="AA10" s="10">
        <v>36.03</v>
      </c>
      <c r="AB10" s="95">
        <v>4732200</v>
      </c>
      <c r="AC10" s="10">
        <v>36.03</v>
      </c>
      <c r="AD10" s="2">
        <f t="shared" si="0"/>
        <v>1.3699999999999974</v>
      </c>
      <c r="AE10" s="138">
        <f t="shared" si="1"/>
        <v>-2.8055031022390042E-2</v>
      </c>
    </row>
    <row r="11" spans="1:40" x14ac:dyDescent="0.25">
      <c r="B11" s="74"/>
      <c r="C11" s="4"/>
      <c r="D11" s="3"/>
      <c r="E11" s="3"/>
      <c r="F11" s="3"/>
      <c r="G11" s="74"/>
      <c r="H11" s="4"/>
      <c r="I11" s="4"/>
      <c r="J11" s="4"/>
      <c r="K11" s="3"/>
      <c r="L11" s="4"/>
      <c r="O11" s="11" t="s">
        <v>178</v>
      </c>
      <c r="P11" s="34"/>
      <c r="Q11" s="138">
        <f>IF(U58="N/A (N/A)", 0, VALUE(TRIM(CLEAN(MID(U58, FIND("(", U58)+1, 5)))))</f>
        <v>0</v>
      </c>
      <c r="W11" s="133">
        <v>42755</v>
      </c>
      <c r="X11" s="10">
        <v>36.93</v>
      </c>
      <c r="Y11" s="10">
        <v>37.35</v>
      </c>
      <c r="Z11" s="10">
        <v>36.799999999999997</v>
      </c>
      <c r="AA11" s="10">
        <v>37.07</v>
      </c>
      <c r="AB11" s="95">
        <v>3554200</v>
      </c>
      <c r="AC11" s="10">
        <v>37.07</v>
      </c>
      <c r="AD11" s="2">
        <f t="shared" si="0"/>
        <v>0.55000000000000426</v>
      </c>
      <c r="AE11" s="138">
        <f t="shared" si="1"/>
        <v>3.2476319350474014E-3</v>
      </c>
    </row>
    <row r="12" spans="1:40" x14ac:dyDescent="0.25">
      <c r="B12" s="74"/>
      <c r="C12" s="4"/>
      <c r="D12" s="3"/>
      <c r="E12" s="3"/>
      <c r="F12" s="3"/>
      <c r="G12" s="74"/>
      <c r="H12" s="4"/>
      <c r="I12" s="4"/>
      <c r="J12" s="4"/>
      <c r="K12" s="3"/>
      <c r="L12" s="4"/>
      <c r="W12" s="133">
        <v>42754</v>
      </c>
      <c r="X12" s="10">
        <v>37.11</v>
      </c>
      <c r="Y12" s="10">
        <v>37.299999999999997</v>
      </c>
      <c r="Z12" s="10">
        <v>36.71</v>
      </c>
      <c r="AA12" s="10">
        <v>36.950000000000003</v>
      </c>
      <c r="AB12" s="95">
        <v>4062700</v>
      </c>
      <c r="AC12" s="10">
        <v>36.950000000000003</v>
      </c>
      <c r="AD12" s="2">
        <f t="shared" si="0"/>
        <v>0.58999999999999631</v>
      </c>
      <c r="AE12" s="138">
        <f t="shared" si="1"/>
        <v>-6.4533476741057694E-3</v>
      </c>
    </row>
    <row r="13" spans="1:40" x14ac:dyDescent="0.25">
      <c r="B13" s="74"/>
      <c r="C13" s="4"/>
      <c r="D13" s="3"/>
      <c r="E13" s="3"/>
      <c r="F13" s="3"/>
      <c r="G13" s="74"/>
      <c r="H13" s="4"/>
      <c r="I13" s="3"/>
      <c r="J13" s="4"/>
      <c r="K13" s="3"/>
      <c r="L13" s="4"/>
      <c r="W13" s="133">
        <v>42753</v>
      </c>
      <c r="X13" s="10">
        <v>37.18</v>
      </c>
      <c r="Y13" s="10">
        <v>37.380000000000003</v>
      </c>
      <c r="Z13" s="10">
        <v>36.71</v>
      </c>
      <c r="AA13" s="10">
        <v>37.19</v>
      </c>
      <c r="AB13" s="95">
        <v>4247600</v>
      </c>
      <c r="AC13" s="10">
        <v>37.19</v>
      </c>
      <c r="AD13" s="2">
        <f t="shared" si="0"/>
        <v>0.67000000000000171</v>
      </c>
      <c r="AE13" s="138">
        <f t="shared" si="1"/>
        <v>3.2371189641218212E-3</v>
      </c>
    </row>
    <row r="14" spans="1:40" x14ac:dyDescent="0.25">
      <c r="B14" s="74"/>
      <c r="C14" s="4"/>
      <c r="D14" s="3"/>
      <c r="E14" s="3"/>
      <c r="F14" s="3"/>
      <c r="G14" s="74"/>
      <c r="H14" s="4"/>
      <c r="I14" s="4"/>
      <c r="J14" s="4"/>
      <c r="K14" s="3"/>
      <c r="L14" s="4"/>
      <c r="W14" s="133">
        <v>42752</v>
      </c>
      <c r="X14" s="10">
        <v>36.86</v>
      </c>
      <c r="Y14" s="10">
        <v>37.36</v>
      </c>
      <c r="Z14" s="10">
        <v>36.450000000000003</v>
      </c>
      <c r="AA14" s="10">
        <v>37.07</v>
      </c>
      <c r="AB14" s="95">
        <v>4540500</v>
      </c>
      <c r="AC14" s="10">
        <v>37.07</v>
      </c>
      <c r="AD14" s="2">
        <f t="shared" si="0"/>
        <v>0.90999999999999659</v>
      </c>
      <c r="AE14" s="138">
        <f t="shared" si="1"/>
        <v>9.2567383610129284E-3</v>
      </c>
    </row>
    <row r="15" spans="1:40" x14ac:dyDescent="0.25">
      <c r="B15" s="4"/>
      <c r="C15" s="4"/>
      <c r="D15" s="3"/>
      <c r="E15" s="3"/>
      <c r="F15" s="3"/>
      <c r="G15" s="74"/>
      <c r="H15" s="4"/>
      <c r="I15" s="4"/>
      <c r="J15" s="4"/>
      <c r="K15" s="3"/>
      <c r="L15" s="4"/>
      <c r="W15" s="133">
        <v>42748</v>
      </c>
      <c r="X15" s="10">
        <v>36.79</v>
      </c>
      <c r="Y15" s="10">
        <v>37.020000000000003</v>
      </c>
      <c r="Z15" s="10">
        <v>36.35</v>
      </c>
      <c r="AA15" s="10">
        <v>36.729999999999997</v>
      </c>
      <c r="AB15" s="95">
        <v>5031400</v>
      </c>
      <c r="AC15" s="10">
        <v>36.729999999999997</v>
      </c>
      <c r="AD15" s="2">
        <f t="shared" si="0"/>
        <v>0.67000000000000171</v>
      </c>
      <c r="AE15" s="138">
        <f t="shared" si="1"/>
        <v>-1.0878433505576712E-3</v>
      </c>
    </row>
    <row r="16" spans="1:40" x14ac:dyDescent="0.25">
      <c r="G16" s="1"/>
      <c r="W16" s="133">
        <v>42747</v>
      </c>
      <c r="X16" s="10">
        <v>37.44</v>
      </c>
      <c r="Y16" s="10">
        <v>37.44</v>
      </c>
      <c r="Z16" s="10">
        <v>36.17</v>
      </c>
      <c r="AA16" s="10">
        <v>36.770000000000003</v>
      </c>
      <c r="AB16" s="95">
        <v>7165400</v>
      </c>
      <c r="AC16" s="10">
        <v>36.770000000000003</v>
      </c>
      <c r="AD16" s="2">
        <f t="shared" si="0"/>
        <v>1.269999999999996</v>
      </c>
      <c r="AE16" s="138">
        <f t="shared" si="1"/>
        <v>-1.3680257510729543E-2</v>
      </c>
    </row>
    <row r="17" spans="1:31" x14ac:dyDescent="0.25">
      <c r="G17" s="1"/>
      <c r="W17" s="133">
        <v>42746</v>
      </c>
      <c r="X17" s="10">
        <v>39.549999999999997</v>
      </c>
      <c r="Y17" s="10">
        <v>39.58</v>
      </c>
      <c r="Z17" s="10">
        <v>37.08</v>
      </c>
      <c r="AA17" s="10">
        <v>37.28</v>
      </c>
      <c r="AB17" s="95">
        <v>11748800</v>
      </c>
      <c r="AC17" s="10">
        <v>37.28</v>
      </c>
      <c r="AD17" s="2">
        <f t="shared" si="0"/>
        <v>2.5</v>
      </c>
      <c r="AE17" s="138">
        <f t="shared" si="1"/>
        <v>-4.2875481386392855E-2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3">
        <v>42745</v>
      </c>
      <c r="X18" s="10">
        <v>39.229999999999997</v>
      </c>
      <c r="Y18" s="10">
        <v>39.369999999999997</v>
      </c>
      <c r="Z18" s="10">
        <v>38.67</v>
      </c>
      <c r="AA18" s="10">
        <v>38.950000000000003</v>
      </c>
      <c r="AB18" s="95">
        <v>3409800</v>
      </c>
      <c r="AC18" s="10">
        <v>38.950000000000003</v>
      </c>
      <c r="AD18" s="2">
        <f t="shared" si="0"/>
        <v>0.69999999999999574</v>
      </c>
      <c r="AE18" s="138">
        <f t="shared" si="1"/>
        <v>0</v>
      </c>
    </row>
    <row r="19" spans="1:31" x14ac:dyDescent="0.25">
      <c r="N19" s="2"/>
      <c r="W19" s="133">
        <v>42744</v>
      </c>
      <c r="X19" s="10">
        <v>38.5</v>
      </c>
      <c r="Y19" s="10">
        <v>39.130000000000003</v>
      </c>
      <c r="Z19" s="10">
        <v>38.409999999999997</v>
      </c>
      <c r="AA19" s="10">
        <v>38.950000000000003</v>
      </c>
      <c r="AB19" s="95">
        <v>3382200</v>
      </c>
      <c r="AC19" s="10">
        <v>38.950000000000003</v>
      </c>
      <c r="AD19" s="2">
        <f t="shared" si="0"/>
        <v>0.72000000000000597</v>
      </c>
      <c r="AE19" s="138">
        <f t="shared" si="1"/>
        <v>1.1688311688311748E-2</v>
      </c>
    </row>
    <row r="20" spans="1:31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5" t="s">
        <v>65</v>
      </c>
      <c r="G20" s="229" t="s">
        <v>152</v>
      </c>
      <c r="H20" s="195" t="s">
        <v>88</v>
      </c>
      <c r="I20" s="195" t="s">
        <v>155</v>
      </c>
      <c r="W20" s="133">
        <v>42741</v>
      </c>
      <c r="X20" s="10">
        <v>38.869999999999997</v>
      </c>
      <c r="Y20" s="10">
        <v>39.08</v>
      </c>
      <c r="Z20" s="10">
        <v>37.950000000000003</v>
      </c>
      <c r="AA20" s="10">
        <v>38.5</v>
      </c>
      <c r="AB20" s="95">
        <v>5640000</v>
      </c>
      <c r="AC20" s="10">
        <v>38.5</v>
      </c>
      <c r="AD20" s="2">
        <f t="shared" si="0"/>
        <v>1.1299999999999955</v>
      </c>
      <c r="AE20" s="138">
        <f t="shared" si="1"/>
        <v>-1.6853932584269593E-2</v>
      </c>
    </row>
    <row r="21" spans="1:31" x14ac:dyDescent="0.25">
      <c r="B21" s="193"/>
      <c r="C21" s="10"/>
      <c r="D21" s="40"/>
      <c r="E21" s="40"/>
      <c r="F21" s="40"/>
      <c r="G21" s="40"/>
      <c r="H21" s="231"/>
      <c r="I21" s="231"/>
      <c r="W21" s="133">
        <v>42740</v>
      </c>
      <c r="X21" s="10">
        <v>38.950000000000003</v>
      </c>
      <c r="Y21" s="10">
        <v>39.47</v>
      </c>
      <c r="Z21" s="10">
        <v>38.770000000000003</v>
      </c>
      <c r="AA21" s="10">
        <v>39.159999999999997</v>
      </c>
      <c r="AB21" s="95">
        <v>5799300</v>
      </c>
      <c r="AC21" s="10">
        <v>39.159999999999997</v>
      </c>
      <c r="AD21" s="2">
        <f t="shared" si="0"/>
        <v>0.69999999999999574</v>
      </c>
      <c r="AE21" s="138">
        <f t="shared" si="1"/>
        <v>-1.1859702245773596E-2</v>
      </c>
    </row>
    <row r="22" spans="1:31" x14ac:dyDescent="0.25">
      <c r="B22" s="193"/>
      <c r="C22" s="10"/>
      <c r="D22" s="40"/>
      <c r="E22" s="40"/>
      <c r="F22" s="40"/>
      <c r="G22" s="40"/>
      <c r="H22" s="231"/>
      <c r="I22" s="231"/>
      <c r="W22" s="133">
        <v>42739</v>
      </c>
      <c r="X22" s="10">
        <v>39.32</v>
      </c>
      <c r="Y22" s="10">
        <v>40.08</v>
      </c>
      <c r="Z22" s="10">
        <v>39.25</v>
      </c>
      <c r="AA22" s="10">
        <v>39.630000000000003</v>
      </c>
      <c r="AB22" s="95">
        <v>6490300</v>
      </c>
      <c r="AC22" s="10">
        <v>39.630000000000003</v>
      </c>
      <c r="AD22" s="2">
        <f t="shared" si="0"/>
        <v>0.82999999999999829</v>
      </c>
      <c r="AE22" s="138">
        <f t="shared" si="1"/>
        <v>1.329583226796216E-2</v>
      </c>
    </row>
    <row r="23" spans="1:31" x14ac:dyDescent="0.25">
      <c r="B23" s="193"/>
      <c r="C23" s="10"/>
      <c r="D23" s="40"/>
      <c r="E23" s="40"/>
      <c r="F23" s="40"/>
      <c r="G23" s="40"/>
      <c r="H23" s="231"/>
      <c r="I23" s="231"/>
      <c r="W23" s="133">
        <v>42738</v>
      </c>
      <c r="X23" s="10">
        <v>38.479999999999997</v>
      </c>
      <c r="Y23" s="10">
        <v>39.28</v>
      </c>
      <c r="Z23" s="10">
        <v>38.42</v>
      </c>
      <c r="AA23" s="10">
        <v>39.11</v>
      </c>
      <c r="AB23" s="95">
        <v>5030200</v>
      </c>
      <c r="AC23" s="10">
        <v>39.11</v>
      </c>
      <c r="AD23" s="2">
        <f t="shared" si="0"/>
        <v>0.85999999999999943</v>
      </c>
      <c r="AE23" s="138">
        <f t="shared" si="1"/>
        <v>2.5163826998689354E-2</v>
      </c>
    </row>
    <row r="24" spans="1:31" x14ac:dyDescent="0.25">
      <c r="B24" s="193"/>
      <c r="C24" s="10"/>
      <c r="D24" s="40"/>
      <c r="E24" s="40"/>
      <c r="F24" s="40"/>
      <c r="G24" s="40"/>
      <c r="H24" s="231"/>
      <c r="I24" s="231"/>
      <c r="W24" s="133">
        <v>42734</v>
      </c>
      <c r="X24" s="10">
        <v>37.979999999999997</v>
      </c>
      <c r="Y24" s="10">
        <v>38.79</v>
      </c>
      <c r="Z24" s="10">
        <v>37.840000000000003</v>
      </c>
      <c r="AA24" s="10">
        <v>38.15</v>
      </c>
      <c r="AB24" s="95">
        <v>6311000</v>
      </c>
      <c r="AC24" s="10">
        <v>38.15</v>
      </c>
      <c r="AD24" s="2">
        <f t="shared" si="0"/>
        <v>0.94999999999999574</v>
      </c>
      <c r="AE24" s="138">
        <f t="shared" si="1"/>
        <v>2.0599250936329527E-2</v>
      </c>
    </row>
    <row r="25" spans="1:31" x14ac:dyDescent="0.25">
      <c r="B25" s="193"/>
      <c r="C25" s="10"/>
      <c r="D25" s="40"/>
      <c r="E25" s="40"/>
      <c r="F25" s="40"/>
      <c r="G25" s="40"/>
      <c r="H25" s="231"/>
      <c r="I25" s="231"/>
      <c r="W25" s="133">
        <v>42733</v>
      </c>
      <c r="X25" s="10">
        <v>37.47</v>
      </c>
      <c r="Y25" s="10">
        <v>38</v>
      </c>
      <c r="Z25" s="10">
        <v>37.18</v>
      </c>
      <c r="AA25" s="10">
        <v>37.380000000000003</v>
      </c>
      <c r="AB25" s="95">
        <v>3529600</v>
      </c>
      <c r="AC25" s="10">
        <v>37.380000000000003</v>
      </c>
      <c r="AD25" s="2">
        <f t="shared" si="0"/>
        <v>0.82000000000000028</v>
      </c>
      <c r="AE25" s="138">
        <f t="shared" si="1"/>
        <v>4.5686643375437708E-3</v>
      </c>
    </row>
    <row r="26" spans="1:31" x14ac:dyDescent="0.25">
      <c r="B26" s="193"/>
      <c r="C26" s="10"/>
      <c r="D26" s="40"/>
      <c r="E26" s="40"/>
      <c r="F26" s="40"/>
      <c r="G26" s="40"/>
      <c r="H26" s="231"/>
      <c r="I26" s="231"/>
      <c r="W26" s="133">
        <v>42732</v>
      </c>
      <c r="X26" s="10">
        <v>37.69</v>
      </c>
      <c r="Y26" s="10">
        <v>37.79</v>
      </c>
      <c r="Z26" s="10">
        <v>36.9</v>
      </c>
      <c r="AA26" s="10">
        <v>37.21</v>
      </c>
      <c r="AB26" s="95">
        <v>5514800</v>
      </c>
      <c r="AC26" s="10">
        <v>37.21</v>
      </c>
      <c r="AD26" s="2">
        <f t="shared" si="0"/>
        <v>0.89000000000000057</v>
      </c>
      <c r="AE26" s="138">
        <f t="shared" si="1"/>
        <v>-9.8456625864821179E-3</v>
      </c>
    </row>
    <row r="27" spans="1:31" x14ac:dyDescent="0.25">
      <c r="B27" s="193"/>
      <c r="C27" s="10"/>
      <c r="D27" s="40"/>
      <c r="E27" s="40"/>
      <c r="F27" s="40"/>
      <c r="G27" s="40"/>
      <c r="H27" s="231"/>
      <c r="I27" s="231"/>
      <c r="W27" s="133">
        <v>42731</v>
      </c>
      <c r="X27" s="10">
        <v>37.479999999999997</v>
      </c>
      <c r="Y27" s="10">
        <v>38.24</v>
      </c>
      <c r="Z27" s="10">
        <v>37.46</v>
      </c>
      <c r="AA27" s="10">
        <v>37.58</v>
      </c>
      <c r="AB27" s="95">
        <v>3860100</v>
      </c>
      <c r="AC27" s="10">
        <v>37.58</v>
      </c>
      <c r="AD27" s="2">
        <f t="shared" si="0"/>
        <v>0.78000000000000114</v>
      </c>
      <c r="AE27" s="138">
        <f t="shared" si="1"/>
        <v>2.1333333333333204E-3</v>
      </c>
    </row>
    <row r="28" spans="1:31" x14ac:dyDescent="0.25">
      <c r="B28" s="193"/>
      <c r="C28" s="10"/>
      <c r="D28" s="40"/>
      <c r="E28" s="40"/>
      <c r="F28" s="40"/>
      <c r="G28" s="40"/>
      <c r="H28" s="231"/>
      <c r="I28" s="231"/>
      <c r="W28" s="133">
        <v>42727</v>
      </c>
      <c r="X28" s="10">
        <v>37.26</v>
      </c>
      <c r="Y28" s="10">
        <v>37.549999999999997</v>
      </c>
      <c r="Z28" s="10">
        <v>37.200000000000003</v>
      </c>
      <c r="AA28" s="10">
        <v>37.5</v>
      </c>
      <c r="AB28" s="95">
        <v>2077700</v>
      </c>
      <c r="AC28" s="10">
        <v>37.5</v>
      </c>
      <c r="AD28" s="2">
        <f t="shared" si="0"/>
        <v>0.34999999999999432</v>
      </c>
      <c r="AE28" s="138">
        <f t="shared" si="1"/>
        <v>5.0924685071025433E-3</v>
      </c>
    </row>
    <row r="29" spans="1:31" x14ac:dyDescent="0.25">
      <c r="B29" s="193"/>
      <c r="C29" s="10"/>
      <c r="D29" s="40"/>
      <c r="E29" s="40"/>
      <c r="F29" s="40"/>
      <c r="G29" s="40"/>
      <c r="H29" s="231"/>
      <c r="I29" s="231"/>
      <c r="W29" s="133">
        <v>42726</v>
      </c>
      <c r="X29" s="10">
        <v>37.39</v>
      </c>
      <c r="Y29" s="10">
        <v>37.81</v>
      </c>
      <c r="Z29" s="10">
        <v>37.130000000000003</v>
      </c>
      <c r="AA29" s="10">
        <v>37.31</v>
      </c>
      <c r="AB29" s="95">
        <v>3122900</v>
      </c>
      <c r="AC29" s="10">
        <v>37.31</v>
      </c>
      <c r="AD29" s="2">
        <f t="shared" si="0"/>
        <v>0.67999999999999972</v>
      </c>
      <c r="AE29" s="138">
        <f t="shared" si="1"/>
        <v>-5.5970149253731227E-3</v>
      </c>
    </row>
    <row r="30" spans="1:31" x14ac:dyDescent="0.25">
      <c r="B30" s="193"/>
      <c r="C30" s="10"/>
      <c r="D30" s="40"/>
      <c r="E30" s="40"/>
      <c r="F30" s="40"/>
      <c r="G30" s="40"/>
      <c r="H30" s="231"/>
      <c r="I30" s="231"/>
      <c r="W30" s="133">
        <v>42725</v>
      </c>
      <c r="X30" s="10">
        <v>37.4</v>
      </c>
      <c r="Y30" s="10">
        <v>37.89</v>
      </c>
      <c r="Z30" s="10">
        <v>37.049999999999997</v>
      </c>
      <c r="AA30" s="10">
        <v>37.520000000000003</v>
      </c>
      <c r="AB30" s="95">
        <v>4093000</v>
      </c>
      <c r="AC30" s="10">
        <v>37.520000000000003</v>
      </c>
      <c r="AD30" s="2">
        <f t="shared" si="0"/>
        <v>0.84000000000000341</v>
      </c>
      <c r="AE30" s="138">
        <f t="shared" si="1"/>
        <v>6.1678734245107503E-3</v>
      </c>
    </row>
    <row r="31" spans="1:31" x14ac:dyDescent="0.25">
      <c r="B31" s="193"/>
      <c r="C31" s="10"/>
      <c r="D31" s="40"/>
      <c r="E31" s="40"/>
      <c r="F31" s="40"/>
      <c r="G31" s="40"/>
      <c r="H31" s="231"/>
      <c r="I31" s="231"/>
      <c r="W31" s="133">
        <v>42724</v>
      </c>
      <c r="X31" s="10">
        <v>37.56</v>
      </c>
      <c r="Y31" s="10">
        <v>37.83</v>
      </c>
      <c r="Z31" s="10">
        <v>37.14</v>
      </c>
      <c r="AA31" s="10">
        <v>37.29</v>
      </c>
      <c r="AB31" s="95">
        <v>2479900</v>
      </c>
      <c r="AC31" s="10">
        <v>37.29</v>
      </c>
      <c r="AD31" s="2">
        <f t="shared" si="0"/>
        <v>0.68999999999999773</v>
      </c>
      <c r="AE31" s="138">
        <f t="shared" si="1"/>
        <v>-5.3347559349160578E-3</v>
      </c>
    </row>
    <row r="32" spans="1:31" x14ac:dyDescent="0.25">
      <c r="W32" s="133">
        <v>42723</v>
      </c>
      <c r="X32" s="10">
        <v>37.630000000000003</v>
      </c>
      <c r="Y32" s="10">
        <v>38.29</v>
      </c>
      <c r="Z32" s="10">
        <v>37.380000000000003</v>
      </c>
      <c r="AA32" s="10">
        <v>37.49</v>
      </c>
      <c r="AB32" s="95">
        <v>2723600</v>
      </c>
      <c r="AC32" s="10">
        <v>37.49</v>
      </c>
      <c r="AD32" s="2">
        <f t="shared" si="0"/>
        <v>0.90999999999999659</v>
      </c>
      <c r="AE32" s="138">
        <f t="shared" si="1"/>
        <v>-8.7255420412479801E-3</v>
      </c>
    </row>
    <row r="33" spans="1:31" x14ac:dyDescent="0.25">
      <c r="W33" s="133">
        <v>42720</v>
      </c>
      <c r="X33" s="10">
        <v>38.090000000000003</v>
      </c>
      <c r="Y33" s="10">
        <v>38.229999999999997</v>
      </c>
      <c r="Z33" s="10">
        <v>37.630000000000003</v>
      </c>
      <c r="AA33" s="10">
        <v>37.82</v>
      </c>
      <c r="AB33" s="95">
        <v>6506700</v>
      </c>
      <c r="AC33" s="10">
        <v>37.82</v>
      </c>
      <c r="AD33" s="2">
        <f t="shared" si="0"/>
        <v>0.59999999999999432</v>
      </c>
      <c r="AE33" s="138">
        <f t="shared" si="1"/>
        <v>1.5889830508475367E-3</v>
      </c>
    </row>
    <row r="34" spans="1:31" x14ac:dyDescent="0.25">
      <c r="W34" s="133">
        <v>42719</v>
      </c>
      <c r="X34" s="10">
        <v>37.64</v>
      </c>
      <c r="Y34" s="10">
        <v>38.1</v>
      </c>
      <c r="Z34" s="10">
        <v>37.32</v>
      </c>
      <c r="AA34" s="10">
        <v>37.76</v>
      </c>
      <c r="AB34" s="95">
        <v>4589800</v>
      </c>
      <c r="AC34" s="10">
        <v>37.76</v>
      </c>
      <c r="AD34" s="2">
        <f t="shared" si="0"/>
        <v>0.78000000000000114</v>
      </c>
      <c r="AE34" s="138">
        <f t="shared" si="1"/>
        <v>1.8572565667285268E-3</v>
      </c>
    </row>
    <row r="35" spans="1:31" x14ac:dyDescent="0.25">
      <c r="L35" t="s">
        <v>213</v>
      </c>
      <c r="M35" s="2">
        <f>K53+M53-F53</f>
        <v>439.77999999999975</v>
      </c>
      <c r="W35" s="133">
        <v>42718</v>
      </c>
      <c r="X35" s="10">
        <v>38.15</v>
      </c>
      <c r="Y35" s="10">
        <v>38.17</v>
      </c>
      <c r="Z35" s="10">
        <v>37.130000000000003</v>
      </c>
      <c r="AA35" s="10">
        <v>37.69</v>
      </c>
      <c r="AB35" s="95">
        <v>5788500</v>
      </c>
      <c r="AC35" s="10">
        <v>37.69</v>
      </c>
      <c r="AD35" s="2">
        <f t="shared" si="0"/>
        <v>1.0399999999999991</v>
      </c>
      <c r="AE35" s="138">
        <f t="shared" si="1"/>
        <v>-1.5926892950391625E-2</v>
      </c>
    </row>
    <row r="36" spans="1:31" x14ac:dyDescent="0.25">
      <c r="A36" s="387" t="s">
        <v>1</v>
      </c>
      <c r="B36" s="387" t="s">
        <v>2</v>
      </c>
      <c r="C36" s="387" t="s">
        <v>4</v>
      </c>
      <c r="D36" s="389" t="s">
        <v>5</v>
      </c>
      <c r="E36" s="389" t="s">
        <v>94</v>
      </c>
      <c r="F36" s="389" t="s">
        <v>60</v>
      </c>
      <c r="G36" s="387" t="s">
        <v>3</v>
      </c>
      <c r="H36" s="387" t="s">
        <v>6</v>
      </c>
      <c r="I36" s="387" t="s">
        <v>7</v>
      </c>
      <c r="J36" s="387" t="s">
        <v>95</v>
      </c>
      <c r="K36" s="389" t="s">
        <v>61</v>
      </c>
      <c r="L36" s="387" t="s">
        <v>77</v>
      </c>
      <c r="M36" s="387" t="s">
        <v>38</v>
      </c>
      <c r="W36" s="133">
        <v>42717</v>
      </c>
      <c r="X36" s="10">
        <v>37.700000000000003</v>
      </c>
      <c r="Y36" s="10">
        <v>38.450000000000003</v>
      </c>
      <c r="Z36" s="10">
        <v>37.64</v>
      </c>
      <c r="AA36" s="10">
        <v>38.299999999999997</v>
      </c>
      <c r="AB36" s="95">
        <v>7002200</v>
      </c>
      <c r="AC36" s="10">
        <v>38.299999999999997</v>
      </c>
      <c r="AD36" s="2">
        <f t="shared" si="0"/>
        <v>0.81000000000000227</v>
      </c>
      <c r="AE36" s="138">
        <f t="shared" si="1"/>
        <v>3.1510907621868922E-2</v>
      </c>
    </row>
    <row r="37" spans="1:31" x14ac:dyDescent="0.25">
      <c r="A37" s="390" t="s">
        <v>208</v>
      </c>
      <c r="B37" s="380">
        <v>42502</v>
      </c>
      <c r="C37" s="381">
        <v>60</v>
      </c>
      <c r="D37" s="382">
        <v>38.25</v>
      </c>
      <c r="E37" s="382">
        <v>0</v>
      </c>
      <c r="F37" s="382">
        <f>C37*D37 + E37</f>
        <v>2295</v>
      </c>
      <c r="G37" s="380">
        <v>42528</v>
      </c>
      <c r="H37" s="385">
        <v>30</v>
      </c>
      <c r="I37" s="382">
        <v>45.25</v>
      </c>
      <c r="J37" s="382">
        <v>0.03</v>
      </c>
      <c r="K37" s="382">
        <f>H37*I37 - J37</f>
        <v>1357.47</v>
      </c>
      <c r="L37" s="381"/>
      <c r="M37" s="381"/>
      <c r="W37" s="133">
        <v>42716</v>
      </c>
      <c r="X37" s="10">
        <v>36.69</v>
      </c>
      <c r="Y37" s="10">
        <v>37.299999999999997</v>
      </c>
      <c r="Z37" s="10">
        <v>36.35</v>
      </c>
      <c r="AA37" s="10">
        <v>37.130000000000003</v>
      </c>
      <c r="AB37" s="95">
        <v>4873500</v>
      </c>
      <c r="AC37" s="10">
        <v>37.130000000000003</v>
      </c>
      <c r="AD37" s="2">
        <f t="shared" si="0"/>
        <v>0.94999999999999574</v>
      </c>
      <c r="AE37" s="138">
        <f t="shared" si="1"/>
        <v>1.6981648863325205E-2</v>
      </c>
    </row>
    <row r="38" spans="1:31" x14ac:dyDescent="0.25">
      <c r="A38" s="391" t="s">
        <v>71</v>
      </c>
      <c r="B38" s="392"/>
      <c r="C38" s="381"/>
      <c r="D38" s="382"/>
      <c r="E38" s="382"/>
      <c r="F38" s="382"/>
      <c r="G38" s="380">
        <v>42544</v>
      </c>
      <c r="H38" s="385">
        <v>30</v>
      </c>
      <c r="I38" s="382">
        <v>45.91</v>
      </c>
      <c r="J38" s="382">
        <v>-0.01</v>
      </c>
      <c r="K38" s="382">
        <f>H38*I38 - J38</f>
        <v>1377.31</v>
      </c>
      <c r="L38" s="381"/>
      <c r="M38" s="381"/>
      <c r="W38" s="133">
        <v>42713</v>
      </c>
      <c r="X38" s="10">
        <v>36.08</v>
      </c>
      <c r="Y38" s="10">
        <v>37.15</v>
      </c>
      <c r="Z38" s="10">
        <v>36.07</v>
      </c>
      <c r="AA38" s="10">
        <v>36.51</v>
      </c>
      <c r="AB38" s="95">
        <v>6117200</v>
      </c>
      <c r="AC38" s="10">
        <v>36.51</v>
      </c>
      <c r="AD38" s="2">
        <f t="shared" si="0"/>
        <v>1.0799999999999983</v>
      </c>
      <c r="AE38" s="138">
        <f t="shared" si="1"/>
        <v>1.2479201331114798E-2</v>
      </c>
    </row>
    <row r="39" spans="1:31" x14ac:dyDescent="0.25">
      <c r="A39" s="381"/>
      <c r="B39" s="392"/>
      <c r="C39" s="381"/>
      <c r="D39" s="382"/>
      <c r="E39" s="382"/>
      <c r="F39" s="382"/>
      <c r="G39" s="380"/>
      <c r="H39" s="385"/>
      <c r="I39" s="382"/>
      <c r="J39" s="382"/>
      <c r="K39" s="382"/>
      <c r="L39" s="381"/>
      <c r="M39" s="381"/>
      <c r="W39" s="133">
        <v>42712</v>
      </c>
      <c r="X39" s="10">
        <v>34.5</v>
      </c>
      <c r="Y39" s="10">
        <v>36.08</v>
      </c>
      <c r="Z39" s="10">
        <v>34.24</v>
      </c>
      <c r="AA39" s="10">
        <v>36.06</v>
      </c>
      <c r="AB39" s="95">
        <v>9093500</v>
      </c>
      <c r="AC39" s="10">
        <v>36.06</v>
      </c>
      <c r="AD39" s="2">
        <f t="shared" si="0"/>
        <v>1.8399999999999963</v>
      </c>
      <c r="AE39" s="138">
        <f t="shared" si="1"/>
        <v>4.5217391304347876E-2</v>
      </c>
    </row>
    <row r="40" spans="1:31" x14ac:dyDescent="0.25">
      <c r="A40" s="381"/>
      <c r="B40" s="380"/>
      <c r="C40" s="381"/>
      <c r="D40" s="382"/>
      <c r="E40" s="382"/>
      <c r="F40" s="382"/>
      <c r="G40" s="380"/>
      <c r="H40" s="385"/>
      <c r="I40" s="382"/>
      <c r="J40" s="382"/>
      <c r="K40" s="382"/>
      <c r="L40" s="381"/>
      <c r="M40" s="381"/>
      <c r="W40" s="133">
        <v>42711</v>
      </c>
      <c r="X40" s="10">
        <v>35.520000000000003</v>
      </c>
      <c r="Y40" s="10">
        <v>35.520000000000003</v>
      </c>
      <c r="Z40" s="10">
        <v>33.79</v>
      </c>
      <c r="AA40" s="10">
        <v>34.5</v>
      </c>
      <c r="AB40" s="95">
        <v>11540100</v>
      </c>
      <c r="AC40" s="10">
        <v>34.5</v>
      </c>
      <c r="AD40" s="2">
        <f t="shared" si="0"/>
        <v>1.730000000000004</v>
      </c>
      <c r="AE40" s="138">
        <f t="shared" si="1"/>
        <v>-3.7925264919129953E-2</v>
      </c>
    </row>
    <row r="41" spans="1:31" x14ac:dyDescent="0.25">
      <c r="A41" s="381"/>
      <c r="B41" s="392"/>
      <c r="C41" s="381"/>
      <c r="D41" s="382"/>
      <c r="E41" s="382"/>
      <c r="F41" s="382"/>
      <c r="G41" s="380"/>
      <c r="H41" s="385"/>
      <c r="I41" s="382"/>
      <c r="J41" s="382"/>
      <c r="K41" s="382"/>
      <c r="L41" s="381"/>
      <c r="M41" s="381"/>
      <c r="W41" s="133">
        <v>42710</v>
      </c>
      <c r="X41" s="10">
        <v>35.450000000000003</v>
      </c>
      <c r="Y41" s="10">
        <v>36.020000000000003</v>
      </c>
      <c r="Z41" s="10">
        <v>34.909999999999997</v>
      </c>
      <c r="AA41" s="10">
        <v>35.86</v>
      </c>
      <c r="AB41" s="95">
        <v>5767300</v>
      </c>
      <c r="AC41" s="10">
        <v>35.86</v>
      </c>
      <c r="AD41" s="2">
        <f t="shared" si="0"/>
        <v>1.1100000000000065</v>
      </c>
      <c r="AE41" s="138">
        <f t="shared" si="1"/>
        <v>5.8906030855541136E-3</v>
      </c>
    </row>
    <row r="42" spans="1:31" ht="20.25" thickBot="1" x14ac:dyDescent="0.35">
      <c r="A42" s="381"/>
      <c r="B42" s="392"/>
      <c r="C42" s="381"/>
      <c r="D42" s="382"/>
      <c r="E42" s="382"/>
      <c r="F42" s="382"/>
      <c r="G42" s="380"/>
      <c r="H42" s="385"/>
      <c r="I42" s="382"/>
      <c r="J42" s="382"/>
      <c r="K42" s="382"/>
      <c r="L42" s="381"/>
      <c r="M42" s="381"/>
      <c r="O42" s="638" t="s">
        <v>78</v>
      </c>
      <c r="P42" s="638"/>
      <c r="T42" s="112" t="s">
        <v>113</v>
      </c>
      <c r="U42" s="9"/>
      <c r="W42" s="133">
        <v>42709</v>
      </c>
      <c r="X42" s="10">
        <v>36.31</v>
      </c>
      <c r="Y42" s="10">
        <v>36.659999999999997</v>
      </c>
      <c r="Z42" s="10">
        <v>35.369999999999997</v>
      </c>
      <c r="AA42" s="10">
        <v>35.65</v>
      </c>
      <c r="AB42" s="95">
        <v>3522800</v>
      </c>
      <c r="AC42" s="10">
        <v>35.65</v>
      </c>
      <c r="AD42" s="2">
        <f t="shared" si="0"/>
        <v>1.2899999999999991</v>
      </c>
      <c r="AE42" s="138">
        <f t="shared" si="1"/>
        <v>-9.4470686301751927E-3</v>
      </c>
    </row>
    <row r="43" spans="1:31" ht="15.75" thickTop="1" x14ac:dyDescent="0.25">
      <c r="A43" s="381"/>
      <c r="B43" s="380"/>
      <c r="C43" s="381"/>
      <c r="D43" s="382"/>
      <c r="E43" s="382"/>
      <c r="F43" s="382"/>
      <c r="G43" s="380"/>
      <c r="H43" s="385"/>
      <c r="I43" s="382"/>
      <c r="J43" s="382"/>
      <c r="K43" s="382"/>
      <c r="L43" s="381"/>
      <c r="M43" s="381"/>
      <c r="O43" s="83">
        <v>1.1000000000000001</v>
      </c>
      <c r="P43" s="83">
        <f>O43*$Q$4</f>
        <v>43.131000000000007</v>
      </c>
      <c r="Q43" s="2"/>
      <c r="T43" s="139" t="s">
        <v>98</v>
      </c>
      <c r="U43" s="367">
        <v>38.659999999999997</v>
      </c>
      <c r="W43" s="133">
        <v>42706</v>
      </c>
      <c r="X43" s="10">
        <v>36.07</v>
      </c>
      <c r="Y43" s="10">
        <v>36.42</v>
      </c>
      <c r="Z43" s="10">
        <v>35.68</v>
      </c>
      <c r="AA43" s="10">
        <v>35.99</v>
      </c>
      <c r="AB43" s="95">
        <v>3538300</v>
      </c>
      <c r="AC43" s="10">
        <v>35.99</v>
      </c>
      <c r="AD43" s="2">
        <f t="shared" si="0"/>
        <v>0.74000000000000199</v>
      </c>
      <c r="AE43" s="138">
        <f t="shared" si="1"/>
        <v>-1.1101859561476468E-3</v>
      </c>
    </row>
    <row r="44" spans="1:31" x14ac:dyDescent="0.25">
      <c r="A44" s="381"/>
      <c r="B44" s="380"/>
      <c r="C44" s="381"/>
      <c r="D44" s="382"/>
      <c r="E44" s="382"/>
      <c r="F44" s="382"/>
      <c r="G44" s="380"/>
      <c r="H44" s="385"/>
      <c r="I44" s="382"/>
      <c r="J44" s="382"/>
      <c r="K44" s="382"/>
      <c r="L44" s="381"/>
      <c r="M44" s="381"/>
      <c r="O44" s="83">
        <v>1.0900000000000001</v>
      </c>
      <c r="P44" s="83">
        <f t="shared" ref="P44:P63" si="3">O44*$Q$4</f>
        <v>42.738900000000001</v>
      </c>
      <c r="Q44" s="2"/>
      <c r="T44" s="108" t="s">
        <v>99</v>
      </c>
      <c r="U44" s="368">
        <v>38.26</v>
      </c>
      <c r="W44" s="133">
        <v>42705</v>
      </c>
      <c r="X44" s="10">
        <v>36.619999999999997</v>
      </c>
      <c r="Y44" s="10">
        <v>37.159999999999997</v>
      </c>
      <c r="Z44" s="10">
        <v>35.92</v>
      </c>
      <c r="AA44" s="10">
        <v>36.03</v>
      </c>
      <c r="AB44" s="95">
        <v>5123500</v>
      </c>
      <c r="AC44" s="10">
        <v>36.03</v>
      </c>
      <c r="AD44" s="2">
        <f t="shared" si="0"/>
        <v>1.2399999999999949</v>
      </c>
      <c r="AE44" s="138">
        <f t="shared" si="1"/>
        <v>-1.5842665938268219E-2</v>
      </c>
    </row>
    <row r="45" spans="1:31" x14ac:dyDescent="0.25">
      <c r="A45" s="381"/>
      <c r="B45" s="380"/>
      <c r="C45" s="381"/>
      <c r="D45" s="382"/>
      <c r="E45" s="382"/>
      <c r="F45" s="382"/>
      <c r="G45" s="380"/>
      <c r="H45" s="381"/>
      <c r="I45" s="381"/>
      <c r="J45" s="381"/>
      <c r="K45" s="382"/>
      <c r="L45" s="381"/>
      <c r="M45" s="381"/>
      <c r="O45" s="83">
        <v>1.08</v>
      </c>
      <c r="P45" s="83">
        <f t="shared" si="3"/>
        <v>42.346800000000002</v>
      </c>
      <c r="Q45" s="2"/>
      <c r="T45" s="108" t="s">
        <v>100</v>
      </c>
      <c r="U45" s="368" t="s">
        <v>532</v>
      </c>
      <c r="W45" s="133">
        <v>42704</v>
      </c>
      <c r="X45" s="10">
        <v>36.03</v>
      </c>
      <c r="Y45" s="10">
        <v>36.72</v>
      </c>
      <c r="Z45" s="10">
        <v>35.69</v>
      </c>
      <c r="AA45" s="10">
        <v>36.61</v>
      </c>
      <c r="AB45" s="95">
        <v>5522900</v>
      </c>
      <c r="AC45" s="10">
        <v>36.61</v>
      </c>
      <c r="AD45" s="2">
        <f t="shared" si="0"/>
        <v>1.0300000000000011</v>
      </c>
      <c r="AE45" s="138">
        <f t="shared" si="1"/>
        <v>1.5252357182473641E-2</v>
      </c>
    </row>
    <row r="46" spans="1:31" x14ac:dyDescent="0.25">
      <c r="A46" s="381"/>
      <c r="B46" s="380"/>
      <c r="C46" s="381"/>
      <c r="D46" s="382"/>
      <c r="E46" s="382"/>
      <c r="F46" s="382"/>
      <c r="G46" s="380"/>
      <c r="H46" s="381"/>
      <c r="I46" s="381"/>
      <c r="J46" s="381"/>
      <c r="K46" s="382"/>
      <c r="L46" s="381"/>
      <c r="M46" s="381"/>
      <c r="O46" s="83">
        <v>1.07</v>
      </c>
      <c r="P46" s="83">
        <f t="shared" si="3"/>
        <v>41.954700000000003</v>
      </c>
      <c r="Q46" s="2"/>
      <c r="T46" s="108" t="s">
        <v>101</v>
      </c>
      <c r="U46" s="368" t="s">
        <v>533</v>
      </c>
      <c r="W46" s="133">
        <v>42703</v>
      </c>
      <c r="X46" s="10">
        <v>36.76</v>
      </c>
      <c r="Y46" s="10">
        <v>37</v>
      </c>
      <c r="Z46" s="10">
        <v>35.950000000000003</v>
      </c>
      <c r="AA46" s="10">
        <v>36.06</v>
      </c>
      <c r="AB46" s="95">
        <v>3666500</v>
      </c>
      <c r="AC46" s="10">
        <v>36.06</v>
      </c>
      <c r="AD46" s="2">
        <f t="shared" si="0"/>
        <v>1.0499999999999972</v>
      </c>
      <c r="AE46" s="138">
        <f t="shared" si="1"/>
        <v>-1.8508437670114342E-2</v>
      </c>
    </row>
    <row r="47" spans="1:31" x14ac:dyDescent="0.25">
      <c r="A47" s="381"/>
      <c r="B47" s="380"/>
      <c r="C47" s="381"/>
      <c r="D47" s="382"/>
      <c r="E47" s="382"/>
      <c r="F47" s="382"/>
      <c r="G47" s="380"/>
      <c r="H47" s="381"/>
      <c r="I47" s="381"/>
      <c r="J47" s="381"/>
      <c r="K47" s="382"/>
      <c r="L47" s="381"/>
      <c r="M47" s="381"/>
      <c r="O47" s="83">
        <v>1.06</v>
      </c>
      <c r="P47" s="83">
        <f t="shared" si="3"/>
        <v>41.562600000000003</v>
      </c>
      <c r="Q47" s="2"/>
      <c r="T47" s="108" t="s">
        <v>102</v>
      </c>
      <c r="U47" s="368">
        <v>49.84</v>
      </c>
      <c r="W47" s="133">
        <v>42702</v>
      </c>
      <c r="X47" s="10">
        <v>36.72</v>
      </c>
      <c r="Y47" s="10">
        <v>37.15</v>
      </c>
      <c r="Z47" s="10">
        <v>36.67</v>
      </c>
      <c r="AA47" s="10">
        <v>36.74</v>
      </c>
      <c r="AB47" s="95">
        <v>3515200</v>
      </c>
      <c r="AC47" s="10">
        <v>36.74</v>
      </c>
      <c r="AD47" s="2">
        <f t="shared" si="0"/>
        <v>0.47999999999999687</v>
      </c>
      <c r="AE47" s="138">
        <f t="shared" si="1"/>
        <v>1.6357688113413094E-3</v>
      </c>
    </row>
    <row r="48" spans="1:31" x14ac:dyDescent="0.25">
      <c r="A48" s="381"/>
      <c r="B48" s="380"/>
      <c r="C48" s="381"/>
      <c r="D48" s="382"/>
      <c r="E48" s="382"/>
      <c r="F48" s="382"/>
      <c r="G48" s="380"/>
      <c r="H48" s="381"/>
      <c r="I48" s="382"/>
      <c r="J48" s="381"/>
      <c r="K48" s="382"/>
      <c r="L48" s="381"/>
      <c r="M48" s="381"/>
      <c r="O48" s="83">
        <v>1.05</v>
      </c>
      <c r="P48" s="83">
        <f t="shared" si="3"/>
        <v>41.170500000000004</v>
      </c>
      <c r="Q48" s="2"/>
      <c r="T48" s="108" t="s">
        <v>103</v>
      </c>
      <c r="U48" s="368">
        <v>1.45496</v>
      </c>
      <c r="W48" s="133">
        <v>42699</v>
      </c>
      <c r="X48" s="10">
        <v>36.93</v>
      </c>
      <c r="Y48" s="10">
        <v>37.04</v>
      </c>
      <c r="Z48" s="10">
        <v>36.58</v>
      </c>
      <c r="AA48" s="10">
        <v>36.68</v>
      </c>
      <c r="AB48" s="95">
        <v>1303700</v>
      </c>
      <c r="AC48" s="10">
        <v>36.68</v>
      </c>
      <c r="AD48" s="2">
        <f t="shared" si="0"/>
        <v>0.46000000000000085</v>
      </c>
      <c r="AE48" s="138">
        <f t="shared" si="1"/>
        <v>-4.6132971506106513E-3</v>
      </c>
    </row>
    <row r="49" spans="1:31" x14ac:dyDescent="0.25">
      <c r="A49" s="381"/>
      <c r="B49" s="380"/>
      <c r="C49" s="381"/>
      <c r="D49" s="382"/>
      <c r="E49" s="382"/>
      <c r="F49" s="382"/>
      <c r="G49" s="380"/>
      <c r="H49" s="381"/>
      <c r="I49" s="381"/>
      <c r="J49" s="381"/>
      <c r="K49" s="382"/>
      <c r="L49" s="381"/>
      <c r="M49" s="381"/>
      <c r="O49" s="83">
        <v>1.04</v>
      </c>
      <c r="P49" s="83">
        <f t="shared" si="3"/>
        <v>40.778400000000005</v>
      </c>
      <c r="Q49" s="2"/>
      <c r="T49" s="108" t="s">
        <v>122</v>
      </c>
      <c r="U49" s="368" t="s">
        <v>334</v>
      </c>
      <c r="W49" s="133">
        <v>42697</v>
      </c>
      <c r="X49" s="10">
        <v>35.909999999999997</v>
      </c>
      <c r="Y49" s="10">
        <v>36.9</v>
      </c>
      <c r="Z49" s="10">
        <v>35.26</v>
      </c>
      <c r="AA49" s="10">
        <v>36.85</v>
      </c>
      <c r="AB49" s="95">
        <v>4267800</v>
      </c>
      <c r="AC49" s="10">
        <v>36.85</v>
      </c>
      <c r="AD49" s="2">
        <f t="shared" si="0"/>
        <v>1.6400000000000006</v>
      </c>
      <c r="AE49" s="138">
        <f t="shared" si="1"/>
        <v>1.4592511013215903E-2</v>
      </c>
    </row>
    <row r="50" spans="1:31" x14ac:dyDescent="0.25">
      <c r="A50" s="381"/>
      <c r="B50" s="381"/>
      <c r="C50" s="381"/>
      <c r="D50" s="382"/>
      <c r="E50" s="382"/>
      <c r="F50" s="382"/>
      <c r="G50" s="380"/>
      <c r="H50" s="381"/>
      <c r="I50" s="381"/>
      <c r="J50" s="381"/>
      <c r="K50" s="382"/>
      <c r="L50" s="381"/>
      <c r="M50" s="381"/>
      <c r="O50" s="83">
        <v>1.03</v>
      </c>
      <c r="P50" s="83">
        <f t="shared" si="3"/>
        <v>40.386299999999999</v>
      </c>
      <c r="Q50" s="2"/>
      <c r="T50" s="108"/>
      <c r="U50" s="368"/>
      <c r="W50" s="133">
        <v>42696</v>
      </c>
      <c r="X50" s="10">
        <v>36.619999999999997</v>
      </c>
      <c r="Y50" s="10">
        <v>36.94</v>
      </c>
      <c r="Z50" s="10">
        <v>35.9</v>
      </c>
      <c r="AA50" s="10">
        <v>36.32</v>
      </c>
      <c r="AB50" s="95">
        <v>3484400</v>
      </c>
      <c r="AC50" s="10">
        <v>36.32</v>
      </c>
      <c r="AD50" s="2">
        <f t="shared" si="0"/>
        <v>1.0399999999999991</v>
      </c>
      <c r="AE50" s="138">
        <f t="shared" si="1"/>
        <v>-9.8146128680479672E-3</v>
      </c>
    </row>
    <row r="51" spans="1:31" x14ac:dyDescent="0.25">
      <c r="A51" s="381"/>
      <c r="B51" s="381"/>
      <c r="C51" s="381"/>
      <c r="D51" s="382"/>
      <c r="E51" s="382"/>
      <c r="F51" s="382"/>
      <c r="G51" s="380"/>
      <c r="H51" s="381"/>
      <c r="I51" s="381"/>
      <c r="J51" s="381"/>
      <c r="K51" s="382"/>
      <c r="L51" s="381"/>
      <c r="M51" s="381"/>
      <c r="O51" s="83">
        <v>1.02</v>
      </c>
      <c r="P51" s="83">
        <f t="shared" si="3"/>
        <v>39.994199999999999</v>
      </c>
      <c r="Q51" s="2"/>
      <c r="T51" s="108" t="s">
        <v>105</v>
      </c>
      <c r="U51" s="368" t="s">
        <v>534</v>
      </c>
      <c r="W51" s="133">
        <v>42695</v>
      </c>
      <c r="X51" s="10">
        <v>36.53</v>
      </c>
      <c r="Y51" s="10">
        <v>37.11</v>
      </c>
      <c r="Z51" s="10">
        <v>36.42</v>
      </c>
      <c r="AA51" s="10">
        <v>36.68</v>
      </c>
      <c r="AB51" s="95">
        <v>3698000</v>
      </c>
      <c r="AC51" s="10">
        <v>36.68</v>
      </c>
      <c r="AD51" s="2">
        <f t="shared" si="0"/>
        <v>0.68999999999999773</v>
      </c>
      <c r="AE51" s="138">
        <f t="shared" si="1"/>
        <v>5.7581573896352545E-3</v>
      </c>
    </row>
    <row r="52" spans="1:31" x14ac:dyDescent="0.25">
      <c r="A52" s="381"/>
      <c r="B52" s="381"/>
      <c r="C52" s="381"/>
      <c r="D52" s="382"/>
      <c r="E52" s="382"/>
      <c r="F52" s="382"/>
      <c r="G52" s="380"/>
      <c r="H52" s="381"/>
      <c r="I52" s="381"/>
      <c r="J52" s="381"/>
      <c r="K52" s="382"/>
      <c r="L52" s="381"/>
      <c r="M52" s="381"/>
      <c r="O52" s="83">
        <v>1.01</v>
      </c>
      <c r="P52" s="83">
        <f t="shared" si="3"/>
        <v>39.6021</v>
      </c>
      <c r="Q52" s="2"/>
      <c r="T52" s="108" t="s">
        <v>106</v>
      </c>
      <c r="U52" s="368" t="s">
        <v>535</v>
      </c>
      <c r="W52" s="133">
        <v>42692</v>
      </c>
      <c r="X52" s="10">
        <v>37.450000000000003</v>
      </c>
      <c r="Y52" s="10">
        <v>37.590000000000003</v>
      </c>
      <c r="Z52" s="10">
        <v>36.409999999999997</v>
      </c>
      <c r="AA52" s="10">
        <v>36.47</v>
      </c>
      <c r="AB52" s="95">
        <v>6012100</v>
      </c>
      <c r="AC52" s="10">
        <v>36.47</v>
      </c>
      <c r="AD52" s="2">
        <f t="shared" si="0"/>
        <v>1.1800000000000068</v>
      </c>
      <c r="AE52" s="138">
        <f t="shared" si="1"/>
        <v>-2.9020234291799896E-2</v>
      </c>
    </row>
    <row r="53" spans="1:31" x14ac:dyDescent="0.25">
      <c r="A53" s="22" t="s">
        <v>81</v>
      </c>
      <c r="B53" s="12"/>
      <c r="C53" s="12">
        <f>SUM(C37:C49)</f>
        <v>60</v>
      </c>
      <c r="D53" s="12"/>
      <c r="E53" s="12"/>
      <c r="F53" s="13">
        <f t="shared" ref="F53" si="4">SUM(F37:F49)</f>
        <v>2295</v>
      </c>
      <c r="G53" s="12"/>
      <c r="H53" s="12">
        <f t="shared" ref="H53" si="5">SUM(H37:H49)</f>
        <v>60</v>
      </c>
      <c r="I53" s="12"/>
      <c r="J53" s="12"/>
      <c r="K53" s="12">
        <f t="shared" ref="K53:M53" si="6">SUM(K37:K49)</f>
        <v>2734.7799999999997</v>
      </c>
      <c r="L53" s="12">
        <f t="shared" si="6"/>
        <v>0</v>
      </c>
      <c r="M53" s="12">
        <f t="shared" si="6"/>
        <v>0</v>
      </c>
      <c r="O53" s="83">
        <v>1</v>
      </c>
      <c r="P53" s="83">
        <f t="shared" si="3"/>
        <v>39.21</v>
      </c>
      <c r="Q53" s="2"/>
      <c r="T53" s="108" t="s">
        <v>107</v>
      </c>
      <c r="U53" s="369">
        <v>6225389</v>
      </c>
      <c r="W53" s="133">
        <v>42691</v>
      </c>
      <c r="X53" s="10">
        <v>38.08</v>
      </c>
      <c r="Y53" s="10">
        <v>38.130000000000003</v>
      </c>
      <c r="Z53" s="10">
        <v>37</v>
      </c>
      <c r="AA53" s="10">
        <v>37.56</v>
      </c>
      <c r="AB53" s="95">
        <v>5437700</v>
      </c>
      <c r="AC53" s="10">
        <v>37.56</v>
      </c>
      <c r="AD53" s="2">
        <f t="shared" si="0"/>
        <v>1.1300000000000026</v>
      </c>
      <c r="AE53" s="138">
        <f t="shared" si="1"/>
        <v>-8.9709762532980131E-3</v>
      </c>
    </row>
    <row r="54" spans="1:31" x14ac:dyDescent="0.25">
      <c r="O54" s="83">
        <v>0.99</v>
      </c>
      <c r="P54" s="83">
        <f t="shared" si="3"/>
        <v>38.817900000000002</v>
      </c>
      <c r="Q54" s="2"/>
      <c r="T54" s="108" t="s">
        <v>110</v>
      </c>
      <c r="U54" s="369">
        <v>5674340</v>
      </c>
      <c r="W54" s="133">
        <v>42690</v>
      </c>
      <c r="X54" s="10">
        <v>38.5</v>
      </c>
      <c r="Y54" s="10">
        <v>38.6</v>
      </c>
      <c r="Z54" s="10">
        <v>37.700000000000003</v>
      </c>
      <c r="AA54" s="10">
        <v>37.9</v>
      </c>
      <c r="AB54" s="95">
        <v>4728500</v>
      </c>
      <c r="AC54" s="10">
        <v>37.9</v>
      </c>
      <c r="AD54" s="2">
        <f t="shared" si="0"/>
        <v>0.89999999999999858</v>
      </c>
      <c r="AE54" s="138">
        <f t="shared" si="1"/>
        <v>-1.9658561821003562E-2</v>
      </c>
    </row>
    <row r="55" spans="1:31" x14ac:dyDescent="0.25">
      <c r="B55" s="191" t="s">
        <v>114</v>
      </c>
      <c r="C55" s="191" t="s">
        <v>147</v>
      </c>
      <c r="D55" s="192" t="s">
        <v>146</v>
      </c>
      <c r="E55" s="194" t="s">
        <v>148</v>
      </c>
      <c r="F55" s="195" t="s">
        <v>65</v>
      </c>
      <c r="G55" s="229" t="s">
        <v>152</v>
      </c>
      <c r="H55" s="195" t="s">
        <v>88</v>
      </c>
      <c r="I55" s="195" t="s">
        <v>155</v>
      </c>
      <c r="O55" s="83">
        <v>0.98</v>
      </c>
      <c r="P55" s="83">
        <f t="shared" si="3"/>
        <v>38.425800000000002</v>
      </c>
      <c r="Q55" s="2"/>
      <c r="T55" s="108" t="s">
        <v>108</v>
      </c>
      <c r="U55" s="368" t="s">
        <v>536</v>
      </c>
      <c r="W55" s="133">
        <v>42689</v>
      </c>
      <c r="X55" s="10">
        <v>38</v>
      </c>
      <c r="Y55" s="10">
        <v>38.78</v>
      </c>
      <c r="Z55" s="10">
        <v>37.4</v>
      </c>
      <c r="AA55" s="10">
        <v>38.659999999999997</v>
      </c>
      <c r="AB55" s="95">
        <v>5328100</v>
      </c>
      <c r="AC55" s="10">
        <v>38.659999999999997</v>
      </c>
      <c r="AD55" s="2">
        <f t="shared" si="0"/>
        <v>1.3800000000000026</v>
      </c>
      <c r="AE55" s="138">
        <f t="shared" si="1"/>
        <v>5.7232049947970598E-3</v>
      </c>
    </row>
    <row r="56" spans="1:31" x14ac:dyDescent="0.25">
      <c r="B56" s="193">
        <v>42502</v>
      </c>
      <c r="C56" s="10">
        <v>60</v>
      </c>
      <c r="D56" s="40">
        <v>38.25</v>
      </c>
      <c r="E56" s="40">
        <v>41.02</v>
      </c>
      <c r="F56" s="40">
        <f>C56*(E56-D56)</f>
        <v>166.20000000000019</v>
      </c>
      <c r="G56" s="40">
        <f>D56*C56</f>
        <v>2295</v>
      </c>
      <c r="H56" s="231">
        <f>(E56-D56)/D56</f>
        <v>7.241830065359485E-2</v>
      </c>
      <c r="I56" s="231"/>
      <c r="O56" s="83">
        <v>0.97</v>
      </c>
      <c r="P56" s="83">
        <f t="shared" si="3"/>
        <v>38.033700000000003</v>
      </c>
      <c r="T56" s="108" t="s">
        <v>111</v>
      </c>
      <c r="U56" s="368">
        <v>78.16</v>
      </c>
      <c r="W56" s="133">
        <v>42688</v>
      </c>
      <c r="X56" s="10">
        <v>37.56</v>
      </c>
      <c r="Y56" s="10">
        <v>38.53</v>
      </c>
      <c r="Z56" s="10">
        <v>37.56</v>
      </c>
      <c r="AA56" s="10">
        <v>38.44</v>
      </c>
      <c r="AB56" s="95">
        <v>4951500</v>
      </c>
      <c r="AC56" s="10">
        <v>38.44</v>
      </c>
      <c r="AD56" s="2">
        <f t="shared" si="0"/>
        <v>0.96999999999999886</v>
      </c>
      <c r="AE56" s="138">
        <f t="shared" si="1"/>
        <v>1.344582124967042E-2</v>
      </c>
    </row>
    <row r="57" spans="1:31" x14ac:dyDescent="0.25">
      <c r="B57" s="193">
        <v>42509</v>
      </c>
      <c r="C57" s="10">
        <v>60</v>
      </c>
      <c r="D57" s="40">
        <v>38.25</v>
      </c>
      <c r="E57" s="40">
        <v>42.04</v>
      </c>
      <c r="F57" s="40">
        <f>C57*(E57-D57)</f>
        <v>227.39999999999995</v>
      </c>
      <c r="G57" s="40">
        <f>D57*C57</f>
        <v>2295</v>
      </c>
      <c r="H57" s="231">
        <f>(E57-D57)/D57</f>
        <v>9.9084967320261411E-2</v>
      </c>
      <c r="I57" s="231"/>
      <c r="O57" s="83">
        <v>0.96</v>
      </c>
      <c r="P57" s="83">
        <f t="shared" si="3"/>
        <v>37.641599999999997</v>
      </c>
      <c r="T57" s="108" t="s">
        <v>112</v>
      </c>
      <c r="U57" s="368">
        <v>0.5</v>
      </c>
      <c r="W57" s="133">
        <v>42685</v>
      </c>
      <c r="X57" s="10">
        <v>37.92</v>
      </c>
      <c r="Y57" s="10">
        <v>38.54</v>
      </c>
      <c r="Z57" s="10">
        <v>37.409999999999997</v>
      </c>
      <c r="AA57" s="10">
        <v>37.93</v>
      </c>
      <c r="AB57" s="95">
        <v>5668000</v>
      </c>
      <c r="AC57" s="10">
        <v>37.93</v>
      </c>
      <c r="AD57" s="2">
        <f t="shared" si="0"/>
        <v>1.1300000000000026</v>
      </c>
      <c r="AE57" s="138">
        <f t="shared" si="1"/>
        <v>-9.1431556948798898E-3</v>
      </c>
    </row>
    <row r="58" spans="1:31" x14ac:dyDescent="0.25">
      <c r="B58" s="193">
        <v>42527</v>
      </c>
      <c r="C58" s="10">
        <v>60</v>
      </c>
      <c r="D58" s="40">
        <v>38.25</v>
      </c>
      <c r="E58" s="40">
        <v>46.52</v>
      </c>
      <c r="F58" s="40">
        <f>C58*(E58-D58)</f>
        <v>496.20000000000016</v>
      </c>
      <c r="G58" s="40">
        <f>D58*C58</f>
        <v>2295</v>
      </c>
      <c r="H58" s="231">
        <f>(E58-D58)/D58</f>
        <v>0.21620915032679747</v>
      </c>
      <c r="I58" s="231"/>
      <c r="O58" s="83">
        <v>0.95</v>
      </c>
      <c r="P58" s="83">
        <f t="shared" si="3"/>
        <v>37.249499999999998</v>
      </c>
      <c r="T58" s="108" t="s">
        <v>109</v>
      </c>
      <c r="U58" s="368" t="s">
        <v>123</v>
      </c>
      <c r="W58" s="133">
        <v>42684</v>
      </c>
      <c r="X58" s="10">
        <v>39.450000000000003</v>
      </c>
      <c r="Y58" s="10">
        <v>40.409999999999997</v>
      </c>
      <c r="Z58" s="10">
        <v>37.549999999999997</v>
      </c>
      <c r="AA58" s="10">
        <v>38.28</v>
      </c>
      <c r="AB58" s="95">
        <v>11946500</v>
      </c>
      <c r="AC58" s="10">
        <v>38.28</v>
      </c>
      <c r="AD58" s="2">
        <f t="shared" si="0"/>
        <v>2.8599999999999994</v>
      </c>
      <c r="AE58" s="138">
        <f t="shared" si="1"/>
        <v>-1.6443987667009274E-2</v>
      </c>
    </row>
    <row r="59" spans="1:31" x14ac:dyDescent="0.25">
      <c r="B59" s="193">
        <v>42538</v>
      </c>
      <c r="C59" s="10">
        <v>30</v>
      </c>
      <c r="D59" s="40">
        <v>31.251000000000001</v>
      </c>
      <c r="E59" s="40">
        <v>45.1</v>
      </c>
      <c r="F59" s="40">
        <f>C59*(E59-D59)</f>
        <v>415.47</v>
      </c>
      <c r="G59" s="40">
        <f>D59*C59</f>
        <v>937.53000000000009</v>
      </c>
      <c r="H59" s="231">
        <f>(E59-D59)/D59</f>
        <v>0.4431538190777895</v>
      </c>
      <c r="I59" s="231"/>
      <c r="O59" s="83">
        <v>0.94</v>
      </c>
      <c r="P59" s="83">
        <f t="shared" si="3"/>
        <v>36.857399999999998</v>
      </c>
      <c r="W59" s="133">
        <v>42683</v>
      </c>
      <c r="X59" s="10">
        <v>40</v>
      </c>
      <c r="Y59" s="10">
        <v>40.5</v>
      </c>
      <c r="Z59" s="10">
        <v>38.549999999999997</v>
      </c>
      <c r="AA59" s="10">
        <v>38.92</v>
      </c>
      <c r="AB59" s="95">
        <v>17199100</v>
      </c>
      <c r="AC59" s="10">
        <v>38.92</v>
      </c>
      <c r="AD59" s="2">
        <f t="shared" si="0"/>
        <v>1.9500000000000028</v>
      </c>
      <c r="AE59" s="138">
        <f t="shared" si="1"/>
        <v>4.8773915386688182E-2</v>
      </c>
    </row>
    <row r="60" spans="1:31" x14ac:dyDescent="0.25">
      <c r="B60" s="193">
        <v>42544</v>
      </c>
      <c r="C60" s="10">
        <v>0</v>
      </c>
      <c r="D60" s="40"/>
      <c r="E60" s="40">
        <v>46.16</v>
      </c>
      <c r="F60" s="40">
        <v>439.78</v>
      </c>
      <c r="G60" s="40"/>
      <c r="H60" s="231"/>
      <c r="I60" s="231"/>
      <c r="O60" s="83">
        <v>0.93</v>
      </c>
      <c r="P60" s="83">
        <f t="shared" si="3"/>
        <v>36.465299999999999</v>
      </c>
      <c r="W60" s="133">
        <v>42682</v>
      </c>
      <c r="X60" s="10">
        <v>35.61</v>
      </c>
      <c r="Y60" s="10">
        <v>37.770000000000003</v>
      </c>
      <c r="Z60" s="10">
        <v>35.450000000000003</v>
      </c>
      <c r="AA60" s="10">
        <v>37.11</v>
      </c>
      <c r="AB60" s="95">
        <v>9110100</v>
      </c>
      <c r="AC60" s="10">
        <v>37.11</v>
      </c>
      <c r="AD60" s="2">
        <f t="shared" si="0"/>
        <v>2.3200000000000003</v>
      </c>
      <c r="AE60" s="138">
        <f t="shared" si="1"/>
        <v>1.4211533205793714E-2</v>
      </c>
    </row>
    <row r="61" spans="1:31" x14ac:dyDescent="0.25">
      <c r="B61" s="193"/>
      <c r="C61" s="10"/>
      <c r="D61" s="40"/>
      <c r="E61" s="40"/>
      <c r="F61" s="40"/>
      <c r="G61" s="40"/>
      <c r="H61" s="231"/>
      <c r="I61" s="231"/>
      <c r="O61" s="83">
        <v>0.92</v>
      </c>
      <c r="P61" s="83">
        <f t="shared" si="3"/>
        <v>36.0732</v>
      </c>
      <c r="W61" s="133">
        <v>42681</v>
      </c>
      <c r="X61" s="10">
        <v>35.69</v>
      </c>
      <c r="Y61" s="10">
        <v>36.81</v>
      </c>
      <c r="Z61" s="10">
        <v>35.28</v>
      </c>
      <c r="AA61" s="10">
        <v>36.590000000000003</v>
      </c>
      <c r="AB61" s="95">
        <v>5742200</v>
      </c>
      <c r="AC61" s="10">
        <v>36.590000000000003</v>
      </c>
      <c r="AD61" s="2">
        <f t="shared" si="0"/>
        <v>1.5300000000000011</v>
      </c>
      <c r="AE61" s="138">
        <f t="shared" si="1"/>
        <v>4.5428571428571596E-2</v>
      </c>
    </row>
    <row r="62" spans="1:31" x14ac:dyDescent="0.25">
      <c r="B62" s="193"/>
      <c r="C62" s="10"/>
      <c r="D62" s="40"/>
      <c r="E62" s="40"/>
      <c r="F62" s="40"/>
      <c r="G62" s="40"/>
      <c r="H62" s="231"/>
      <c r="I62" s="231"/>
      <c r="O62" s="83">
        <v>0.91</v>
      </c>
      <c r="P62" s="83">
        <f t="shared" si="3"/>
        <v>35.681100000000001</v>
      </c>
      <c r="W62" s="133">
        <v>42678</v>
      </c>
      <c r="X62" s="10">
        <v>34.01</v>
      </c>
      <c r="Y62" s="10">
        <v>35.630000000000003</v>
      </c>
      <c r="Z62" s="10">
        <v>34</v>
      </c>
      <c r="AA62" s="10">
        <v>35</v>
      </c>
      <c r="AB62" s="95">
        <v>7927400</v>
      </c>
      <c r="AC62" s="10">
        <v>35</v>
      </c>
      <c r="AD62" s="2">
        <f t="shared" si="0"/>
        <v>1.6300000000000026</v>
      </c>
      <c r="AE62" s="138">
        <f t="shared" si="1"/>
        <v>2.5190392501464487E-2</v>
      </c>
    </row>
    <row r="63" spans="1:31" x14ac:dyDescent="0.25">
      <c r="B63" s="193"/>
      <c r="C63" s="10"/>
      <c r="D63" s="40"/>
      <c r="E63" s="40"/>
      <c r="F63" s="40"/>
      <c r="G63" s="40"/>
      <c r="H63" s="231"/>
      <c r="I63" s="231"/>
      <c r="O63" s="83">
        <v>0.9</v>
      </c>
      <c r="P63" s="83">
        <f t="shared" si="3"/>
        <v>35.289000000000001</v>
      </c>
      <c r="W63" s="133">
        <v>42677</v>
      </c>
      <c r="X63" s="10">
        <v>37.04</v>
      </c>
      <c r="Y63" s="10">
        <v>37.1</v>
      </c>
      <c r="Z63" s="10">
        <v>33.6</v>
      </c>
      <c r="AA63" s="10">
        <v>34.14</v>
      </c>
      <c r="AB63" s="95">
        <v>17825900</v>
      </c>
      <c r="AC63" s="10">
        <v>34.14</v>
      </c>
      <c r="AD63" s="2">
        <f t="shared" si="0"/>
        <v>3.5</v>
      </c>
      <c r="AE63" s="138">
        <f t="shared" si="1"/>
        <v>-6.8993727842923347E-2</v>
      </c>
    </row>
    <row r="64" spans="1:31" x14ac:dyDescent="0.25">
      <c r="B64" s="193"/>
      <c r="C64" s="10"/>
      <c r="D64" s="40"/>
      <c r="E64" s="40"/>
      <c r="F64" s="40"/>
      <c r="G64" s="40"/>
      <c r="H64" s="231"/>
      <c r="I64" s="231"/>
      <c r="W64" s="133">
        <v>42676</v>
      </c>
      <c r="X64" s="10">
        <v>37.119999999999997</v>
      </c>
      <c r="Y64" s="10">
        <v>37.56</v>
      </c>
      <c r="Z64" s="10">
        <v>36.35</v>
      </c>
      <c r="AA64" s="10">
        <v>36.67</v>
      </c>
      <c r="AB64" s="95">
        <v>5929200</v>
      </c>
      <c r="AC64" s="10">
        <v>36.67</v>
      </c>
      <c r="AD64" s="2">
        <f t="shared" si="0"/>
        <v>1.2100000000000009</v>
      </c>
      <c r="AE64" s="138">
        <f t="shared" si="1"/>
        <v>-1.3186221743810456E-2</v>
      </c>
    </row>
    <row r="65" spans="2:31" x14ac:dyDescent="0.25">
      <c r="B65" s="193"/>
      <c r="C65" s="10"/>
      <c r="D65" s="40"/>
      <c r="E65" s="40"/>
      <c r="F65" s="40"/>
      <c r="G65" s="40"/>
      <c r="H65" s="231"/>
      <c r="I65" s="231"/>
      <c r="W65" s="133">
        <v>42675</v>
      </c>
      <c r="X65" s="10">
        <v>36.54</v>
      </c>
      <c r="Y65" s="10">
        <v>37.32</v>
      </c>
      <c r="Z65" s="10">
        <v>36.51</v>
      </c>
      <c r="AA65" s="10">
        <v>37.159999999999997</v>
      </c>
      <c r="AB65" s="95">
        <v>6488900</v>
      </c>
      <c r="AC65" s="10">
        <v>37.159999999999997</v>
      </c>
      <c r="AD65" s="2">
        <f t="shared" si="0"/>
        <v>0.81000000000000227</v>
      </c>
      <c r="AE65" s="138">
        <f t="shared" si="1"/>
        <v>1.8082191780821821E-2</v>
      </c>
    </row>
    <row r="66" spans="2:31" x14ac:dyDescent="0.25">
      <c r="B66" s="193"/>
      <c r="C66" s="10"/>
      <c r="D66" s="40"/>
      <c r="E66" s="40"/>
      <c r="F66" s="40"/>
      <c r="G66" s="40"/>
      <c r="H66" s="231"/>
      <c r="I66" s="231"/>
      <c r="W66" s="133">
        <v>42674</v>
      </c>
      <c r="X66" s="10">
        <v>37.29</v>
      </c>
      <c r="Y66" s="10">
        <v>37.479999999999997</v>
      </c>
      <c r="Z66" s="10">
        <v>36.479999999999997</v>
      </c>
      <c r="AA66" s="10">
        <v>36.5</v>
      </c>
      <c r="AB66" s="95">
        <v>5458100</v>
      </c>
      <c r="AC66" s="10">
        <v>36.5</v>
      </c>
      <c r="AD66" s="2">
        <f t="shared" si="0"/>
        <v>1</v>
      </c>
      <c r="AE66" s="138">
        <f t="shared" si="1"/>
        <v>-1.8553374563054503E-2</v>
      </c>
    </row>
    <row r="67" spans="2:31" x14ac:dyDescent="0.25">
      <c r="W67" s="133">
        <v>42671</v>
      </c>
      <c r="X67" s="10">
        <v>37.86</v>
      </c>
      <c r="Y67" s="10">
        <v>38.75</v>
      </c>
      <c r="Z67" s="10">
        <v>36.67</v>
      </c>
      <c r="AA67" s="10">
        <v>37.19</v>
      </c>
      <c r="AB67" s="95">
        <v>7760300</v>
      </c>
      <c r="AC67" s="10">
        <v>37.19</v>
      </c>
      <c r="AD67" s="2">
        <f>Y67-Z67</f>
        <v>2.0799999999999983</v>
      </c>
      <c r="AE67" s="138" t="e">
        <f>AC67/AC68-1</f>
        <v>#DIV/0!</v>
      </c>
    </row>
    <row r="68" spans="2:31" x14ac:dyDescent="0.25">
      <c r="W68" s="10" t="s">
        <v>121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</sheetData>
  <mergeCells count="1">
    <mergeCell ref="O42:P42"/>
  </mergeCells>
  <conditionalFormatting sqref="N19">
    <cfRule type="expression" dxfId="1035" priority="25">
      <formula>N19&gt;0</formula>
    </cfRule>
    <cfRule type="expression" dxfId="1034" priority="26">
      <formula>N19&lt;0</formula>
    </cfRule>
  </conditionalFormatting>
  <conditionalFormatting sqref="O43:O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1:F31">
    <cfRule type="expression" dxfId="1033" priority="19">
      <formula>F21&gt;0</formula>
    </cfRule>
    <cfRule type="expression" dxfId="1032" priority="20">
      <formula>F21&lt;0</formula>
    </cfRule>
  </conditionalFormatting>
  <conditionalFormatting sqref="H21:H31">
    <cfRule type="expression" dxfId="1031" priority="17">
      <formula>H21&gt;0</formula>
    </cfRule>
    <cfRule type="expression" dxfId="1030" priority="18">
      <formula>H21&lt;0</formula>
    </cfRule>
  </conditionalFormatting>
  <conditionalFormatting sqref="I21:I31">
    <cfRule type="expression" dxfId="1029" priority="15">
      <formula>I21&gt;0</formula>
    </cfRule>
    <cfRule type="expression" dxfId="1028" priority="16">
      <formula>I21&lt;0</formula>
    </cfRule>
  </conditionalFormatting>
  <conditionalFormatting sqref="Q8">
    <cfRule type="expression" dxfId="1027" priority="7">
      <formula>Q8&gt;0</formula>
    </cfRule>
    <cfRule type="expression" dxfId="1026" priority="8">
      <formula>Q8&lt;0</formula>
    </cfRule>
  </conditionalFormatting>
  <conditionalFormatting sqref="Q7">
    <cfRule type="expression" dxfId="1025" priority="9">
      <formula>Q7&gt;0</formula>
    </cfRule>
    <cfRule type="expression" dxfId="1024" priority="10">
      <formula>Q7&lt;0</formula>
    </cfRule>
  </conditionalFormatting>
  <conditionalFormatting sqref="F56:F66">
    <cfRule type="expression" dxfId="1023" priority="5">
      <formula>F56&gt;0</formula>
    </cfRule>
    <cfRule type="expression" dxfId="1022" priority="6">
      <formula>F56&lt;0</formula>
    </cfRule>
  </conditionalFormatting>
  <conditionalFormatting sqref="H56:H66">
    <cfRule type="expression" dxfId="1021" priority="3">
      <formula>H56&gt;0</formula>
    </cfRule>
    <cfRule type="expression" dxfId="1020" priority="4">
      <formula>H56&lt;0</formula>
    </cfRule>
  </conditionalFormatting>
  <conditionalFormatting sqref="I56:I66">
    <cfRule type="expression" dxfId="1019" priority="1">
      <formula>I56&gt;0</formula>
    </cfRule>
    <cfRule type="expression" dxfId="1018" priority="2">
      <formula>I56&lt;0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N101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4" customWidth="1"/>
    <col min="20" max="20" width="18.5703125" customWidth="1"/>
    <col min="21" max="21" width="34.2851562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0" x14ac:dyDescent="0.25">
      <c r="A2" s="6" t="s">
        <v>219</v>
      </c>
      <c r="B2" s="459">
        <v>42746</v>
      </c>
      <c r="C2" s="4">
        <v>30</v>
      </c>
      <c r="D2" s="3">
        <v>81.81</v>
      </c>
      <c r="E2" s="3">
        <v>0</v>
      </c>
      <c r="F2" s="3">
        <f>C2*D2+E2</f>
        <v>2454.3000000000002</v>
      </c>
      <c r="G2" s="459">
        <v>42746</v>
      </c>
      <c r="H2" s="7">
        <v>30</v>
      </c>
      <c r="I2" s="44">
        <v>81.599999999999994</v>
      </c>
      <c r="J2" s="44">
        <v>0.05</v>
      </c>
      <c r="K2" s="44">
        <f>H2*I2-J2</f>
        <v>2447.9499999999998</v>
      </c>
      <c r="L2" s="74"/>
      <c r="M2" s="4"/>
      <c r="O2" s="11" t="s">
        <v>57</v>
      </c>
      <c r="Q2">
        <f>C18-H18</f>
        <v>75</v>
      </c>
      <c r="T2" s="1">
        <v>42568</v>
      </c>
      <c r="U2" t="s">
        <v>254</v>
      </c>
      <c r="W2" s="133">
        <v>42768</v>
      </c>
      <c r="X2" s="10">
        <v>77.25</v>
      </c>
      <c r="Y2" s="10">
        <v>77.25</v>
      </c>
      <c r="Z2" s="10">
        <v>75.77</v>
      </c>
      <c r="AA2" s="10">
        <v>76.12</v>
      </c>
      <c r="AB2" s="95">
        <v>1204300</v>
      </c>
      <c r="AC2" s="10">
        <v>76.12</v>
      </c>
      <c r="AD2" s="2">
        <f>Y2-Z2</f>
        <v>1.480000000000004</v>
      </c>
      <c r="AE2" s="138">
        <f>AC2/AC3-1</f>
        <v>-1.155694065705748E-2</v>
      </c>
    </row>
    <row r="3" spans="1:40" x14ac:dyDescent="0.25">
      <c r="A3" s="23" t="s">
        <v>71</v>
      </c>
      <c r="B3" s="606">
        <v>42748</v>
      </c>
      <c r="C3" s="4">
        <v>20</v>
      </c>
      <c r="D3" s="3">
        <v>80.010000000000005</v>
      </c>
      <c r="E3" s="3">
        <v>0</v>
      </c>
      <c r="F3" s="3">
        <f>C3*D3+E3</f>
        <v>1600.2</v>
      </c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79.439333333333337</v>
      </c>
      <c r="W3" s="133">
        <v>42767</v>
      </c>
      <c r="X3" s="10">
        <v>77.19</v>
      </c>
      <c r="Y3" s="10">
        <v>78.56</v>
      </c>
      <c r="Z3" s="10">
        <v>76.86</v>
      </c>
      <c r="AA3" s="10">
        <v>77.010000000000005</v>
      </c>
      <c r="AB3" s="95">
        <v>1510600</v>
      </c>
      <c r="AC3" s="10">
        <v>77.010000000000005</v>
      </c>
      <c r="AD3" s="2">
        <f t="shared" ref="AD3:AD66" si="0">Y3-Z3</f>
        <v>1.7000000000000028</v>
      </c>
      <c r="AE3" s="138">
        <f t="shared" ref="AE3:AE66" si="1">AC3/AC4-1</f>
        <v>-8.4974893781382121E-3</v>
      </c>
      <c r="AG3" s="1"/>
      <c r="AK3" s="234"/>
      <c r="AN3" s="234"/>
    </row>
    <row r="4" spans="1:40" x14ac:dyDescent="0.25">
      <c r="B4" s="606">
        <v>42754</v>
      </c>
      <c r="C4" s="7">
        <v>30</v>
      </c>
      <c r="D4" s="44">
        <v>80.88</v>
      </c>
      <c r="E4" s="44">
        <v>0</v>
      </c>
      <c r="F4" s="44">
        <f>C4*D4+E4</f>
        <v>2426.3999999999996</v>
      </c>
      <c r="G4" s="74"/>
      <c r="H4" s="185"/>
      <c r="I4" s="3"/>
      <c r="J4" s="3"/>
      <c r="K4" s="3"/>
      <c r="L4" s="4"/>
      <c r="M4" s="4"/>
      <c r="O4" s="11" t="s">
        <v>66</v>
      </c>
      <c r="Q4" s="55">
        <v>76.3</v>
      </c>
      <c r="R4" s="526">
        <v>2.3999999999999998E-3</v>
      </c>
      <c r="T4" s="1"/>
      <c r="W4" s="133">
        <v>42766</v>
      </c>
      <c r="X4" s="10">
        <v>78.66</v>
      </c>
      <c r="Y4" s="10">
        <v>79.13</v>
      </c>
      <c r="Z4" s="10">
        <v>76.319999999999993</v>
      </c>
      <c r="AA4" s="10">
        <v>77.67</v>
      </c>
      <c r="AB4" s="95">
        <v>2117300</v>
      </c>
      <c r="AC4" s="10">
        <v>77.67</v>
      </c>
      <c r="AD4" s="2">
        <f t="shared" si="0"/>
        <v>2.8100000000000023</v>
      </c>
      <c r="AE4" s="138">
        <f t="shared" si="1"/>
        <v>-1.8822637695805944E-2</v>
      </c>
      <c r="AK4" s="234"/>
      <c r="AN4" s="234"/>
    </row>
    <row r="5" spans="1:40" x14ac:dyDescent="0.25">
      <c r="B5" s="503">
        <v>42766</v>
      </c>
      <c r="C5" s="4">
        <v>25</v>
      </c>
      <c r="D5" s="3">
        <v>77</v>
      </c>
      <c r="E5" s="3">
        <v>0</v>
      </c>
      <c r="F5" s="3">
        <f>C5*D5+E5</f>
        <v>1925</v>
      </c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5722.5</v>
      </c>
      <c r="T5" s="1"/>
      <c r="W5" s="133">
        <v>42765</v>
      </c>
      <c r="X5" s="10">
        <v>79.86</v>
      </c>
      <c r="Y5" s="10">
        <v>80.14</v>
      </c>
      <c r="Z5" s="10">
        <v>78.19</v>
      </c>
      <c r="AA5" s="10">
        <v>79.16</v>
      </c>
      <c r="AB5" s="95">
        <v>816500</v>
      </c>
      <c r="AC5" s="10">
        <v>79.16</v>
      </c>
      <c r="AD5" s="2">
        <f t="shared" si="0"/>
        <v>1.9500000000000028</v>
      </c>
      <c r="AE5" s="138">
        <f t="shared" si="1"/>
        <v>-1.0376297037129611E-2</v>
      </c>
      <c r="AK5" s="234"/>
      <c r="AN5" s="234"/>
    </row>
    <row r="6" spans="1:40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5957.9500000000007</v>
      </c>
      <c r="W6" s="133">
        <v>42762</v>
      </c>
      <c r="X6" s="10">
        <v>81.94</v>
      </c>
      <c r="Y6" s="10">
        <v>81.94</v>
      </c>
      <c r="Z6" s="10">
        <v>79.930000000000007</v>
      </c>
      <c r="AA6" s="10">
        <v>79.989999999999995</v>
      </c>
      <c r="AB6" s="95">
        <v>785600</v>
      </c>
      <c r="AC6" s="10">
        <v>79.989999999999995</v>
      </c>
      <c r="AD6" s="2">
        <f t="shared" si="0"/>
        <v>2.0099999999999909</v>
      </c>
      <c r="AE6" s="138">
        <f t="shared" si="1"/>
        <v>-2.391702257474082E-2</v>
      </c>
      <c r="AK6" s="234"/>
      <c r="AN6" s="234"/>
    </row>
    <row r="7" spans="1:40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181</v>
      </c>
      <c r="Q7" s="2">
        <f>Q10+Q8</f>
        <v>440.50000000000091</v>
      </c>
      <c r="R7" s="30">
        <v>42779</v>
      </c>
      <c r="W7" s="133">
        <v>42761</v>
      </c>
      <c r="X7" s="10">
        <v>83.13</v>
      </c>
      <c r="Y7" s="10">
        <v>83.69</v>
      </c>
      <c r="Z7" s="10">
        <v>81.91</v>
      </c>
      <c r="AA7" s="10">
        <v>81.95</v>
      </c>
      <c r="AB7" s="95">
        <v>618800</v>
      </c>
      <c r="AC7" s="10">
        <v>81.95</v>
      </c>
      <c r="AD7" s="2">
        <f t="shared" si="0"/>
        <v>1.7800000000000011</v>
      </c>
      <c r="AE7" s="138">
        <f t="shared" si="1"/>
        <v>-1.2412629549289012E-2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O8" s="11" t="s">
        <v>184</v>
      </c>
      <c r="P8" s="34"/>
      <c r="Q8" s="2">
        <f>K18+M18-F18+Q2*Q4</f>
        <v>-235.44999999999982</v>
      </c>
      <c r="W8" s="133">
        <v>42760</v>
      </c>
      <c r="X8" s="10">
        <v>82.68</v>
      </c>
      <c r="Y8" s="10">
        <v>84.25</v>
      </c>
      <c r="Z8" s="10">
        <v>82.52</v>
      </c>
      <c r="AA8" s="10">
        <v>82.98</v>
      </c>
      <c r="AB8" s="95">
        <v>1190300</v>
      </c>
      <c r="AC8" s="10">
        <v>82.98</v>
      </c>
      <c r="AD8" s="2">
        <f t="shared" si="0"/>
        <v>1.730000000000004</v>
      </c>
      <c r="AE8" s="138" t="e">
        <f t="shared" si="1"/>
        <v>#DIV/0!</v>
      </c>
      <c r="AK8" s="234"/>
      <c r="AN8" s="234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O9" s="11" t="s">
        <v>214</v>
      </c>
      <c r="Q9" s="138">
        <f>IF(Q2=0, 0, Q8/Q6)</f>
        <v>-3.9518626373165229E-2</v>
      </c>
      <c r="T9" s="158"/>
      <c r="W9" s="133">
        <v>42760</v>
      </c>
      <c r="X9" s="10" t="s">
        <v>139</v>
      </c>
      <c r="Y9" s="10"/>
      <c r="Z9" s="10"/>
      <c r="AA9" s="10"/>
      <c r="AB9" s="95"/>
      <c r="AC9" s="10"/>
      <c r="AD9" s="2">
        <f t="shared" si="0"/>
        <v>0</v>
      </c>
      <c r="AE9" s="138">
        <f t="shared" si="1"/>
        <v>-1</v>
      </c>
    </row>
    <row r="10" spans="1:40" x14ac:dyDescent="0.25">
      <c r="B10" s="74"/>
      <c r="C10" s="4"/>
      <c r="D10" s="3"/>
      <c r="E10" s="3"/>
      <c r="F10" s="3"/>
      <c r="G10" s="74"/>
      <c r="H10" s="185"/>
      <c r="I10" s="4"/>
      <c r="J10" s="4"/>
      <c r="K10" s="3"/>
      <c r="L10" s="4"/>
      <c r="O10" s="11" t="s">
        <v>213</v>
      </c>
      <c r="P10" s="34"/>
      <c r="Q10" s="2">
        <f>M82</f>
        <v>675.95000000000073</v>
      </c>
      <c r="W10" s="133">
        <v>42759</v>
      </c>
      <c r="X10" s="10">
        <v>81.41</v>
      </c>
      <c r="Y10" s="10">
        <v>82.93</v>
      </c>
      <c r="Z10" s="10">
        <v>80.849999999999994</v>
      </c>
      <c r="AA10" s="10">
        <v>82.73</v>
      </c>
      <c r="AB10" s="95">
        <v>832700</v>
      </c>
      <c r="AC10" s="10">
        <v>82.47</v>
      </c>
      <c r="AD10" s="2">
        <f t="shared" si="0"/>
        <v>2.0800000000000125</v>
      </c>
      <c r="AE10" s="138">
        <f t="shared" si="1"/>
        <v>2.2439871063724359E-2</v>
      </c>
    </row>
    <row r="11" spans="1:40" x14ac:dyDescent="0.25">
      <c r="B11" s="74"/>
      <c r="C11" s="4"/>
      <c r="D11" s="3"/>
      <c r="E11" s="3"/>
      <c r="F11" s="3"/>
      <c r="G11" s="74"/>
      <c r="H11" s="185"/>
      <c r="I11" s="4"/>
      <c r="J11" s="4"/>
      <c r="K11" s="3"/>
      <c r="L11" s="4"/>
      <c r="O11" s="11" t="s">
        <v>178</v>
      </c>
      <c r="P11" s="34"/>
      <c r="Q11" s="138">
        <f>VALUE(TRIM(CLEAN(MID(U55, FIND("(", U55)+1, 5))))</f>
        <v>1.3100000000000001E-2</v>
      </c>
      <c r="W11" s="133">
        <v>42758</v>
      </c>
      <c r="X11" s="10">
        <v>80.52</v>
      </c>
      <c r="Y11" s="10">
        <v>81.03</v>
      </c>
      <c r="Z11" s="10">
        <v>80.02</v>
      </c>
      <c r="AA11" s="10">
        <v>80.91</v>
      </c>
      <c r="AB11" s="95">
        <v>726700</v>
      </c>
      <c r="AC11" s="10">
        <v>80.66</v>
      </c>
      <c r="AD11" s="2">
        <f t="shared" si="0"/>
        <v>1.0100000000000051</v>
      </c>
      <c r="AE11" s="138">
        <f t="shared" si="1"/>
        <v>2.3611283708213637E-3</v>
      </c>
    </row>
    <row r="12" spans="1:40" x14ac:dyDescent="0.25">
      <c r="B12" s="74"/>
      <c r="C12" s="4"/>
      <c r="D12" s="3"/>
      <c r="E12" s="3"/>
      <c r="F12" s="3"/>
      <c r="G12" s="74"/>
      <c r="H12" s="185"/>
      <c r="I12" s="4"/>
      <c r="J12" s="4"/>
      <c r="K12" s="3"/>
      <c r="L12" s="4"/>
      <c r="W12" s="133">
        <v>42755</v>
      </c>
      <c r="X12" s="10">
        <v>81.05</v>
      </c>
      <c r="Y12" s="10">
        <v>81.95</v>
      </c>
      <c r="Z12" s="10">
        <v>80.28</v>
      </c>
      <c r="AA12" s="10">
        <v>80.72</v>
      </c>
      <c r="AB12" s="95">
        <v>840800</v>
      </c>
      <c r="AC12" s="10">
        <v>80.47</v>
      </c>
      <c r="AD12" s="2">
        <f t="shared" si="0"/>
        <v>1.6700000000000017</v>
      </c>
      <c r="AE12" s="138">
        <f t="shared" si="1"/>
        <v>-6.2096373571784991E-4</v>
      </c>
    </row>
    <row r="13" spans="1:40" x14ac:dyDescent="0.25">
      <c r="B13" s="74"/>
      <c r="C13" s="4"/>
      <c r="D13" s="3"/>
      <c r="E13" s="3"/>
      <c r="F13" s="3"/>
      <c r="G13" s="74"/>
      <c r="H13" s="185"/>
      <c r="I13" s="3"/>
      <c r="J13" s="4"/>
      <c r="K13" s="3"/>
      <c r="L13" s="4"/>
      <c r="W13" s="133">
        <v>42754</v>
      </c>
      <c r="X13" s="10">
        <v>81.97</v>
      </c>
      <c r="Y13" s="10">
        <v>82.46</v>
      </c>
      <c r="Z13" s="10">
        <v>80.349999999999994</v>
      </c>
      <c r="AA13" s="10">
        <v>80.77</v>
      </c>
      <c r="AB13" s="95">
        <v>742800</v>
      </c>
      <c r="AC13" s="10">
        <v>80.52</v>
      </c>
      <c r="AD13" s="2">
        <f t="shared" si="0"/>
        <v>2.1099999999999994</v>
      </c>
      <c r="AE13" s="138">
        <f t="shared" si="1"/>
        <v>-1.5286779992662369E-2</v>
      </c>
    </row>
    <row r="14" spans="1:40" x14ac:dyDescent="0.25">
      <c r="B14" s="74"/>
      <c r="C14" s="4"/>
      <c r="D14" s="3"/>
      <c r="E14" s="3"/>
      <c r="F14" s="3"/>
      <c r="G14" s="74"/>
      <c r="H14" s="185"/>
      <c r="I14" s="4"/>
      <c r="J14" s="4"/>
      <c r="K14" s="3"/>
      <c r="L14" s="4"/>
      <c r="W14" s="133">
        <v>42753</v>
      </c>
      <c r="X14" s="10">
        <v>81.23</v>
      </c>
      <c r="Y14" s="10">
        <v>82.06</v>
      </c>
      <c r="Z14" s="10">
        <v>79.66</v>
      </c>
      <c r="AA14" s="10">
        <v>82.03</v>
      </c>
      <c r="AB14" s="95">
        <v>1327200</v>
      </c>
      <c r="AC14" s="10">
        <v>81.77</v>
      </c>
      <c r="AD14" s="2">
        <f t="shared" si="0"/>
        <v>2.4000000000000057</v>
      </c>
      <c r="AE14" s="138">
        <f t="shared" si="1"/>
        <v>1.0878971442700003E-2</v>
      </c>
    </row>
    <row r="15" spans="1:40" x14ac:dyDescent="0.25">
      <c r="B15" s="4"/>
      <c r="C15" s="4"/>
      <c r="D15" s="3"/>
      <c r="E15" s="3"/>
      <c r="F15" s="3"/>
      <c r="G15" s="74"/>
      <c r="H15" s="185"/>
      <c r="I15" s="4"/>
      <c r="J15" s="4"/>
      <c r="K15" s="3"/>
      <c r="L15" s="4"/>
      <c r="W15" s="133">
        <v>42752</v>
      </c>
      <c r="X15" s="10">
        <v>80.680000000000007</v>
      </c>
      <c r="Y15" s="10">
        <v>83.17</v>
      </c>
      <c r="Z15" s="10">
        <v>80.52</v>
      </c>
      <c r="AA15" s="10">
        <v>81.150000000000006</v>
      </c>
      <c r="AB15" s="95">
        <v>1635300</v>
      </c>
      <c r="AC15" s="10">
        <v>80.89</v>
      </c>
      <c r="AD15" s="2">
        <f t="shared" si="0"/>
        <v>2.6500000000000057</v>
      </c>
      <c r="AE15" s="138">
        <f t="shared" si="1"/>
        <v>4.4703837079349551E-3</v>
      </c>
    </row>
    <row r="16" spans="1:40" x14ac:dyDescent="0.25">
      <c r="G16" s="1"/>
      <c r="H16" s="72"/>
      <c r="W16" s="133">
        <v>42748</v>
      </c>
      <c r="X16" s="10">
        <v>84.8</v>
      </c>
      <c r="Y16" s="10">
        <v>85.3</v>
      </c>
      <c r="Z16" s="10">
        <v>79.959999999999994</v>
      </c>
      <c r="AA16" s="10">
        <v>80.78</v>
      </c>
      <c r="AB16" s="95">
        <v>3152000</v>
      </c>
      <c r="AC16" s="10">
        <v>80.53</v>
      </c>
      <c r="AD16" s="2">
        <f t="shared" si="0"/>
        <v>5.3400000000000034</v>
      </c>
      <c r="AE16" s="138">
        <f t="shared" si="1"/>
        <v>-4.2335592817219658E-2</v>
      </c>
    </row>
    <row r="17" spans="1:31" x14ac:dyDescent="0.25">
      <c r="G17" s="1"/>
      <c r="H17" s="72"/>
      <c r="W17" s="133">
        <v>42747</v>
      </c>
      <c r="X17" s="10">
        <v>84.13</v>
      </c>
      <c r="Y17" s="10">
        <v>86.35</v>
      </c>
      <c r="Z17" s="10">
        <v>83.53</v>
      </c>
      <c r="AA17" s="10">
        <v>84.36</v>
      </c>
      <c r="AB17" s="95">
        <v>3726800</v>
      </c>
      <c r="AC17" s="10">
        <v>84.09</v>
      </c>
      <c r="AD17" s="2">
        <f t="shared" si="0"/>
        <v>2.8199999999999932</v>
      </c>
      <c r="AE17" s="138">
        <f t="shared" si="1"/>
        <v>-4.0270046192112385E-3</v>
      </c>
    </row>
    <row r="18" spans="1:31" x14ac:dyDescent="0.25">
      <c r="A18" s="32" t="s">
        <v>81</v>
      </c>
      <c r="B18" s="14"/>
      <c r="C18" s="14">
        <f>SUM(C2:C14)</f>
        <v>105</v>
      </c>
      <c r="D18" s="14"/>
      <c r="E18" s="14"/>
      <c r="F18" s="18">
        <f t="shared" ref="F18:M18" si="2">SUM(F2:F14)</f>
        <v>8405.9</v>
      </c>
      <c r="G18" s="14"/>
      <c r="H18" s="14">
        <f t="shared" si="2"/>
        <v>30</v>
      </c>
      <c r="I18" s="14"/>
      <c r="J18" s="14"/>
      <c r="K18" s="14">
        <f t="shared" si="2"/>
        <v>2447.9499999999998</v>
      </c>
      <c r="L18" s="14"/>
      <c r="M18" s="18">
        <f t="shared" si="2"/>
        <v>0</v>
      </c>
      <c r="W18" s="133">
        <v>42746</v>
      </c>
      <c r="X18" s="10">
        <v>81.650000000000006</v>
      </c>
      <c r="Y18" s="10">
        <v>85.3</v>
      </c>
      <c r="Z18" s="10">
        <v>81.5</v>
      </c>
      <c r="AA18" s="10">
        <v>84.7</v>
      </c>
      <c r="AB18" s="95">
        <v>4111200</v>
      </c>
      <c r="AC18" s="10">
        <v>84.43</v>
      </c>
      <c r="AD18" s="2">
        <f t="shared" si="0"/>
        <v>3.7999999999999972</v>
      </c>
      <c r="AE18" s="138">
        <f t="shared" si="1"/>
        <v>-3.1655006308062728E-2</v>
      </c>
    </row>
    <row r="19" spans="1:31" ht="15.75" thickBot="1" x14ac:dyDescent="0.3">
      <c r="A19" s="356" t="s">
        <v>198</v>
      </c>
      <c r="B19" s="357"/>
      <c r="C19" s="358" t="e">
        <f>SumByColor($A$19,C2:C17)</f>
        <v>#VALUE!</v>
      </c>
      <c r="D19" s="358"/>
      <c r="E19" s="358"/>
      <c r="F19" s="359" t="e">
        <f>SumByColor($A$19,F2:F17)</f>
        <v>#VALUE!</v>
      </c>
      <c r="G19" s="358"/>
      <c r="H19" s="358" t="e">
        <f>SumByColor($A$19,H2:H17)</f>
        <v>#VALUE!</v>
      </c>
      <c r="I19" s="358"/>
      <c r="J19" s="358"/>
      <c r="K19" s="359" t="e">
        <f>SumByColor($A$19,K2:K17)</f>
        <v>#VALUE!</v>
      </c>
      <c r="L19" s="358"/>
      <c r="M19" s="359" t="e">
        <f>SumByColor($A$19,M2:M17)</f>
        <v>#VALUE!</v>
      </c>
      <c r="N19" s="2"/>
      <c r="W19" s="133">
        <v>42745</v>
      </c>
      <c r="X19" s="10">
        <v>85.96</v>
      </c>
      <c r="Y19" s="10">
        <v>87.99</v>
      </c>
      <c r="Z19" s="10">
        <v>85.67</v>
      </c>
      <c r="AA19" s="10">
        <v>87.46</v>
      </c>
      <c r="AB19" s="95">
        <v>1121900</v>
      </c>
      <c r="AC19" s="10">
        <v>87.19</v>
      </c>
      <c r="AD19" s="2">
        <f t="shared" si="0"/>
        <v>2.3199999999999932</v>
      </c>
      <c r="AE19" s="138">
        <f t="shared" si="1"/>
        <v>1.5608619685498093E-2</v>
      </c>
    </row>
    <row r="20" spans="1:31" x14ac:dyDescent="0.25">
      <c r="W20" s="133">
        <v>42744</v>
      </c>
      <c r="X20" s="10">
        <v>87.84</v>
      </c>
      <c r="Y20" s="10">
        <v>88.1</v>
      </c>
      <c r="Z20" s="10">
        <v>85.25</v>
      </c>
      <c r="AA20" s="10">
        <v>86.12</v>
      </c>
      <c r="AB20" s="95">
        <v>1303100</v>
      </c>
      <c r="AC20" s="10">
        <v>85.85</v>
      </c>
      <c r="AD20" s="2">
        <f t="shared" si="0"/>
        <v>2.8499999999999943</v>
      </c>
      <c r="AE20" s="138">
        <f t="shared" si="1"/>
        <v>-2.3766204230156962E-2</v>
      </c>
    </row>
    <row r="21" spans="1:31" x14ac:dyDescent="0.25">
      <c r="W21" s="133">
        <v>42741</v>
      </c>
      <c r="X21" s="10">
        <v>88.01</v>
      </c>
      <c r="Y21" s="10">
        <v>88.53</v>
      </c>
      <c r="Z21" s="10">
        <v>87.12</v>
      </c>
      <c r="AA21" s="10">
        <v>88.22</v>
      </c>
      <c r="AB21" s="95">
        <v>1135800</v>
      </c>
      <c r="AC21" s="10">
        <v>87.94</v>
      </c>
      <c r="AD21" s="2">
        <f t="shared" si="0"/>
        <v>1.4099999999999966</v>
      </c>
      <c r="AE21" s="138">
        <f t="shared" si="1"/>
        <v>2.8509522180408808E-3</v>
      </c>
    </row>
    <row r="22" spans="1:31" x14ac:dyDescent="0.25">
      <c r="W22" s="133">
        <v>42740</v>
      </c>
      <c r="X22" s="10">
        <v>94.45</v>
      </c>
      <c r="Y22" s="10">
        <v>94.45</v>
      </c>
      <c r="Z22" s="10">
        <v>87.33</v>
      </c>
      <c r="AA22" s="10">
        <v>87.97</v>
      </c>
      <c r="AB22" s="95">
        <v>2754600</v>
      </c>
      <c r="AC22" s="10">
        <v>87.69</v>
      </c>
      <c r="AD22" s="2">
        <f t="shared" si="0"/>
        <v>7.1200000000000045</v>
      </c>
      <c r="AE22" s="138">
        <f t="shared" si="1"/>
        <v>-8.0142662330850767E-2</v>
      </c>
    </row>
    <row r="23" spans="1:31" x14ac:dyDescent="0.25">
      <c r="W23" s="133">
        <v>42739</v>
      </c>
      <c r="X23" s="10">
        <v>95.37</v>
      </c>
      <c r="Y23" s="10">
        <v>96.39</v>
      </c>
      <c r="Z23" s="10">
        <v>95.09</v>
      </c>
      <c r="AA23" s="10">
        <v>95.63</v>
      </c>
      <c r="AB23" s="95">
        <v>1050000</v>
      </c>
      <c r="AC23" s="10">
        <v>95.33</v>
      </c>
      <c r="AD23" s="2">
        <f t="shared" si="0"/>
        <v>1.2999999999999972</v>
      </c>
      <c r="AE23" s="138">
        <f t="shared" si="1"/>
        <v>7.2907861369400084E-3</v>
      </c>
    </row>
    <row r="24" spans="1:31" x14ac:dyDescent="0.25">
      <c r="B24" s="520" t="s">
        <v>114</v>
      </c>
      <c r="C24" s="520" t="s">
        <v>147</v>
      </c>
      <c r="D24" s="521" t="s">
        <v>146</v>
      </c>
      <c r="E24" s="522" t="s">
        <v>148</v>
      </c>
      <c r="F24" s="523" t="s">
        <v>65</v>
      </c>
      <c r="G24" s="524" t="s">
        <v>152</v>
      </c>
      <c r="H24" s="523" t="s">
        <v>88</v>
      </c>
      <c r="I24" s="523" t="s">
        <v>155</v>
      </c>
      <c r="W24" s="133">
        <v>42738</v>
      </c>
      <c r="X24" s="10">
        <v>94.79</v>
      </c>
      <c r="Y24" s="10">
        <v>95.92</v>
      </c>
      <c r="Z24" s="10">
        <v>93.97</v>
      </c>
      <c r="AA24" s="10">
        <v>94.94</v>
      </c>
      <c r="AB24" s="95">
        <v>1337700</v>
      </c>
      <c r="AC24" s="10">
        <v>94.64</v>
      </c>
      <c r="AD24" s="2">
        <f t="shared" si="0"/>
        <v>1.9500000000000028</v>
      </c>
      <c r="AE24" s="138">
        <f t="shared" si="1"/>
        <v>7.237122179651001E-3</v>
      </c>
    </row>
    <row r="25" spans="1:31" x14ac:dyDescent="0.25">
      <c r="B25" s="193">
        <v>42746</v>
      </c>
      <c r="C25" s="10">
        <v>30</v>
      </c>
      <c r="D25" s="40">
        <v>81.81</v>
      </c>
      <c r="E25" s="40">
        <v>84.7</v>
      </c>
      <c r="F25" s="40">
        <f t="shared" ref="F25" si="3">C25*(E25-D25)</f>
        <v>86.700000000000017</v>
      </c>
      <c r="G25" s="40">
        <f t="shared" ref="G25" si="4">D25*C25</f>
        <v>2454.3000000000002</v>
      </c>
      <c r="H25" s="231">
        <f t="shared" ref="H25" si="5">(E25-D25)/D25</f>
        <v>3.5325754797701996E-2</v>
      </c>
      <c r="I25" s="10"/>
      <c r="W25" s="133">
        <v>42734</v>
      </c>
      <c r="X25" s="10">
        <v>93.91</v>
      </c>
      <c r="Y25" s="10">
        <v>94.99</v>
      </c>
      <c r="Z25" s="10">
        <v>93.54</v>
      </c>
      <c r="AA25" s="10">
        <v>94.26</v>
      </c>
      <c r="AB25" s="95">
        <v>979500</v>
      </c>
      <c r="AC25" s="10">
        <v>93.96</v>
      </c>
      <c r="AD25" s="2">
        <f t="shared" si="0"/>
        <v>1.4499999999999886</v>
      </c>
      <c r="AE25" s="138">
        <f t="shared" si="1"/>
        <v>3.3101975440468223E-3</v>
      </c>
    </row>
    <row r="26" spans="1:31" x14ac:dyDescent="0.25">
      <c r="B26" s="193">
        <v>42748</v>
      </c>
      <c r="C26" s="10">
        <v>50</v>
      </c>
      <c r="D26" s="40">
        <v>81.09</v>
      </c>
      <c r="E26" s="40">
        <v>80.78</v>
      </c>
      <c r="F26" s="40">
        <f t="shared" ref="F26" si="6">C26*(E26-D26)</f>
        <v>-15.500000000000114</v>
      </c>
      <c r="G26" s="40">
        <f t="shared" ref="G26" si="7">D26*C26</f>
        <v>4054.5</v>
      </c>
      <c r="H26" s="231">
        <f t="shared" ref="H26" si="8">(E26-D26)/D26</f>
        <v>-3.8229128129239395E-3</v>
      </c>
      <c r="I26" s="10"/>
      <c r="W26" s="133">
        <v>42733</v>
      </c>
      <c r="X26" s="10">
        <v>93.74</v>
      </c>
      <c r="Y26" s="10">
        <v>95.04</v>
      </c>
      <c r="Z26" s="10">
        <v>93.4</v>
      </c>
      <c r="AA26" s="10">
        <v>93.95</v>
      </c>
      <c r="AB26" s="95">
        <v>709400</v>
      </c>
      <c r="AC26" s="10">
        <v>93.65</v>
      </c>
      <c r="AD26" s="2">
        <f t="shared" si="0"/>
        <v>1.6400000000000006</v>
      </c>
      <c r="AE26" s="138">
        <f t="shared" si="1"/>
        <v>2.5693180601649157E-3</v>
      </c>
    </row>
    <row r="27" spans="1:31" x14ac:dyDescent="0.25">
      <c r="B27" s="193">
        <v>42753</v>
      </c>
      <c r="C27" s="10">
        <v>20</v>
      </c>
      <c r="D27" s="40">
        <v>80.327500000000001</v>
      </c>
      <c r="E27" s="40">
        <v>81.599999999999994</v>
      </c>
      <c r="F27" s="40">
        <f t="shared" ref="F27" si="9">C27*(E27-D27)</f>
        <v>25.449999999999875</v>
      </c>
      <c r="G27" s="40">
        <f t="shared" ref="G27" si="10">D27*C27</f>
        <v>1606.55</v>
      </c>
      <c r="H27" s="231">
        <f t="shared" ref="H27" si="11">(E27-D27)/D27</f>
        <v>1.5841399271731272E-2</v>
      </c>
      <c r="I27" s="10"/>
      <c r="W27" s="133">
        <v>42732</v>
      </c>
      <c r="X27" s="10">
        <v>94.18</v>
      </c>
      <c r="Y27" s="10">
        <v>94.95</v>
      </c>
      <c r="Z27" s="10">
        <v>92.96</v>
      </c>
      <c r="AA27" s="10">
        <v>93.7</v>
      </c>
      <c r="AB27" s="95">
        <v>936000</v>
      </c>
      <c r="AC27" s="10">
        <v>93.41</v>
      </c>
      <c r="AD27" s="2">
        <f t="shared" si="0"/>
        <v>1.9900000000000091</v>
      </c>
      <c r="AE27" s="138">
        <f t="shared" si="1"/>
        <v>-1.0704345964462902E-4</v>
      </c>
    </row>
    <row r="28" spans="1:31" x14ac:dyDescent="0.25">
      <c r="A28" t="s">
        <v>431</v>
      </c>
      <c r="B28" s="193">
        <v>42754</v>
      </c>
      <c r="C28" s="10">
        <v>50</v>
      </c>
      <c r="D28" s="40">
        <v>80.659000000000006</v>
      </c>
      <c r="E28" s="40">
        <v>80.77</v>
      </c>
      <c r="F28" s="40">
        <f t="shared" ref="F28" si="12">C28*(E28-D28)</f>
        <v>5.5499999999994998</v>
      </c>
      <c r="G28" s="40">
        <f t="shared" ref="G28" si="13">D28*C28</f>
        <v>4032.9500000000003</v>
      </c>
      <c r="H28" s="231">
        <f t="shared" ref="H28" si="14">(E28-D28)/D28</f>
        <v>1.3761638502831674E-3</v>
      </c>
      <c r="I28" s="10"/>
      <c r="W28" s="133">
        <v>42731</v>
      </c>
      <c r="X28" s="10">
        <v>93.14</v>
      </c>
      <c r="Y28" s="10">
        <v>95</v>
      </c>
      <c r="Z28" s="10">
        <v>93.14</v>
      </c>
      <c r="AA28" s="10">
        <v>93.71</v>
      </c>
      <c r="AB28" s="95">
        <v>1132400</v>
      </c>
      <c r="AC28" s="10">
        <v>93.42</v>
      </c>
      <c r="AD28" s="2">
        <f t="shared" si="0"/>
        <v>1.8599999999999994</v>
      </c>
      <c r="AE28" s="138">
        <f t="shared" si="1"/>
        <v>5.3809728798965839E-3</v>
      </c>
    </row>
    <row r="29" spans="1:31" x14ac:dyDescent="0.25">
      <c r="A29" t="s">
        <v>431</v>
      </c>
      <c r="B29" s="193">
        <v>42760</v>
      </c>
      <c r="C29" s="10">
        <v>50</v>
      </c>
      <c r="D29" s="40">
        <v>80.659000000000006</v>
      </c>
      <c r="E29" s="40">
        <v>82.98</v>
      </c>
      <c r="F29" s="40">
        <f t="shared" ref="F29" si="15">C29*(E29-D29)</f>
        <v>116.0499999999999</v>
      </c>
      <c r="G29" s="40">
        <f t="shared" ref="G29" si="16">D29*C29</f>
        <v>4032.9500000000003</v>
      </c>
      <c r="H29" s="231">
        <f t="shared" ref="H29" si="17">(E29-D29)/D29</f>
        <v>2.8775462130698346E-2</v>
      </c>
      <c r="I29" s="10"/>
      <c r="W29" s="133">
        <v>42727</v>
      </c>
      <c r="X29" s="10">
        <v>93.71</v>
      </c>
      <c r="Y29" s="10">
        <v>94.78</v>
      </c>
      <c r="Z29" s="10">
        <v>92.65</v>
      </c>
      <c r="AA29" s="10">
        <v>93.21</v>
      </c>
      <c r="AB29" s="95">
        <v>948000</v>
      </c>
      <c r="AC29" s="10">
        <v>92.92</v>
      </c>
      <c r="AD29" s="2">
        <f t="shared" si="0"/>
        <v>2.1299999999999955</v>
      </c>
      <c r="AE29" s="138">
        <f t="shared" si="1"/>
        <v>-2.040597143163958E-3</v>
      </c>
    </row>
    <row r="30" spans="1:31" x14ac:dyDescent="0.25">
      <c r="A30" t="s">
        <v>495</v>
      </c>
      <c r="B30" s="193">
        <v>42766</v>
      </c>
      <c r="C30" s="10">
        <v>75</v>
      </c>
      <c r="D30" s="40">
        <v>79.439300000000003</v>
      </c>
      <c r="E30" s="40">
        <v>77.67</v>
      </c>
      <c r="F30" s="40">
        <f t="shared" ref="F30" si="18">C30*(E30-D30)</f>
        <v>-132.6975000000001</v>
      </c>
      <c r="G30" s="40">
        <f t="shared" ref="G30" si="19">D30*C30</f>
        <v>5957.9475000000002</v>
      </c>
      <c r="H30" s="231">
        <f t="shared" ref="H30" si="20">(E30-D30)/D30</f>
        <v>-2.2272351342471561E-2</v>
      </c>
      <c r="I30" s="10"/>
      <c r="W30" s="133">
        <v>42726</v>
      </c>
      <c r="X30" s="10">
        <v>94.28</v>
      </c>
      <c r="Y30" s="10">
        <v>95.45</v>
      </c>
      <c r="Z30" s="10">
        <v>93.21</v>
      </c>
      <c r="AA30" s="10">
        <v>93.4</v>
      </c>
      <c r="AB30" s="95">
        <v>1210700</v>
      </c>
      <c r="AC30" s="10">
        <v>93.11</v>
      </c>
      <c r="AD30" s="2">
        <f t="shared" si="0"/>
        <v>2.2400000000000091</v>
      </c>
      <c r="AE30" s="138">
        <f t="shared" si="1"/>
        <v>-1.4291763709506577E-2</v>
      </c>
    </row>
    <row r="31" spans="1:31" x14ac:dyDescent="0.25">
      <c r="B31" s="10"/>
      <c r="C31" s="10"/>
      <c r="D31" s="40"/>
      <c r="E31" s="40"/>
      <c r="F31" s="40"/>
      <c r="G31" s="10"/>
      <c r="H31" s="10"/>
      <c r="I31" s="10"/>
      <c r="W31" s="133">
        <v>42725</v>
      </c>
      <c r="X31" s="10">
        <v>95.05</v>
      </c>
      <c r="Y31" s="10">
        <v>95.61</v>
      </c>
      <c r="Z31" s="10">
        <v>94.06</v>
      </c>
      <c r="AA31" s="10">
        <v>94.76</v>
      </c>
      <c r="AB31" s="95">
        <v>679400</v>
      </c>
      <c r="AC31" s="10">
        <v>94.46</v>
      </c>
      <c r="AD31" s="2">
        <f t="shared" si="0"/>
        <v>1.5499999999999972</v>
      </c>
      <c r="AE31" s="138">
        <f t="shared" si="1"/>
        <v>-4.4266441821247948E-3</v>
      </c>
    </row>
    <row r="32" spans="1:31" x14ac:dyDescent="0.25">
      <c r="B32" s="10"/>
      <c r="C32" s="10"/>
      <c r="D32" s="40"/>
      <c r="E32" s="40"/>
      <c r="F32" s="40"/>
      <c r="G32" s="10"/>
      <c r="H32" s="10"/>
      <c r="I32" s="10"/>
      <c r="W32" s="133">
        <v>42724</v>
      </c>
      <c r="X32" s="10">
        <v>95</v>
      </c>
      <c r="Y32" s="10">
        <v>96.2</v>
      </c>
      <c r="Z32" s="10">
        <v>94.47</v>
      </c>
      <c r="AA32" s="10">
        <v>95.18</v>
      </c>
      <c r="AB32" s="95">
        <v>596000</v>
      </c>
      <c r="AC32" s="10">
        <v>94.88</v>
      </c>
      <c r="AD32" s="2">
        <f t="shared" si="0"/>
        <v>1.730000000000004</v>
      </c>
      <c r="AE32" s="138">
        <f t="shared" si="1"/>
        <v>8.1819147805759496E-3</v>
      </c>
    </row>
    <row r="33" spans="2:31" x14ac:dyDescent="0.25">
      <c r="B33" s="10"/>
      <c r="C33" s="10"/>
      <c r="D33" s="40"/>
      <c r="E33" s="40"/>
      <c r="F33" s="40"/>
      <c r="G33" s="10"/>
      <c r="H33" s="10"/>
      <c r="I33" s="10"/>
      <c r="W33" s="133">
        <v>42723</v>
      </c>
      <c r="X33" s="10">
        <v>94</v>
      </c>
      <c r="Y33" s="10">
        <v>95.81</v>
      </c>
      <c r="Z33" s="10">
        <v>94</v>
      </c>
      <c r="AA33" s="10">
        <v>94.41</v>
      </c>
      <c r="AB33" s="95">
        <v>836500</v>
      </c>
      <c r="AC33" s="10">
        <v>94.11</v>
      </c>
      <c r="AD33" s="2">
        <f t="shared" si="0"/>
        <v>1.8100000000000023</v>
      </c>
      <c r="AE33" s="138">
        <f t="shared" si="1"/>
        <v>3.6258931427961549E-3</v>
      </c>
    </row>
    <row r="34" spans="2:31" x14ac:dyDescent="0.25">
      <c r="B34" s="10"/>
      <c r="C34" s="10"/>
      <c r="D34" s="40"/>
      <c r="E34" s="40"/>
      <c r="F34" s="40"/>
      <c r="G34" s="10"/>
      <c r="H34" s="10"/>
      <c r="I34" s="10"/>
      <c r="W34" s="133">
        <v>42720</v>
      </c>
      <c r="X34" s="10">
        <v>94.97</v>
      </c>
      <c r="Y34" s="10">
        <v>95.87</v>
      </c>
      <c r="Z34" s="10">
        <v>93.25</v>
      </c>
      <c r="AA34" s="10">
        <v>94.07</v>
      </c>
      <c r="AB34" s="95">
        <v>2840300</v>
      </c>
      <c r="AC34" s="10">
        <v>93.77</v>
      </c>
      <c r="AD34" s="2">
        <f t="shared" si="0"/>
        <v>2.6200000000000045</v>
      </c>
      <c r="AE34" s="138">
        <f t="shared" si="1"/>
        <v>-1.0029560810810856E-2</v>
      </c>
    </row>
    <row r="35" spans="2:31" x14ac:dyDescent="0.25">
      <c r="B35" s="10"/>
      <c r="C35" s="10"/>
      <c r="D35" s="40"/>
      <c r="E35" s="40"/>
      <c r="F35" s="40"/>
      <c r="G35" s="10"/>
      <c r="H35" s="10"/>
      <c r="I35" s="10"/>
      <c r="W35" s="133">
        <v>42719</v>
      </c>
      <c r="X35" s="10">
        <v>95.31</v>
      </c>
      <c r="Y35" s="10">
        <v>96.75</v>
      </c>
      <c r="Z35" s="10">
        <v>94.82</v>
      </c>
      <c r="AA35" s="10">
        <v>95.02</v>
      </c>
      <c r="AB35" s="95">
        <v>849900</v>
      </c>
      <c r="AC35" s="10">
        <v>94.72</v>
      </c>
      <c r="AD35" s="2">
        <f t="shared" si="0"/>
        <v>1.9300000000000068</v>
      </c>
      <c r="AE35" s="138">
        <f t="shared" si="1"/>
        <v>5.2815041723874856E-4</v>
      </c>
    </row>
    <row r="36" spans="2:31" x14ac:dyDescent="0.25">
      <c r="B36" s="10"/>
      <c r="C36" s="10"/>
      <c r="D36" s="40"/>
      <c r="E36" s="40"/>
      <c r="F36" s="40"/>
      <c r="G36" s="10"/>
      <c r="H36" s="10"/>
      <c r="I36" s="10"/>
      <c r="W36" s="133">
        <v>42718</v>
      </c>
      <c r="X36" s="10">
        <v>96.58</v>
      </c>
      <c r="Y36" s="10">
        <v>96.87</v>
      </c>
      <c r="Z36" s="10">
        <v>94.4</v>
      </c>
      <c r="AA36" s="10">
        <v>94.97</v>
      </c>
      <c r="AB36" s="95">
        <v>961700</v>
      </c>
      <c r="AC36" s="10">
        <v>94.67</v>
      </c>
      <c r="AD36" s="2">
        <f t="shared" si="0"/>
        <v>2.4699999999999989</v>
      </c>
      <c r="AE36" s="138">
        <f t="shared" si="1"/>
        <v>-1.2516950036507768E-2</v>
      </c>
    </row>
    <row r="37" spans="2:31" x14ac:dyDescent="0.25">
      <c r="W37" s="133">
        <v>42717</v>
      </c>
      <c r="X37" s="10">
        <v>96.47</v>
      </c>
      <c r="Y37" s="10">
        <v>97.04</v>
      </c>
      <c r="Z37" s="10">
        <v>94.33</v>
      </c>
      <c r="AA37" s="10">
        <v>96.17</v>
      </c>
      <c r="AB37" s="95">
        <v>900700</v>
      </c>
      <c r="AC37" s="10">
        <v>95.87</v>
      </c>
      <c r="AD37" s="2">
        <f t="shared" si="0"/>
        <v>2.710000000000008</v>
      </c>
      <c r="AE37" s="138">
        <f t="shared" si="1"/>
        <v>-2.289520241440357E-3</v>
      </c>
    </row>
    <row r="38" spans="2:31" x14ac:dyDescent="0.25">
      <c r="B38" s="380">
        <v>42516</v>
      </c>
      <c r="C38" s="381">
        <v>20</v>
      </c>
      <c r="D38" s="382">
        <v>96.2</v>
      </c>
      <c r="E38" s="382">
        <v>97</v>
      </c>
      <c r="F38" s="382">
        <f t="shared" ref="F38:F46" si="21">C38*(E38-D38)</f>
        <v>15.999999999999943</v>
      </c>
      <c r="G38" s="382">
        <f t="shared" ref="G38:G46" si="22">D38*C38</f>
        <v>1924</v>
      </c>
      <c r="H38" s="383">
        <f t="shared" ref="H38:H46" si="23">(E38-D38)/D38</f>
        <v>8.316008316008287E-3</v>
      </c>
      <c r="I38" s="383"/>
      <c r="W38" s="133">
        <v>42716</v>
      </c>
      <c r="X38" s="10">
        <v>98.49</v>
      </c>
      <c r="Y38" s="10">
        <v>98.72</v>
      </c>
      <c r="Z38" s="10">
        <v>96.22</v>
      </c>
      <c r="AA38" s="10">
        <v>96.39</v>
      </c>
      <c r="AB38" s="95">
        <v>956900</v>
      </c>
      <c r="AC38" s="10">
        <v>96.09</v>
      </c>
      <c r="AD38" s="2">
        <f t="shared" si="0"/>
        <v>2.5</v>
      </c>
      <c r="AE38" s="138">
        <f t="shared" si="1"/>
        <v>-2.3574839955288973E-2</v>
      </c>
    </row>
    <row r="39" spans="2:31" ht="20.25" thickBot="1" x14ac:dyDescent="0.35">
      <c r="B39" s="380">
        <v>42522</v>
      </c>
      <c r="C39" s="381">
        <v>20</v>
      </c>
      <c r="D39" s="382">
        <v>96.2</v>
      </c>
      <c r="E39" s="382">
        <v>98.73</v>
      </c>
      <c r="F39" s="382">
        <f t="shared" si="21"/>
        <v>50.600000000000023</v>
      </c>
      <c r="G39" s="382">
        <f t="shared" si="22"/>
        <v>1924</v>
      </c>
      <c r="H39" s="383">
        <f t="shared" si="23"/>
        <v>2.6299376299376311E-2</v>
      </c>
      <c r="I39" s="383"/>
      <c r="T39" s="112" t="s">
        <v>113</v>
      </c>
      <c r="U39" s="9"/>
      <c r="W39" s="133">
        <v>42713</v>
      </c>
      <c r="X39" s="10">
        <v>97.7</v>
      </c>
      <c r="Y39" s="10">
        <v>98.88</v>
      </c>
      <c r="Z39" s="10">
        <v>96.34</v>
      </c>
      <c r="AA39" s="10">
        <v>98.72</v>
      </c>
      <c r="AB39" s="95">
        <v>1782000</v>
      </c>
      <c r="AC39" s="10">
        <v>98.41</v>
      </c>
      <c r="AD39" s="2">
        <f t="shared" si="0"/>
        <v>2.539999999999992</v>
      </c>
      <c r="AE39" s="138">
        <f t="shared" si="1"/>
        <v>6.8549212195621045E-3</v>
      </c>
    </row>
    <row r="40" spans="2:31" ht="15.75" thickTop="1" x14ac:dyDescent="0.25">
      <c r="B40" s="380">
        <v>42527</v>
      </c>
      <c r="C40" s="381">
        <v>45</v>
      </c>
      <c r="D40" s="382">
        <v>90.305599999999998</v>
      </c>
      <c r="E40" s="382">
        <v>86.39</v>
      </c>
      <c r="F40" s="382">
        <f t="shared" si="21"/>
        <v>-176.20199999999988</v>
      </c>
      <c r="G40" s="382">
        <f t="shared" si="22"/>
        <v>4063.752</v>
      </c>
      <c r="H40" s="383">
        <f t="shared" si="23"/>
        <v>-4.3359437288495929E-2</v>
      </c>
      <c r="I40" s="384"/>
      <c r="T40" s="139" t="s">
        <v>98</v>
      </c>
      <c r="U40" s="367">
        <v>77.010000000000005</v>
      </c>
      <c r="W40" s="133">
        <v>42712</v>
      </c>
      <c r="X40" s="10">
        <v>95</v>
      </c>
      <c r="Y40" s="10">
        <v>99.19</v>
      </c>
      <c r="Z40" s="10">
        <v>94.2</v>
      </c>
      <c r="AA40" s="10">
        <v>98.05</v>
      </c>
      <c r="AB40" s="95">
        <v>1529900</v>
      </c>
      <c r="AC40" s="10">
        <v>97.74</v>
      </c>
      <c r="AD40" s="2">
        <f t="shared" si="0"/>
        <v>4.9899999999999949</v>
      </c>
      <c r="AE40" s="138">
        <f t="shared" si="1"/>
        <v>2.8950415833245646E-2</v>
      </c>
    </row>
    <row r="41" spans="2:31" x14ac:dyDescent="0.25">
      <c r="B41" s="380">
        <v>42529</v>
      </c>
      <c r="C41" s="381">
        <v>25</v>
      </c>
      <c r="D41" s="382">
        <v>91.3596</v>
      </c>
      <c r="E41" s="382">
        <v>89.31</v>
      </c>
      <c r="F41" s="382">
        <f t="shared" si="21"/>
        <v>-51.239999999999952</v>
      </c>
      <c r="G41" s="382">
        <f t="shared" si="22"/>
        <v>2283.9899999999998</v>
      </c>
      <c r="H41" s="383">
        <f t="shared" si="23"/>
        <v>-2.2434423968581276E-2</v>
      </c>
      <c r="I41" s="383"/>
      <c r="T41" s="108" t="s">
        <v>99</v>
      </c>
      <c r="U41" s="368">
        <v>77.25</v>
      </c>
      <c r="W41" s="133">
        <v>42711</v>
      </c>
      <c r="X41" s="10">
        <v>94.5</v>
      </c>
      <c r="Y41" s="10">
        <v>95.55</v>
      </c>
      <c r="Z41" s="10">
        <v>93.56</v>
      </c>
      <c r="AA41" s="10">
        <v>95.29</v>
      </c>
      <c r="AB41" s="95">
        <v>1253700</v>
      </c>
      <c r="AC41" s="10">
        <v>94.99</v>
      </c>
      <c r="AD41" s="2">
        <f t="shared" si="0"/>
        <v>1.9899999999999949</v>
      </c>
      <c r="AE41" s="138">
        <f t="shared" si="1"/>
        <v>1.3983774551665107E-2</v>
      </c>
    </row>
    <row r="42" spans="2:31" ht="20.25" thickBot="1" x14ac:dyDescent="0.35">
      <c r="B42" s="380">
        <v>42534</v>
      </c>
      <c r="C42" s="381">
        <v>25</v>
      </c>
      <c r="D42" s="382">
        <v>91.3596</v>
      </c>
      <c r="E42" s="382">
        <v>85.51</v>
      </c>
      <c r="F42" s="382">
        <f t="shared" si="21"/>
        <v>-146.2399999999999</v>
      </c>
      <c r="G42" s="382">
        <f t="shared" si="22"/>
        <v>2283.9899999999998</v>
      </c>
      <c r="H42" s="383">
        <f t="shared" si="23"/>
        <v>-6.402830134983073E-2</v>
      </c>
      <c r="I42" s="383"/>
      <c r="O42" s="638" t="s">
        <v>78</v>
      </c>
      <c r="P42" s="638"/>
      <c r="T42" s="108" t="s">
        <v>100</v>
      </c>
      <c r="U42" s="368" t="s">
        <v>129</v>
      </c>
      <c r="W42" s="133">
        <v>42710</v>
      </c>
      <c r="X42" s="10">
        <v>92.25</v>
      </c>
      <c r="Y42" s="10">
        <v>94.22</v>
      </c>
      <c r="Z42" s="10">
        <v>92.25</v>
      </c>
      <c r="AA42" s="10">
        <v>93.98</v>
      </c>
      <c r="AB42" s="95">
        <v>1871600</v>
      </c>
      <c r="AC42" s="10">
        <v>93.68</v>
      </c>
      <c r="AD42" s="2">
        <f t="shared" si="0"/>
        <v>1.9699999999999989</v>
      </c>
      <c r="AE42" s="138">
        <f t="shared" si="1"/>
        <v>3.5350830208893402E-3</v>
      </c>
    </row>
    <row r="43" spans="2:31" ht="15.75" thickTop="1" x14ac:dyDescent="0.25">
      <c r="B43" s="380">
        <v>42535</v>
      </c>
      <c r="C43" s="381">
        <v>50</v>
      </c>
      <c r="D43" s="382">
        <v>87.0548</v>
      </c>
      <c r="E43" s="382">
        <v>83.87</v>
      </c>
      <c r="F43" s="382">
        <f t="shared" si="21"/>
        <v>-159.23999999999978</v>
      </c>
      <c r="G43" s="382">
        <f t="shared" si="22"/>
        <v>4352.74</v>
      </c>
      <c r="H43" s="383">
        <f t="shared" si="23"/>
        <v>-3.6583852929419118E-2</v>
      </c>
      <c r="I43" s="383"/>
      <c r="O43" s="83">
        <v>1.1000000000000001</v>
      </c>
      <c r="P43" s="83">
        <f>O43*$Q$4</f>
        <v>83.93</v>
      </c>
      <c r="Q43" s="2"/>
      <c r="T43" s="108" t="s">
        <v>101</v>
      </c>
      <c r="U43" s="368" t="s">
        <v>129</v>
      </c>
      <c r="W43" s="133">
        <v>42709</v>
      </c>
      <c r="X43" s="10">
        <v>92.7</v>
      </c>
      <c r="Y43" s="10">
        <v>94.13</v>
      </c>
      <c r="Z43" s="10">
        <v>92.1</v>
      </c>
      <c r="AA43" s="10">
        <v>93.64</v>
      </c>
      <c r="AB43" s="95">
        <v>1598700</v>
      </c>
      <c r="AC43" s="10">
        <v>93.35</v>
      </c>
      <c r="AD43" s="2">
        <f t="shared" si="0"/>
        <v>2.0300000000000011</v>
      </c>
      <c r="AE43" s="138">
        <f t="shared" si="1"/>
        <v>1.7106123338417989E-2</v>
      </c>
    </row>
    <row r="44" spans="2:31" x14ac:dyDescent="0.25">
      <c r="B44" s="380">
        <v>42541</v>
      </c>
      <c r="C44" s="381">
        <v>25</v>
      </c>
      <c r="D44" s="382">
        <v>87.521600000000007</v>
      </c>
      <c r="E44" s="382">
        <v>86.01</v>
      </c>
      <c r="F44" s="382">
        <f t="shared" si="21"/>
        <v>-37.790000000000035</v>
      </c>
      <c r="G44" s="382">
        <f t="shared" si="22"/>
        <v>2188.04</v>
      </c>
      <c r="H44" s="383">
        <f t="shared" si="23"/>
        <v>-1.7271165060967823E-2</v>
      </c>
      <c r="I44" s="383"/>
      <c r="O44" s="83">
        <v>1.0900000000000001</v>
      </c>
      <c r="P44" s="83">
        <f t="shared" ref="P44:P63" si="24">O44*$Q$4</f>
        <v>83.167000000000002</v>
      </c>
      <c r="Q44" s="2"/>
      <c r="T44" s="108" t="s">
        <v>102</v>
      </c>
      <c r="U44" s="368">
        <v>108.07</v>
      </c>
      <c r="W44" s="133">
        <v>42706</v>
      </c>
      <c r="X44" s="10">
        <v>91.62</v>
      </c>
      <c r="Y44" s="10">
        <v>92.98</v>
      </c>
      <c r="Z44" s="10">
        <v>90.83</v>
      </c>
      <c r="AA44" s="10">
        <v>92.07</v>
      </c>
      <c r="AB44" s="95">
        <v>1459000</v>
      </c>
      <c r="AC44" s="10">
        <v>91.78</v>
      </c>
      <c r="AD44" s="2">
        <f t="shared" si="0"/>
        <v>2.1500000000000057</v>
      </c>
      <c r="AE44" s="138">
        <f t="shared" si="1"/>
        <v>9.0149516270889851E-3</v>
      </c>
    </row>
    <row r="45" spans="2:31" x14ac:dyDescent="0.25">
      <c r="B45" s="380">
        <v>42546</v>
      </c>
      <c r="C45" s="381">
        <v>25</v>
      </c>
      <c r="D45" s="382">
        <v>87.521600000000007</v>
      </c>
      <c r="E45" s="382">
        <v>82.02</v>
      </c>
      <c r="F45" s="382">
        <f t="shared" si="21"/>
        <v>-137.54000000000025</v>
      </c>
      <c r="G45" s="382">
        <f t="shared" si="22"/>
        <v>2188.04</v>
      </c>
      <c r="H45" s="383">
        <f t="shared" si="23"/>
        <v>-6.285991115336112E-2</v>
      </c>
      <c r="I45" s="383"/>
      <c r="O45" s="83">
        <v>1.08</v>
      </c>
      <c r="P45" s="83">
        <f t="shared" si="24"/>
        <v>82.403999999999996</v>
      </c>
      <c r="Q45" s="2"/>
      <c r="T45" s="108" t="s">
        <v>103</v>
      </c>
      <c r="U45" s="368">
        <v>1.07236</v>
      </c>
      <c r="W45" s="133">
        <v>42705</v>
      </c>
      <c r="X45" s="10">
        <v>91.83</v>
      </c>
      <c r="Y45" s="10">
        <v>93.09</v>
      </c>
      <c r="Z45" s="10">
        <v>91.07</v>
      </c>
      <c r="AA45" s="10">
        <v>91.25</v>
      </c>
      <c r="AB45" s="95">
        <v>1237200</v>
      </c>
      <c r="AC45" s="10">
        <v>90.96</v>
      </c>
      <c r="AD45" s="2">
        <f t="shared" si="0"/>
        <v>2.0200000000000102</v>
      </c>
      <c r="AE45" s="138">
        <f t="shared" si="1"/>
        <v>-4.3956043956050461E-4</v>
      </c>
    </row>
    <row r="46" spans="2:31" x14ac:dyDescent="0.25">
      <c r="B46" s="380">
        <v>42548</v>
      </c>
      <c r="C46" s="381">
        <v>75</v>
      </c>
      <c r="D46" s="382">
        <v>81.493899999999996</v>
      </c>
      <c r="E46" s="382">
        <v>79.260000000000005</v>
      </c>
      <c r="F46" s="382">
        <f t="shared" si="21"/>
        <v>-167.54249999999934</v>
      </c>
      <c r="G46" s="382">
        <f t="shared" si="22"/>
        <v>6112.0424999999996</v>
      </c>
      <c r="H46" s="383">
        <f t="shared" si="23"/>
        <v>-2.7411867636718715E-2</v>
      </c>
      <c r="I46" s="383"/>
      <c r="O46" s="83">
        <v>1.07</v>
      </c>
      <c r="P46" s="83">
        <f t="shared" si="24"/>
        <v>81.641000000000005</v>
      </c>
      <c r="Q46" s="2"/>
      <c r="T46" s="108" t="s">
        <v>104</v>
      </c>
      <c r="U46" s="368" t="s">
        <v>385</v>
      </c>
      <c r="W46" s="133">
        <v>42704</v>
      </c>
      <c r="X46" s="10">
        <v>91.66</v>
      </c>
      <c r="Y46" s="10">
        <v>93.63</v>
      </c>
      <c r="Z46" s="10">
        <v>90.67</v>
      </c>
      <c r="AA46" s="10">
        <v>91.29</v>
      </c>
      <c r="AB46" s="95">
        <v>1337600</v>
      </c>
      <c r="AC46" s="10">
        <v>91</v>
      </c>
      <c r="AD46" s="2">
        <f t="shared" si="0"/>
        <v>2.9599999999999937</v>
      </c>
      <c r="AE46" s="138">
        <f t="shared" si="1"/>
        <v>-5.7904512181798928E-3</v>
      </c>
    </row>
    <row r="47" spans="2:31" x14ac:dyDescent="0.25">
      <c r="B47" s="380">
        <v>42549</v>
      </c>
      <c r="C47" s="381">
        <v>75</v>
      </c>
      <c r="D47" s="382">
        <v>81.493899999999996</v>
      </c>
      <c r="E47" s="382">
        <v>80.72</v>
      </c>
      <c r="F47" s="382">
        <f t="shared" ref="F47:F48" si="25">C47*(E47-D47)</f>
        <v>-58.042499999999819</v>
      </c>
      <c r="G47" s="382">
        <f t="shared" ref="G47:G48" si="26">D47*C47</f>
        <v>6112.0424999999996</v>
      </c>
      <c r="H47" s="383">
        <f t="shared" ref="H47:H48" si="27">(E47-D47)/D47</f>
        <v>-9.4964162961890114E-3</v>
      </c>
      <c r="I47" s="383"/>
      <c r="O47" s="83">
        <v>1.06</v>
      </c>
      <c r="P47" s="83">
        <f t="shared" si="24"/>
        <v>80.878</v>
      </c>
      <c r="Q47" s="2"/>
      <c r="T47" s="108"/>
      <c r="U47" s="368"/>
      <c r="W47" s="133">
        <v>42703</v>
      </c>
      <c r="X47" s="10">
        <v>92.97</v>
      </c>
      <c r="Y47" s="10">
        <v>94</v>
      </c>
      <c r="Z47" s="10">
        <v>91.57</v>
      </c>
      <c r="AA47" s="10">
        <v>91.82</v>
      </c>
      <c r="AB47" s="95">
        <v>1398000</v>
      </c>
      <c r="AC47" s="10">
        <v>91.53</v>
      </c>
      <c r="AD47" s="2">
        <f t="shared" si="0"/>
        <v>2.4300000000000068</v>
      </c>
      <c r="AE47" s="138">
        <f t="shared" si="1"/>
        <v>-4.5676998368678889E-3</v>
      </c>
    </row>
    <row r="48" spans="2:31" x14ac:dyDescent="0.25">
      <c r="B48" s="380">
        <v>42552</v>
      </c>
      <c r="C48" s="381">
        <v>55</v>
      </c>
      <c r="D48" s="382">
        <v>80.590500000000006</v>
      </c>
      <c r="E48" s="382">
        <v>84.15</v>
      </c>
      <c r="F48" s="382">
        <f t="shared" si="25"/>
        <v>195.77249999999998</v>
      </c>
      <c r="G48" s="382">
        <f t="shared" si="26"/>
        <v>4432.4775</v>
      </c>
      <c r="H48" s="383">
        <f t="shared" si="27"/>
        <v>4.4167736892065435E-2</v>
      </c>
      <c r="I48" s="383"/>
      <c r="O48" s="83">
        <v>1.05</v>
      </c>
      <c r="P48" s="83">
        <f t="shared" si="24"/>
        <v>80.114999999999995</v>
      </c>
      <c r="Q48" s="2"/>
      <c r="T48" s="108" t="s">
        <v>105</v>
      </c>
      <c r="U48" s="368" t="s">
        <v>537</v>
      </c>
      <c r="W48" s="133">
        <v>42702</v>
      </c>
      <c r="X48" s="10">
        <v>92.93</v>
      </c>
      <c r="Y48" s="10">
        <v>94.49</v>
      </c>
      <c r="Z48" s="10">
        <v>92</v>
      </c>
      <c r="AA48" s="10">
        <v>92.24</v>
      </c>
      <c r="AB48" s="95">
        <v>1149100</v>
      </c>
      <c r="AC48" s="10">
        <v>91.95</v>
      </c>
      <c r="AD48" s="2">
        <f t="shared" si="0"/>
        <v>2.4899999999999949</v>
      </c>
      <c r="AE48" s="138">
        <f t="shared" si="1"/>
        <v>-8.9458935115326321E-3</v>
      </c>
    </row>
    <row r="49" spans="2:31" x14ac:dyDescent="0.25">
      <c r="B49" s="380">
        <v>42556</v>
      </c>
      <c r="C49" s="381">
        <v>55</v>
      </c>
      <c r="D49" s="382">
        <v>80.590500000000006</v>
      </c>
      <c r="E49" s="382">
        <v>81.290000000000006</v>
      </c>
      <c r="F49" s="382">
        <f t="shared" ref="F49" si="28">C49*(E49-D49)</f>
        <v>38.472500000000025</v>
      </c>
      <c r="G49" s="382">
        <f t="shared" ref="G49" si="29">D49*C49</f>
        <v>4432.4775</v>
      </c>
      <c r="H49" s="383">
        <f t="shared" ref="H49" si="30">(E49-D49)/D49</f>
        <v>8.6796830891978632E-3</v>
      </c>
      <c r="I49" s="383"/>
      <c r="O49" s="83">
        <v>1.04</v>
      </c>
      <c r="P49" s="83">
        <f t="shared" si="24"/>
        <v>79.352000000000004</v>
      </c>
      <c r="Q49" s="2"/>
      <c r="T49" s="108" t="s">
        <v>106</v>
      </c>
      <c r="U49" s="368" t="s">
        <v>400</v>
      </c>
      <c r="W49" s="133">
        <v>42699</v>
      </c>
      <c r="X49" s="10">
        <v>94.29</v>
      </c>
      <c r="Y49" s="10">
        <v>94.93</v>
      </c>
      <c r="Z49" s="10">
        <v>92.53</v>
      </c>
      <c r="AA49" s="10">
        <v>93.07</v>
      </c>
      <c r="AB49" s="95">
        <v>490000</v>
      </c>
      <c r="AC49" s="10">
        <v>92.78</v>
      </c>
      <c r="AD49" s="2">
        <f t="shared" si="0"/>
        <v>2.4000000000000057</v>
      </c>
      <c r="AE49" s="138">
        <f t="shared" si="1"/>
        <v>-8.4428769904882905E-3</v>
      </c>
    </row>
    <row r="50" spans="2:31" x14ac:dyDescent="0.25">
      <c r="B50" s="380">
        <v>42563</v>
      </c>
      <c r="C50" s="381">
        <v>55</v>
      </c>
      <c r="D50" s="382">
        <v>80.590500000000006</v>
      </c>
      <c r="E50" s="382">
        <v>89.07</v>
      </c>
      <c r="F50" s="382">
        <f t="shared" ref="F50" si="31">C50*(E50-D50)</f>
        <v>466.37249999999932</v>
      </c>
      <c r="G50" s="382">
        <f t="shared" ref="G50" si="32">D50*C50</f>
        <v>4432.4775</v>
      </c>
      <c r="H50" s="383">
        <f t="shared" ref="H50" si="33">(E50-D50)/D50</f>
        <v>0.10521711616133399</v>
      </c>
      <c r="I50" s="383"/>
      <c r="O50" s="83">
        <v>1.03</v>
      </c>
      <c r="P50" s="83">
        <f t="shared" si="24"/>
        <v>78.588999999999999</v>
      </c>
      <c r="Q50" s="2"/>
      <c r="T50" s="108" t="s">
        <v>107</v>
      </c>
      <c r="U50" s="369">
        <v>1204792</v>
      </c>
      <c r="W50" s="133">
        <v>42697</v>
      </c>
      <c r="X50" s="10">
        <v>90.91</v>
      </c>
      <c r="Y50" s="10">
        <v>94.13</v>
      </c>
      <c r="Z50" s="10">
        <v>90.19</v>
      </c>
      <c r="AA50" s="10">
        <v>93.86</v>
      </c>
      <c r="AB50" s="95">
        <v>1353200</v>
      </c>
      <c r="AC50" s="10">
        <v>93.57</v>
      </c>
      <c r="AD50" s="2">
        <f t="shared" si="0"/>
        <v>3.9399999999999977</v>
      </c>
      <c r="AE50" s="138">
        <f t="shared" si="1"/>
        <v>3.3922651933701475E-2</v>
      </c>
    </row>
    <row r="51" spans="2:31" x14ac:dyDescent="0.25">
      <c r="B51" s="380">
        <v>42566</v>
      </c>
      <c r="C51" s="381">
        <v>55</v>
      </c>
      <c r="D51" s="382">
        <v>80.590500000000006</v>
      </c>
      <c r="E51" s="382">
        <v>90.34</v>
      </c>
      <c r="F51" s="382">
        <f t="shared" ref="F51:F52" si="34">C51*(E51-D51)</f>
        <v>536.22249999999985</v>
      </c>
      <c r="G51" s="382">
        <f t="shared" ref="G51:G52" si="35">D51*C51</f>
        <v>4432.4775</v>
      </c>
      <c r="H51" s="383">
        <f t="shared" ref="H51:H52" si="36">(E51-D51)/D51</f>
        <v>0.12097579739547462</v>
      </c>
      <c r="I51" s="383"/>
      <c r="O51" s="83">
        <v>1.02</v>
      </c>
      <c r="P51" s="83">
        <f t="shared" si="24"/>
        <v>77.825999999999993</v>
      </c>
      <c r="Q51" s="2"/>
      <c r="T51" s="108" t="s">
        <v>110</v>
      </c>
      <c r="U51" s="369">
        <v>1472440</v>
      </c>
      <c r="W51" s="133">
        <v>42696</v>
      </c>
      <c r="X51" s="10">
        <v>98.97</v>
      </c>
      <c r="Y51" s="10">
        <v>101.46</v>
      </c>
      <c r="Z51" s="10">
        <v>89.86</v>
      </c>
      <c r="AA51" s="10">
        <v>90.79</v>
      </c>
      <c r="AB51" s="95">
        <v>5864700</v>
      </c>
      <c r="AC51" s="10">
        <v>90.5</v>
      </c>
      <c r="AD51" s="2">
        <f t="shared" si="0"/>
        <v>11.599999999999994</v>
      </c>
      <c r="AE51" s="138">
        <f t="shared" si="1"/>
        <v>2.1444695259593693E-2</v>
      </c>
    </row>
    <row r="52" spans="2:31" x14ac:dyDescent="0.25">
      <c r="B52" s="380">
        <v>42569</v>
      </c>
      <c r="C52" s="381">
        <v>50</v>
      </c>
      <c r="D52" s="382">
        <v>79.449799999999996</v>
      </c>
      <c r="E52" s="382">
        <v>92.26</v>
      </c>
      <c r="F52" s="382">
        <f t="shared" si="34"/>
        <v>640.51000000000045</v>
      </c>
      <c r="G52" s="382">
        <f t="shared" si="35"/>
        <v>3972.49</v>
      </c>
      <c r="H52" s="383">
        <f t="shared" si="36"/>
        <v>0.16123640336413697</v>
      </c>
      <c r="I52" s="383"/>
      <c r="O52" s="83">
        <v>1.01</v>
      </c>
      <c r="P52" s="83">
        <f t="shared" si="24"/>
        <v>77.063000000000002</v>
      </c>
      <c r="Q52" s="2"/>
      <c r="T52" s="108" t="s">
        <v>108</v>
      </c>
      <c r="U52" s="368" t="s">
        <v>538</v>
      </c>
      <c r="W52" s="133">
        <v>42695</v>
      </c>
      <c r="X52" s="10">
        <v>89.23</v>
      </c>
      <c r="Y52" s="10">
        <v>89.56</v>
      </c>
      <c r="Z52" s="10">
        <v>86.74</v>
      </c>
      <c r="AA52" s="10">
        <v>88.88</v>
      </c>
      <c r="AB52" s="95">
        <v>2560900</v>
      </c>
      <c r="AC52" s="10">
        <v>88.6</v>
      </c>
      <c r="AD52" s="2">
        <f t="shared" si="0"/>
        <v>2.8200000000000074</v>
      </c>
      <c r="AE52" s="138">
        <f t="shared" si="1"/>
        <v>-9.0211998195777188E-4</v>
      </c>
    </row>
    <row r="53" spans="2:31" x14ac:dyDescent="0.25">
      <c r="B53" s="380">
        <v>42570</v>
      </c>
      <c r="C53" s="381">
        <v>50</v>
      </c>
      <c r="D53" s="382">
        <v>79.449799999999996</v>
      </c>
      <c r="E53" s="382">
        <v>90.39</v>
      </c>
      <c r="F53" s="382">
        <f t="shared" ref="F53" si="37">C53*(E53-D53)</f>
        <v>547.01000000000022</v>
      </c>
      <c r="G53" s="382">
        <f t="shared" ref="G53" si="38">D53*C53</f>
        <v>3972.49</v>
      </c>
      <c r="H53" s="383">
        <f t="shared" ref="H53" si="39">(E53-D53)/D53</f>
        <v>0.13769952850730907</v>
      </c>
      <c r="I53" s="383"/>
      <c r="O53" s="83">
        <v>1</v>
      </c>
      <c r="P53" s="83">
        <f t="shared" si="24"/>
        <v>76.3</v>
      </c>
      <c r="Q53" s="2"/>
      <c r="T53" s="108" t="s">
        <v>111</v>
      </c>
      <c r="U53" s="368">
        <v>11.4</v>
      </c>
      <c r="W53" s="133">
        <v>42692</v>
      </c>
      <c r="X53" s="10">
        <v>91.37</v>
      </c>
      <c r="Y53" s="10">
        <v>91.37</v>
      </c>
      <c r="Z53" s="10">
        <v>87.68</v>
      </c>
      <c r="AA53" s="10">
        <v>88.96</v>
      </c>
      <c r="AB53" s="95">
        <v>1787700</v>
      </c>
      <c r="AC53" s="10">
        <v>88.68</v>
      </c>
      <c r="AD53" s="2">
        <f t="shared" si="0"/>
        <v>3.6899999999999977</v>
      </c>
      <c r="AE53" s="138">
        <f t="shared" si="1"/>
        <v>-3.4302515517804499E-2</v>
      </c>
    </row>
    <row r="54" spans="2:31" x14ac:dyDescent="0.25">
      <c r="B54" s="380">
        <v>42571</v>
      </c>
      <c r="C54" s="381">
        <v>50</v>
      </c>
      <c r="D54" s="382">
        <v>79.449799999999996</v>
      </c>
      <c r="E54" s="382">
        <v>89.55</v>
      </c>
      <c r="F54" s="382">
        <f t="shared" ref="F54" si="40">C54*(E54-D54)</f>
        <v>505.01000000000005</v>
      </c>
      <c r="G54" s="382">
        <f t="shared" ref="G54" si="41">D54*C54</f>
        <v>3972.49</v>
      </c>
      <c r="H54" s="383">
        <f t="shared" ref="H54" si="42">(E54-D54)/D54</f>
        <v>0.12712681466787834</v>
      </c>
      <c r="I54" s="383"/>
      <c r="O54" s="83">
        <v>0.99</v>
      </c>
      <c r="P54" s="83">
        <f t="shared" si="24"/>
        <v>75.536999999999992</v>
      </c>
      <c r="Q54" s="2"/>
      <c r="T54" s="108" t="s">
        <v>112</v>
      </c>
      <c r="U54" s="368">
        <v>6.68</v>
      </c>
      <c r="W54" s="133">
        <v>42691</v>
      </c>
      <c r="X54" s="10">
        <v>91.13</v>
      </c>
      <c r="Y54" s="10">
        <v>92.28</v>
      </c>
      <c r="Z54" s="10">
        <v>90.47</v>
      </c>
      <c r="AA54" s="10">
        <v>92.12</v>
      </c>
      <c r="AB54" s="95">
        <v>1576500</v>
      </c>
      <c r="AC54" s="10">
        <v>91.83</v>
      </c>
      <c r="AD54" s="2">
        <f t="shared" si="0"/>
        <v>1.8100000000000023</v>
      </c>
      <c r="AE54" s="138">
        <f t="shared" si="1"/>
        <v>1.4023851590105885E-2</v>
      </c>
    </row>
    <row r="55" spans="2:31" x14ac:dyDescent="0.25">
      <c r="B55" s="380">
        <v>42572</v>
      </c>
      <c r="C55" s="381">
        <v>50</v>
      </c>
      <c r="D55" s="382">
        <v>79.449799999999996</v>
      </c>
      <c r="E55" s="382">
        <v>87.46</v>
      </c>
      <c r="F55" s="382">
        <f t="shared" ref="F55" si="43">C55*(E55-D55)</f>
        <v>400.50999999999988</v>
      </c>
      <c r="G55" s="382">
        <f t="shared" ref="G55" si="44">D55*C55</f>
        <v>3972.49</v>
      </c>
      <c r="H55" s="383">
        <f t="shared" ref="H55" si="45">(E55-D55)/D55</f>
        <v>0.1008208957102472</v>
      </c>
      <c r="I55" s="383"/>
      <c r="O55" s="83">
        <v>0.98</v>
      </c>
      <c r="P55" s="83">
        <f t="shared" si="24"/>
        <v>74.774000000000001</v>
      </c>
      <c r="Q55" s="2"/>
      <c r="T55" s="108" t="s">
        <v>109</v>
      </c>
      <c r="U55" s="368" t="s">
        <v>500</v>
      </c>
      <c r="W55" s="133">
        <v>42690</v>
      </c>
      <c r="X55" s="10">
        <v>89.1</v>
      </c>
      <c r="Y55" s="10">
        <v>91.64</v>
      </c>
      <c r="Z55" s="10">
        <v>88.39</v>
      </c>
      <c r="AA55" s="10">
        <v>90.85</v>
      </c>
      <c r="AB55" s="95">
        <v>1192600</v>
      </c>
      <c r="AC55" s="10">
        <v>90.56</v>
      </c>
      <c r="AD55" s="2">
        <f t="shared" si="0"/>
        <v>3.25</v>
      </c>
      <c r="AE55" s="138">
        <f t="shared" si="1"/>
        <v>1.3882669055082841E-2</v>
      </c>
    </row>
    <row r="56" spans="2:31" x14ac:dyDescent="0.25">
      <c r="B56" s="380">
        <v>42575</v>
      </c>
      <c r="C56" s="381">
        <v>50</v>
      </c>
      <c r="D56" s="382">
        <v>79.449799999999996</v>
      </c>
      <c r="E56" s="382">
        <v>89.53</v>
      </c>
      <c r="F56" s="382">
        <f t="shared" ref="F56" si="46">C56*(E56-D56)</f>
        <v>504.01000000000022</v>
      </c>
      <c r="G56" s="382">
        <f t="shared" ref="G56" si="47">D56*C56</f>
        <v>3972.49</v>
      </c>
      <c r="H56" s="383">
        <f t="shared" ref="H56" si="48">(E56-D56)/D56</f>
        <v>0.12687508338598719</v>
      </c>
      <c r="I56" s="383"/>
      <c r="O56" s="83">
        <v>0.97</v>
      </c>
      <c r="P56" s="83">
        <f t="shared" si="24"/>
        <v>74.010999999999996</v>
      </c>
      <c r="W56" s="133">
        <v>42689</v>
      </c>
      <c r="X56" s="10">
        <v>93.25</v>
      </c>
      <c r="Y56" s="10">
        <v>94.44</v>
      </c>
      <c r="Z56" s="10">
        <v>88</v>
      </c>
      <c r="AA56" s="10">
        <v>89.6</v>
      </c>
      <c r="AB56" s="95">
        <v>3213100</v>
      </c>
      <c r="AC56" s="10">
        <v>89.32</v>
      </c>
      <c r="AD56" s="2">
        <f t="shared" si="0"/>
        <v>6.4399999999999977</v>
      </c>
      <c r="AE56" s="138">
        <f t="shared" si="1"/>
        <v>-3.0710797612588325E-2</v>
      </c>
    </row>
    <row r="57" spans="2:31" x14ac:dyDescent="0.25">
      <c r="B57" s="380">
        <v>42576</v>
      </c>
      <c r="C57" s="381">
        <v>50</v>
      </c>
      <c r="D57" s="382">
        <v>79.449799999999996</v>
      </c>
      <c r="E57" s="382">
        <v>88.86</v>
      </c>
      <c r="F57" s="382">
        <f t="shared" ref="F57" si="49">C57*(E57-D57)</f>
        <v>470.51000000000016</v>
      </c>
      <c r="G57" s="382">
        <f t="shared" ref="G57" si="50">D57*C57</f>
        <v>3972.49</v>
      </c>
      <c r="H57" s="383">
        <f t="shared" ref="H57" si="51">(E57-D57)/D57</f>
        <v>0.11844208544263174</v>
      </c>
      <c r="I57" s="383"/>
      <c r="O57" s="83">
        <v>0.96</v>
      </c>
      <c r="P57" s="83">
        <f t="shared" si="24"/>
        <v>73.24799999999999</v>
      </c>
      <c r="W57" s="133">
        <v>42688</v>
      </c>
      <c r="X57" s="10">
        <v>90.87</v>
      </c>
      <c r="Y57" s="10">
        <v>93.16</v>
      </c>
      <c r="Z57" s="10">
        <v>90.32</v>
      </c>
      <c r="AA57" s="10">
        <v>92.44</v>
      </c>
      <c r="AB57" s="95">
        <v>1568700</v>
      </c>
      <c r="AC57" s="10">
        <v>92.15</v>
      </c>
      <c r="AD57" s="2">
        <f t="shared" si="0"/>
        <v>2.8400000000000034</v>
      </c>
      <c r="AE57" s="138">
        <f t="shared" si="1"/>
        <v>2.5712377560106914E-2</v>
      </c>
    </row>
    <row r="58" spans="2:31" x14ac:dyDescent="0.25">
      <c r="B58" s="380">
        <v>42577</v>
      </c>
      <c r="C58" s="381">
        <v>50</v>
      </c>
      <c r="D58" s="382">
        <v>79.449799999999996</v>
      </c>
      <c r="E58" s="382">
        <v>89.46</v>
      </c>
      <c r="F58" s="382">
        <f t="shared" ref="F58:F59" si="52">C58*(E58-D58)</f>
        <v>500.50999999999988</v>
      </c>
      <c r="G58" s="382">
        <f t="shared" ref="G58:G59" si="53">D58*C58</f>
        <v>3972.49</v>
      </c>
      <c r="H58" s="383">
        <f t="shared" ref="H58:H59" si="54">(E58-D58)/D58</f>
        <v>0.12599402389936787</v>
      </c>
      <c r="I58" s="383"/>
      <c r="O58" s="83">
        <v>0.95</v>
      </c>
      <c r="P58" s="83">
        <f t="shared" si="24"/>
        <v>72.484999999999999</v>
      </c>
      <c r="W58" s="133">
        <v>42685</v>
      </c>
      <c r="X58" s="10">
        <v>89.76</v>
      </c>
      <c r="Y58" s="10">
        <v>90.66</v>
      </c>
      <c r="Z58" s="10">
        <v>89.23</v>
      </c>
      <c r="AA58" s="10">
        <v>90.12</v>
      </c>
      <c r="AB58" s="95">
        <v>1206900</v>
      </c>
      <c r="AC58" s="10">
        <v>89.84</v>
      </c>
      <c r="AD58" s="2">
        <f t="shared" si="0"/>
        <v>1.4299999999999926</v>
      </c>
      <c r="AE58" s="138">
        <f t="shared" si="1"/>
        <v>3.6867389118533378E-3</v>
      </c>
    </row>
    <row r="59" spans="2:31" x14ac:dyDescent="0.25">
      <c r="B59" s="380">
        <v>42580</v>
      </c>
      <c r="C59" s="381">
        <v>30</v>
      </c>
      <c r="D59" s="382">
        <v>73.937700000000007</v>
      </c>
      <c r="E59" s="382">
        <v>87.72</v>
      </c>
      <c r="F59" s="382">
        <f t="shared" si="52"/>
        <v>413.46899999999977</v>
      </c>
      <c r="G59" s="382">
        <f t="shared" si="53"/>
        <v>2218.1310000000003</v>
      </c>
      <c r="H59" s="383">
        <f t="shared" si="54"/>
        <v>0.18640422950673324</v>
      </c>
      <c r="I59" s="383"/>
      <c r="O59" s="83">
        <v>0.94</v>
      </c>
      <c r="P59" s="83">
        <f t="shared" si="24"/>
        <v>71.721999999999994</v>
      </c>
      <c r="W59" s="133">
        <v>42684</v>
      </c>
      <c r="X59" s="10">
        <v>87.43</v>
      </c>
      <c r="Y59" s="10">
        <v>91.03</v>
      </c>
      <c r="Z59" s="10">
        <v>87.17</v>
      </c>
      <c r="AA59" s="10">
        <v>89.79</v>
      </c>
      <c r="AB59" s="95">
        <v>1545000</v>
      </c>
      <c r="AC59" s="10">
        <v>89.51</v>
      </c>
      <c r="AD59" s="2">
        <f t="shared" si="0"/>
        <v>3.8599999999999994</v>
      </c>
      <c r="AE59" s="138">
        <f t="shared" si="1"/>
        <v>3.5037002775208048E-2</v>
      </c>
    </row>
    <row r="60" spans="2:31" x14ac:dyDescent="0.25">
      <c r="B60" s="380">
        <v>42580</v>
      </c>
      <c r="C60" s="381">
        <v>0</v>
      </c>
      <c r="D60" s="382"/>
      <c r="E60" s="382"/>
      <c r="F60" s="382">
        <v>420.99</v>
      </c>
      <c r="G60" s="382"/>
      <c r="H60" s="383"/>
      <c r="I60" s="383"/>
      <c r="O60" s="83">
        <v>0.93</v>
      </c>
      <c r="P60" s="83">
        <f t="shared" si="24"/>
        <v>70.959000000000003</v>
      </c>
      <c r="W60" s="133">
        <v>42683</v>
      </c>
      <c r="X60" s="10">
        <v>81.36</v>
      </c>
      <c r="Y60" s="10">
        <v>86.9</v>
      </c>
      <c r="Z60" s="10">
        <v>81.209999999999994</v>
      </c>
      <c r="AA60" s="10">
        <v>86.75</v>
      </c>
      <c r="AB60" s="95">
        <v>1513300</v>
      </c>
      <c r="AC60" s="10">
        <v>86.48</v>
      </c>
      <c r="AD60" s="2">
        <f t="shared" si="0"/>
        <v>5.6900000000000119</v>
      </c>
      <c r="AE60" s="138">
        <f t="shared" si="1"/>
        <v>4.6846628737440943E-2</v>
      </c>
    </row>
    <row r="61" spans="2:31" x14ac:dyDescent="0.25">
      <c r="B61" s="381"/>
      <c r="C61" s="381"/>
      <c r="D61" s="382"/>
      <c r="E61" s="382"/>
      <c r="F61" s="382"/>
      <c r="G61" s="381"/>
      <c r="H61" s="381"/>
      <c r="I61" s="381"/>
      <c r="O61" s="83">
        <v>0.92</v>
      </c>
      <c r="P61" s="83">
        <f t="shared" si="24"/>
        <v>70.195999999999998</v>
      </c>
      <c r="W61" s="133">
        <v>42682</v>
      </c>
      <c r="X61" s="10">
        <v>83.62</v>
      </c>
      <c r="Y61" s="10">
        <v>83.96</v>
      </c>
      <c r="Z61" s="10">
        <v>82.21</v>
      </c>
      <c r="AA61" s="10">
        <v>82.87</v>
      </c>
      <c r="AB61" s="95">
        <v>783500</v>
      </c>
      <c r="AC61" s="10">
        <v>82.61</v>
      </c>
      <c r="AD61" s="2">
        <f t="shared" si="0"/>
        <v>1.75</v>
      </c>
      <c r="AE61" s="138">
        <f t="shared" si="1"/>
        <v>-9.1159889648555481E-3</v>
      </c>
    </row>
    <row r="62" spans="2:31" x14ac:dyDescent="0.25">
      <c r="B62" s="520" t="s">
        <v>114</v>
      </c>
      <c r="C62" s="520" t="s">
        <v>147</v>
      </c>
      <c r="D62" s="521" t="s">
        <v>146</v>
      </c>
      <c r="E62" s="522" t="s">
        <v>148</v>
      </c>
      <c r="F62" s="523" t="s">
        <v>65</v>
      </c>
      <c r="G62" s="524" t="s">
        <v>152</v>
      </c>
      <c r="H62" s="523" t="s">
        <v>88</v>
      </c>
      <c r="I62" s="523" t="s">
        <v>155</v>
      </c>
      <c r="O62" s="83">
        <v>0.91</v>
      </c>
      <c r="P62" s="83">
        <f t="shared" si="24"/>
        <v>69.432999999999993</v>
      </c>
      <c r="W62" s="133">
        <v>42681</v>
      </c>
      <c r="X62" s="10">
        <v>82.41</v>
      </c>
      <c r="Y62" s="10">
        <v>84.73</v>
      </c>
      <c r="Z62" s="10">
        <v>82.4</v>
      </c>
      <c r="AA62" s="10">
        <v>83.63</v>
      </c>
      <c r="AB62" s="95">
        <v>984700</v>
      </c>
      <c r="AC62" s="10">
        <v>83.37</v>
      </c>
      <c r="AD62" s="2">
        <f t="shared" si="0"/>
        <v>2.3299999999999983</v>
      </c>
      <c r="AE62" s="138">
        <f t="shared" si="1"/>
        <v>2.7610008628127902E-2</v>
      </c>
    </row>
    <row r="63" spans="2:31" x14ac:dyDescent="0.25">
      <c r="B63" s="380">
        <v>42608</v>
      </c>
      <c r="C63" s="381">
        <v>25</v>
      </c>
      <c r="D63" s="382">
        <v>78.95</v>
      </c>
      <c r="E63" s="382">
        <v>80.650000000000006</v>
      </c>
      <c r="F63" s="382">
        <f t="shared" ref="F63:F64" si="55">C63*(E63-D63)</f>
        <v>42.500000000000071</v>
      </c>
      <c r="G63" s="382">
        <f t="shared" ref="G63:G64" si="56">D63*C63</f>
        <v>1973.75</v>
      </c>
      <c r="H63" s="383">
        <f t="shared" ref="H63:H64" si="57">(E63-D63)/D63</f>
        <v>2.1532615579480718E-2</v>
      </c>
      <c r="I63" s="383"/>
      <c r="O63" s="83">
        <v>0.9</v>
      </c>
      <c r="P63" s="83">
        <f t="shared" si="24"/>
        <v>68.67</v>
      </c>
      <c r="W63" s="133">
        <v>42678</v>
      </c>
      <c r="X63" s="10">
        <v>80.8</v>
      </c>
      <c r="Y63" s="10">
        <v>83.04</v>
      </c>
      <c r="Z63" s="10">
        <v>80.62</v>
      </c>
      <c r="AA63" s="10">
        <v>81.39</v>
      </c>
      <c r="AB63" s="95">
        <v>1055000</v>
      </c>
      <c r="AC63" s="10">
        <v>81.13</v>
      </c>
      <c r="AD63" s="2">
        <f t="shared" si="0"/>
        <v>2.4200000000000017</v>
      </c>
      <c r="AE63" s="138">
        <f t="shared" si="1"/>
        <v>7.4506395132247771E-3</v>
      </c>
    </row>
    <row r="64" spans="2:31" x14ac:dyDescent="0.25">
      <c r="B64" s="380">
        <v>42609</v>
      </c>
      <c r="C64" s="381">
        <v>25</v>
      </c>
      <c r="D64" s="382">
        <v>78.95</v>
      </c>
      <c r="E64" s="382">
        <v>80.180000000000007</v>
      </c>
      <c r="F64" s="382">
        <f t="shared" si="55"/>
        <v>30.750000000000099</v>
      </c>
      <c r="G64" s="382">
        <f t="shared" si="56"/>
        <v>1973.75</v>
      </c>
      <c r="H64" s="383">
        <f t="shared" si="57"/>
        <v>1.5579480683977251E-2</v>
      </c>
      <c r="I64" s="383"/>
      <c r="W64" s="133">
        <v>42677</v>
      </c>
      <c r="X64" s="10">
        <v>80.59</v>
      </c>
      <c r="Y64" s="10">
        <v>82.39</v>
      </c>
      <c r="Z64" s="10">
        <v>79.92</v>
      </c>
      <c r="AA64" s="10">
        <v>80.78</v>
      </c>
      <c r="AB64" s="95">
        <v>1399100</v>
      </c>
      <c r="AC64" s="10">
        <v>80.53</v>
      </c>
      <c r="AD64" s="2">
        <f t="shared" si="0"/>
        <v>2.4699999999999989</v>
      </c>
      <c r="AE64" s="138">
        <f t="shared" si="1"/>
        <v>7.2545340838023886E-3</v>
      </c>
    </row>
    <row r="65" spans="2:31" x14ac:dyDescent="0.25">
      <c r="B65" s="380">
        <v>42613</v>
      </c>
      <c r="C65" s="381">
        <v>25</v>
      </c>
      <c r="D65" s="382">
        <v>78.95</v>
      </c>
      <c r="E65" s="382">
        <v>81.98</v>
      </c>
      <c r="F65" s="382">
        <f t="shared" ref="F65" si="58">C65*(E65-D65)</f>
        <v>75.750000000000028</v>
      </c>
      <c r="G65" s="382">
        <f t="shared" ref="G65" si="59">D65*C65</f>
        <v>1973.75</v>
      </c>
      <c r="H65" s="383">
        <f t="shared" ref="H65" si="60">(E65-D65)/D65</f>
        <v>3.8378720709309699E-2</v>
      </c>
      <c r="I65" s="383"/>
      <c r="W65" s="133">
        <v>42676</v>
      </c>
      <c r="X65" s="10">
        <v>80.459999999999994</v>
      </c>
      <c r="Y65" s="10">
        <v>81.12</v>
      </c>
      <c r="Z65" s="10">
        <v>79.47</v>
      </c>
      <c r="AA65" s="10">
        <v>80.2</v>
      </c>
      <c r="AB65" s="95">
        <v>1147100</v>
      </c>
      <c r="AC65" s="10">
        <v>79.95</v>
      </c>
      <c r="AD65" s="2">
        <f t="shared" si="0"/>
        <v>1.6500000000000057</v>
      </c>
      <c r="AE65" s="138">
        <f t="shared" si="1"/>
        <v>-6.4620355411953989E-3</v>
      </c>
    </row>
    <row r="66" spans="2:31" x14ac:dyDescent="0.25">
      <c r="B66" s="380">
        <v>42619</v>
      </c>
      <c r="C66" s="381">
        <v>25</v>
      </c>
      <c r="D66" s="382">
        <v>78.95</v>
      </c>
      <c r="E66" s="382">
        <v>81.099999999999994</v>
      </c>
      <c r="F66" s="382">
        <f t="shared" ref="F66" si="61">C66*(E66-D66)</f>
        <v>53.749999999999787</v>
      </c>
      <c r="G66" s="382">
        <f t="shared" ref="G66" si="62">D66*C66</f>
        <v>1973.75</v>
      </c>
      <c r="H66" s="383">
        <f t="shared" ref="H66" si="63">(E66-D66)/D66</f>
        <v>2.7232425585813697E-2</v>
      </c>
      <c r="I66" s="383"/>
      <c r="W66" s="133">
        <v>42675</v>
      </c>
      <c r="X66" s="10">
        <v>81.17</v>
      </c>
      <c r="Y66" s="10">
        <v>81.790000000000006</v>
      </c>
      <c r="Z66" s="10">
        <v>79.91</v>
      </c>
      <c r="AA66" s="10">
        <v>80.72</v>
      </c>
      <c r="AB66" s="95">
        <v>1267600</v>
      </c>
      <c r="AC66" s="10">
        <v>80.47</v>
      </c>
      <c r="AD66" s="2">
        <f t="shared" si="0"/>
        <v>1.8800000000000097</v>
      </c>
      <c r="AE66" s="138">
        <f t="shared" si="1"/>
        <v>-6.5432098765432212E-3</v>
      </c>
    </row>
    <row r="67" spans="2:31" x14ac:dyDescent="0.25">
      <c r="B67" s="380">
        <v>42620</v>
      </c>
      <c r="C67" s="381">
        <v>25</v>
      </c>
      <c r="D67" s="382">
        <v>78.95</v>
      </c>
      <c r="E67" s="382">
        <v>82.48</v>
      </c>
      <c r="F67" s="382">
        <f t="shared" ref="F67" si="64">C67*(E67-D67)</f>
        <v>88.250000000000028</v>
      </c>
      <c r="G67" s="382">
        <f t="shared" ref="G67" si="65">D67*C67</f>
        <v>1973.75</v>
      </c>
      <c r="H67" s="383">
        <f t="shared" ref="H67" si="66">(E67-D67)/D67</f>
        <v>4.4711842938568724E-2</v>
      </c>
      <c r="I67" s="383"/>
      <c r="W67" s="133">
        <v>42674</v>
      </c>
      <c r="X67" s="10">
        <v>80.81</v>
      </c>
      <c r="Y67" s="10">
        <v>81.739999999999995</v>
      </c>
      <c r="Z67" s="10">
        <v>80.75</v>
      </c>
      <c r="AA67" s="10">
        <v>81.260000000000005</v>
      </c>
      <c r="AB67" s="95">
        <v>716800</v>
      </c>
      <c r="AC67" s="10">
        <v>81</v>
      </c>
      <c r="AD67" s="2">
        <f>Y67-Z67</f>
        <v>0.98999999999999488</v>
      </c>
      <c r="AE67" s="138">
        <f>AC67/AC68-1</f>
        <v>1.0479041916167775E-2</v>
      </c>
    </row>
    <row r="68" spans="2:31" x14ac:dyDescent="0.25">
      <c r="B68" s="380">
        <v>42621</v>
      </c>
      <c r="C68" s="381">
        <v>25</v>
      </c>
      <c r="D68" s="382">
        <v>78.95</v>
      </c>
      <c r="E68" s="382">
        <v>81.77</v>
      </c>
      <c r="F68" s="382">
        <f t="shared" ref="F68" si="67">C68*(E68-D68)</f>
        <v>70.499999999999829</v>
      </c>
      <c r="G68" s="382">
        <f t="shared" ref="G68" si="68">D68*C68</f>
        <v>1973.75</v>
      </c>
      <c r="H68" s="383">
        <f t="shared" ref="H68" si="69">(E68-D68)/D68</f>
        <v>3.5718809373020813E-2</v>
      </c>
      <c r="I68" s="383"/>
      <c r="W68" s="133">
        <v>42671</v>
      </c>
      <c r="X68" s="10">
        <v>79.91</v>
      </c>
      <c r="Y68" s="10">
        <v>82.29</v>
      </c>
      <c r="Z68" s="10">
        <v>79.91</v>
      </c>
      <c r="AA68" s="10">
        <v>80.41</v>
      </c>
      <c r="AB68" s="95">
        <v>861300</v>
      </c>
      <c r="AC68" s="10">
        <v>80.16</v>
      </c>
      <c r="AD68" s="2">
        <f>Y68-Z68</f>
        <v>2.3800000000000097</v>
      </c>
      <c r="AE68" s="138" t="e">
        <f>AC68/AC69-1</f>
        <v>#DIV/0!</v>
      </c>
    </row>
    <row r="69" spans="2:31" x14ac:dyDescent="0.25">
      <c r="B69" s="380">
        <v>42622</v>
      </c>
      <c r="C69" s="381">
        <v>25</v>
      </c>
      <c r="D69" s="382">
        <v>78.95</v>
      </c>
      <c r="E69" s="382">
        <v>76.900000000000006</v>
      </c>
      <c r="F69" s="382">
        <f t="shared" ref="F69" si="70">C69*(E69-D69)</f>
        <v>-51.249999999999929</v>
      </c>
      <c r="G69" s="382">
        <f t="shared" ref="G69" si="71">D69*C69</f>
        <v>1973.75</v>
      </c>
      <c r="H69" s="383">
        <f t="shared" ref="H69" si="72">(E69-D69)/D69</f>
        <v>-2.5965801139961966E-2</v>
      </c>
      <c r="I69" s="383"/>
      <c r="W69" s="284" t="s">
        <v>121</v>
      </c>
      <c r="AB69" s="235"/>
    </row>
    <row r="70" spans="2:31" x14ac:dyDescent="0.25">
      <c r="B70" s="380">
        <v>42629</v>
      </c>
      <c r="C70" s="381">
        <v>25</v>
      </c>
      <c r="D70" s="382">
        <v>78.95</v>
      </c>
      <c r="E70" s="382">
        <v>77.77</v>
      </c>
      <c r="F70" s="382">
        <f t="shared" ref="F70" si="73">C70*(E70-D70)</f>
        <v>-29.500000000000171</v>
      </c>
      <c r="G70" s="382">
        <f t="shared" ref="G70" si="74">D70*C70</f>
        <v>1973.75</v>
      </c>
      <c r="H70" s="383">
        <f t="shared" ref="H70" si="75">(E70-D70)/D70</f>
        <v>-1.4946168461051384E-2</v>
      </c>
      <c r="I70" s="383"/>
    </row>
    <row r="71" spans="2:31" x14ac:dyDescent="0.25">
      <c r="B71" s="380">
        <v>42633</v>
      </c>
      <c r="C71" s="381">
        <v>25</v>
      </c>
      <c r="D71" s="382">
        <v>78.95</v>
      </c>
      <c r="E71" s="382">
        <v>75.52</v>
      </c>
      <c r="F71" s="382">
        <f t="shared" ref="F71" si="76">C71*(E71-D71)</f>
        <v>-85.750000000000171</v>
      </c>
      <c r="G71" s="382">
        <f t="shared" ref="G71" si="77">D71*C71</f>
        <v>1973.75</v>
      </c>
      <c r="H71" s="383">
        <f t="shared" ref="H71" si="78">(E71-D71)/D71</f>
        <v>-4.3445218492716993E-2</v>
      </c>
      <c r="I71" s="383"/>
    </row>
    <row r="72" spans="2:31" x14ac:dyDescent="0.25">
      <c r="B72" s="380">
        <v>42635</v>
      </c>
      <c r="C72" s="381">
        <v>25</v>
      </c>
      <c r="D72" s="382">
        <v>78.95</v>
      </c>
      <c r="E72" s="382">
        <v>77.27</v>
      </c>
      <c r="F72" s="382">
        <f t="shared" ref="F72" si="79">C72*(E72-D72)</f>
        <v>-42.000000000000171</v>
      </c>
      <c r="G72" s="382">
        <f t="shared" ref="G72" si="80">D72*C72</f>
        <v>1973.75</v>
      </c>
      <c r="H72" s="383">
        <f t="shared" ref="H72" si="81">(E72-D72)/D72</f>
        <v>-2.1279290690310409E-2</v>
      </c>
      <c r="I72" s="383"/>
    </row>
    <row r="73" spans="2:31" x14ac:dyDescent="0.25">
      <c r="B73" s="380">
        <v>42636</v>
      </c>
      <c r="C73" s="381">
        <v>25</v>
      </c>
      <c r="D73" s="382">
        <v>78.95</v>
      </c>
      <c r="E73" s="382">
        <v>78.97</v>
      </c>
      <c r="F73" s="382">
        <f t="shared" ref="F73" si="82">C73*(E73-D73)</f>
        <v>0.49999999999990052</v>
      </c>
      <c r="G73" s="382">
        <f t="shared" ref="G73" si="83">D73*C73</f>
        <v>1973.75</v>
      </c>
      <c r="H73" s="383">
        <f t="shared" ref="H73" si="84">(E73-D73)/D73</f>
        <v>2.533248891703106E-4</v>
      </c>
      <c r="I73" s="383"/>
    </row>
    <row r="74" spans="2:31" x14ac:dyDescent="0.25">
      <c r="B74" s="380">
        <v>42639</v>
      </c>
      <c r="C74" s="381">
        <v>55</v>
      </c>
      <c r="D74" s="382">
        <v>76.400000000000006</v>
      </c>
      <c r="E74" s="382">
        <v>76.31</v>
      </c>
      <c r="F74" s="382">
        <f t="shared" ref="F74" si="85">C74*(E74-D74)</f>
        <v>-4.9500000000001876</v>
      </c>
      <c r="G74" s="382">
        <f t="shared" ref="G74" si="86">D74*C74</f>
        <v>4202</v>
      </c>
      <c r="H74" s="383">
        <f t="shared" ref="H74" si="87">(E74-D74)/D74</f>
        <v>-1.1780104712042331E-3</v>
      </c>
      <c r="I74" s="383"/>
    </row>
    <row r="75" spans="2:31" x14ac:dyDescent="0.25">
      <c r="B75" s="380">
        <v>42643</v>
      </c>
      <c r="C75" s="381">
        <v>55</v>
      </c>
      <c r="D75" s="382">
        <v>76.402699999999996</v>
      </c>
      <c r="E75" s="382">
        <v>74.53</v>
      </c>
      <c r="F75" s="382">
        <f t="shared" ref="F75" si="88">C75*(E75-D75)</f>
        <v>-102.99849999999971</v>
      </c>
      <c r="G75" s="382">
        <f t="shared" ref="G75" si="89">D75*C75</f>
        <v>4202.1484999999993</v>
      </c>
      <c r="H75" s="383">
        <f t="shared" ref="H75" si="90">(E75-D75)/D75</f>
        <v>-2.4510913881315644E-2</v>
      </c>
      <c r="I75" s="383"/>
    </row>
    <row r="76" spans="2:31" x14ac:dyDescent="0.25">
      <c r="B76" s="380">
        <v>42646</v>
      </c>
      <c r="C76" s="381">
        <v>55</v>
      </c>
      <c r="D76" s="382">
        <v>76.402699999999996</v>
      </c>
      <c r="E76" s="382">
        <v>75.72</v>
      </c>
      <c r="F76" s="382">
        <f t="shared" ref="F76" si="91">C76*(E76-D76)</f>
        <v>-37.548499999999834</v>
      </c>
      <c r="G76" s="382">
        <f t="shared" ref="G76" si="92">D76*C76</f>
        <v>4202.1484999999993</v>
      </c>
      <c r="H76" s="383">
        <f t="shared" ref="H76" si="93">(E76-D76)/D76</f>
        <v>-8.9355480892690572E-3</v>
      </c>
      <c r="I76" s="383"/>
    </row>
    <row r="77" spans="2:31" x14ac:dyDescent="0.25">
      <c r="B77" s="380">
        <v>42647</v>
      </c>
      <c r="C77" s="381">
        <v>55</v>
      </c>
      <c r="D77" s="382">
        <v>76.402699999999996</v>
      </c>
      <c r="E77" s="382">
        <v>77.819999999999993</v>
      </c>
      <c r="F77" s="382">
        <f t="shared" ref="F77:F78" si="94">C77*(E77-D77)</f>
        <v>77.951499999999854</v>
      </c>
      <c r="G77" s="382">
        <f t="shared" ref="G77:G78" si="95">D77*C77</f>
        <v>4202.1484999999993</v>
      </c>
      <c r="H77" s="383">
        <f t="shared" ref="H77:H78" si="96">(E77-D77)/D77</f>
        <v>1.8550391543754308E-2</v>
      </c>
      <c r="I77" s="383"/>
    </row>
    <row r="78" spans="2:31" x14ac:dyDescent="0.25">
      <c r="B78" s="380">
        <v>42648</v>
      </c>
      <c r="C78" s="381">
        <v>30</v>
      </c>
      <c r="D78" s="382">
        <v>74.272999999999996</v>
      </c>
      <c r="E78" s="382">
        <v>81.430000000000007</v>
      </c>
      <c r="F78" s="382">
        <f t="shared" si="94"/>
        <v>214.71000000000032</v>
      </c>
      <c r="G78" s="382">
        <f t="shared" si="95"/>
        <v>2228.19</v>
      </c>
      <c r="H78" s="383">
        <f t="shared" si="96"/>
        <v>9.6360723277638047E-2</v>
      </c>
      <c r="I78" s="383"/>
    </row>
    <row r="79" spans="2:31" x14ac:dyDescent="0.25">
      <c r="B79" s="380">
        <v>42649</v>
      </c>
      <c r="C79" s="381">
        <v>30</v>
      </c>
      <c r="D79" s="382">
        <v>74.272999999999996</v>
      </c>
      <c r="E79" s="382">
        <v>80.069999999999993</v>
      </c>
      <c r="F79" s="382">
        <f t="shared" ref="F79" si="97">C79*(E79-D79)</f>
        <v>173.90999999999991</v>
      </c>
      <c r="G79" s="382">
        <f t="shared" ref="G79" si="98">D79*C79</f>
        <v>2228.19</v>
      </c>
      <c r="H79" s="383">
        <f t="shared" ref="H79" si="99">(E79-D79)/D79</f>
        <v>7.8049897001602156E-2</v>
      </c>
      <c r="I79" s="383"/>
    </row>
    <row r="80" spans="2:31" x14ac:dyDescent="0.25">
      <c r="B80" s="380">
        <v>42671</v>
      </c>
      <c r="C80" s="381">
        <v>0</v>
      </c>
      <c r="D80" s="382"/>
      <c r="E80" s="382"/>
      <c r="F80" s="382">
        <v>234.16</v>
      </c>
      <c r="G80" s="382"/>
      <c r="H80" s="383"/>
      <c r="I80" s="383"/>
    </row>
    <row r="81" spans="1:13" x14ac:dyDescent="0.25">
      <c r="B81" s="380"/>
      <c r="C81" s="381"/>
      <c r="D81" s="382"/>
      <c r="E81" s="382"/>
      <c r="F81" s="382"/>
      <c r="G81" s="382"/>
      <c r="H81" s="383"/>
      <c r="I81" s="383"/>
    </row>
    <row r="82" spans="1:13" x14ac:dyDescent="0.25">
      <c r="L82" t="s">
        <v>65</v>
      </c>
      <c r="M82" s="2">
        <f>K100+M100-F100</f>
        <v>675.95000000000073</v>
      </c>
    </row>
    <row r="83" spans="1:13" x14ac:dyDescent="0.25">
      <c r="A83" s="263" t="s">
        <v>1</v>
      </c>
      <c r="B83" s="263" t="s">
        <v>2</v>
      </c>
      <c r="C83" s="263" t="s">
        <v>4</v>
      </c>
      <c r="D83" s="264" t="s">
        <v>5</v>
      </c>
      <c r="E83" s="264" t="s">
        <v>94</v>
      </c>
      <c r="F83" s="264" t="s">
        <v>60</v>
      </c>
      <c r="G83" s="263" t="s">
        <v>3</v>
      </c>
      <c r="H83" s="263" t="s">
        <v>6</v>
      </c>
      <c r="I83" s="263" t="s">
        <v>7</v>
      </c>
      <c r="J83" s="263" t="s">
        <v>95</v>
      </c>
      <c r="K83" s="264" t="s">
        <v>61</v>
      </c>
      <c r="L83" s="263" t="s">
        <v>77</v>
      </c>
      <c r="M83" s="263" t="s">
        <v>38</v>
      </c>
    </row>
    <row r="84" spans="1:13" x14ac:dyDescent="0.25">
      <c r="A84" s="265" t="s">
        <v>219</v>
      </c>
      <c r="B84" s="266">
        <v>42516</v>
      </c>
      <c r="C84" s="261">
        <v>20</v>
      </c>
      <c r="D84" s="262">
        <v>96.2</v>
      </c>
      <c r="E84" s="262">
        <v>0</v>
      </c>
      <c r="F84" s="262">
        <f t="shared" ref="F84:F89" si="100">C84*D84 + E84</f>
        <v>1924</v>
      </c>
      <c r="G84" s="266">
        <v>42516</v>
      </c>
      <c r="H84" s="261">
        <v>20</v>
      </c>
      <c r="I84" s="262">
        <v>88.99</v>
      </c>
      <c r="J84" s="262">
        <v>0.04</v>
      </c>
      <c r="K84" s="262">
        <f t="shared" ref="K84:K89" si="101">H84*I84 - J84</f>
        <v>1779.76</v>
      </c>
      <c r="L84" s="266">
        <v>42608</v>
      </c>
      <c r="M84" s="261">
        <v>13</v>
      </c>
    </row>
    <row r="85" spans="1:13" x14ac:dyDescent="0.25">
      <c r="A85" s="268" t="s">
        <v>71</v>
      </c>
      <c r="B85" s="465">
        <v>42527</v>
      </c>
      <c r="C85" s="261">
        <v>25</v>
      </c>
      <c r="D85" s="262">
        <v>85.59</v>
      </c>
      <c r="E85" s="262">
        <v>0</v>
      </c>
      <c r="F85" s="262">
        <f t="shared" si="100"/>
        <v>2139.75</v>
      </c>
      <c r="G85" s="266">
        <v>42541</v>
      </c>
      <c r="H85" s="267">
        <v>25</v>
      </c>
      <c r="I85" s="262">
        <v>86.59</v>
      </c>
      <c r="J85" s="262">
        <v>0.05</v>
      </c>
      <c r="K85" s="262">
        <f t="shared" si="101"/>
        <v>2164.6999999999998</v>
      </c>
      <c r="L85" s="266">
        <v>42702</v>
      </c>
      <c r="M85" s="261">
        <v>7.8</v>
      </c>
    </row>
    <row r="86" spans="1:13" x14ac:dyDescent="0.25">
      <c r="A86" s="261"/>
      <c r="B86" s="465">
        <v>42535</v>
      </c>
      <c r="C86" s="261">
        <v>20</v>
      </c>
      <c r="D86" s="262">
        <v>82.75</v>
      </c>
      <c r="E86" s="262">
        <v>0</v>
      </c>
      <c r="F86" s="262">
        <f t="shared" si="100"/>
        <v>1655</v>
      </c>
      <c r="G86" s="266">
        <v>42552</v>
      </c>
      <c r="H86" s="267">
        <v>20</v>
      </c>
      <c r="I86" s="262">
        <v>83.98</v>
      </c>
      <c r="J86" s="262">
        <v>0.04</v>
      </c>
      <c r="K86" s="262">
        <f t="shared" si="101"/>
        <v>1679.5600000000002</v>
      </c>
      <c r="L86" s="261"/>
      <c r="M86" s="261"/>
    </row>
    <row r="87" spans="1:13" x14ac:dyDescent="0.25">
      <c r="A87" s="261"/>
      <c r="B87" s="266">
        <v>42535</v>
      </c>
      <c r="C87" s="261">
        <v>5</v>
      </c>
      <c r="D87" s="262">
        <v>82.75</v>
      </c>
      <c r="E87" s="262">
        <v>0</v>
      </c>
      <c r="F87" s="262">
        <f t="shared" si="100"/>
        <v>413.75</v>
      </c>
      <c r="G87" s="266">
        <v>42569</v>
      </c>
      <c r="H87" s="267">
        <v>5</v>
      </c>
      <c r="I87" s="262">
        <v>92</v>
      </c>
      <c r="J87" s="262">
        <v>0.01</v>
      </c>
      <c r="K87" s="262">
        <f t="shared" si="101"/>
        <v>459.99</v>
      </c>
      <c r="L87" s="261"/>
      <c r="M87" s="261"/>
    </row>
    <row r="88" spans="1:13" x14ac:dyDescent="0.25">
      <c r="A88" s="261"/>
      <c r="B88" s="266">
        <v>42548</v>
      </c>
      <c r="C88" s="261">
        <v>20</v>
      </c>
      <c r="D88" s="262">
        <v>78.48</v>
      </c>
      <c r="E88" s="262">
        <v>0</v>
      </c>
      <c r="F88" s="262">
        <f t="shared" si="100"/>
        <v>1569.6000000000001</v>
      </c>
      <c r="G88" s="266">
        <v>42580</v>
      </c>
      <c r="H88" s="267">
        <v>20</v>
      </c>
      <c r="I88" s="262">
        <v>87.72</v>
      </c>
      <c r="J88" s="262">
        <v>0.04</v>
      </c>
      <c r="K88" s="262">
        <f t="shared" si="101"/>
        <v>1754.3600000000001</v>
      </c>
      <c r="L88" s="261"/>
      <c r="M88" s="261"/>
    </row>
    <row r="89" spans="1:13" x14ac:dyDescent="0.25">
      <c r="A89" s="261"/>
      <c r="B89" s="266">
        <v>42548</v>
      </c>
      <c r="C89" s="261">
        <v>30</v>
      </c>
      <c r="D89" s="262">
        <v>78.48</v>
      </c>
      <c r="E89" s="262">
        <v>0</v>
      </c>
      <c r="F89" s="262">
        <f t="shared" si="100"/>
        <v>2354.4</v>
      </c>
      <c r="G89" s="266">
        <v>42580</v>
      </c>
      <c r="H89" s="267">
        <v>30</v>
      </c>
      <c r="I89" s="262">
        <v>87.97</v>
      </c>
      <c r="J89" s="262">
        <v>-0.02</v>
      </c>
      <c r="K89" s="262">
        <f t="shared" si="101"/>
        <v>2639.12</v>
      </c>
      <c r="L89" s="261"/>
      <c r="M89" s="261"/>
    </row>
    <row r="90" spans="1:13" x14ac:dyDescent="0.25">
      <c r="A90" s="261"/>
      <c r="B90" s="266">
        <v>42608</v>
      </c>
      <c r="C90" s="261">
        <v>25</v>
      </c>
      <c r="D90" s="262">
        <v>78.95</v>
      </c>
      <c r="E90" s="262">
        <v>0</v>
      </c>
      <c r="F90" s="262">
        <v>1973.75</v>
      </c>
      <c r="G90" s="266">
        <v>42648</v>
      </c>
      <c r="H90" s="267">
        <v>25</v>
      </c>
      <c r="I90" s="262">
        <v>78.959999999999994</v>
      </c>
      <c r="J90" s="262">
        <v>0.04</v>
      </c>
      <c r="K90" s="262">
        <v>1973.9599999999998</v>
      </c>
      <c r="L90" s="261"/>
      <c r="M90" s="261"/>
    </row>
    <row r="91" spans="1:13" x14ac:dyDescent="0.25">
      <c r="A91" s="261"/>
      <c r="B91" s="266">
        <v>42640</v>
      </c>
      <c r="C91" s="261">
        <v>30</v>
      </c>
      <c r="D91" s="262">
        <v>74.28</v>
      </c>
      <c r="E91" s="262">
        <v>0</v>
      </c>
      <c r="F91" s="262">
        <v>2228.4</v>
      </c>
      <c r="G91" s="266">
        <v>42671</v>
      </c>
      <c r="H91" s="267">
        <v>30</v>
      </c>
      <c r="I91" s="262">
        <v>82.08</v>
      </c>
      <c r="J91" s="262">
        <v>0.05</v>
      </c>
      <c r="K91" s="262">
        <v>2462.35</v>
      </c>
      <c r="L91" s="261"/>
      <c r="M91" s="261"/>
    </row>
    <row r="92" spans="1:13" x14ac:dyDescent="0.25">
      <c r="A92" s="261"/>
      <c r="B92" s="266"/>
      <c r="C92" s="261"/>
      <c r="D92" s="262"/>
      <c r="E92" s="262"/>
      <c r="F92" s="262"/>
      <c r="G92" s="266"/>
      <c r="H92" s="267"/>
      <c r="I92" s="261"/>
      <c r="J92" s="261"/>
      <c r="K92" s="262"/>
      <c r="L92" s="261"/>
      <c r="M92" s="261"/>
    </row>
    <row r="93" spans="1:13" x14ac:dyDescent="0.25">
      <c r="A93" s="261"/>
      <c r="B93" s="266"/>
      <c r="C93" s="261"/>
      <c r="D93" s="262"/>
      <c r="E93" s="262"/>
      <c r="F93" s="262"/>
      <c r="G93" s="266"/>
      <c r="H93" s="267"/>
      <c r="I93" s="261"/>
      <c r="J93" s="261"/>
      <c r="K93" s="262"/>
      <c r="L93" s="261"/>
      <c r="M93" s="261"/>
    </row>
    <row r="94" spans="1:13" x14ac:dyDescent="0.25">
      <c r="A94" s="261"/>
      <c r="B94" s="266"/>
      <c r="C94" s="261"/>
      <c r="D94" s="262"/>
      <c r="E94" s="262"/>
      <c r="F94" s="262"/>
      <c r="G94" s="266"/>
      <c r="H94" s="267"/>
      <c r="I94" s="261"/>
      <c r="J94" s="261"/>
      <c r="K94" s="262"/>
      <c r="L94" s="261"/>
      <c r="M94" s="261"/>
    </row>
    <row r="95" spans="1:13" x14ac:dyDescent="0.25">
      <c r="A95" s="261"/>
      <c r="B95" s="266"/>
      <c r="C95" s="261"/>
      <c r="D95" s="262"/>
      <c r="E95" s="262"/>
      <c r="F95" s="262"/>
      <c r="G95" s="266"/>
      <c r="H95" s="267"/>
      <c r="I95" s="262"/>
      <c r="J95" s="261"/>
      <c r="K95" s="262"/>
      <c r="L95" s="261"/>
      <c r="M95" s="261"/>
    </row>
    <row r="96" spans="1:13" x14ac:dyDescent="0.25">
      <c r="A96" s="261"/>
      <c r="B96" s="266"/>
      <c r="C96" s="261"/>
      <c r="D96" s="262"/>
      <c r="E96" s="262"/>
      <c r="F96" s="262"/>
      <c r="G96" s="266"/>
      <c r="H96" s="267"/>
      <c r="I96" s="261"/>
      <c r="J96" s="261"/>
      <c r="K96" s="262"/>
      <c r="L96" s="261"/>
      <c r="M96" s="261"/>
    </row>
    <row r="97" spans="1:13" x14ac:dyDescent="0.25">
      <c r="A97" s="261"/>
      <c r="B97" s="261"/>
      <c r="C97" s="261"/>
      <c r="D97" s="262"/>
      <c r="E97" s="262"/>
      <c r="F97" s="262"/>
      <c r="G97" s="266"/>
      <c r="H97" s="267"/>
      <c r="I97" s="261"/>
      <c r="J97" s="261"/>
      <c r="K97" s="262"/>
      <c r="L97" s="261"/>
      <c r="M97" s="261"/>
    </row>
    <row r="98" spans="1:13" x14ac:dyDescent="0.25">
      <c r="A98" s="261"/>
      <c r="B98" s="261"/>
      <c r="C98" s="261"/>
      <c r="D98" s="262"/>
      <c r="E98" s="262"/>
      <c r="F98" s="262"/>
      <c r="G98" s="266"/>
      <c r="H98" s="267"/>
      <c r="I98" s="261"/>
      <c r="J98" s="261"/>
      <c r="K98" s="262"/>
      <c r="L98" s="261"/>
      <c r="M98" s="261"/>
    </row>
    <row r="99" spans="1:13" x14ac:dyDescent="0.25">
      <c r="A99" s="261"/>
      <c r="B99" s="261"/>
      <c r="C99" s="261"/>
      <c r="D99" s="262"/>
      <c r="E99" s="262"/>
      <c r="F99" s="262"/>
      <c r="G99" s="266"/>
      <c r="H99" s="267"/>
      <c r="I99" s="261"/>
      <c r="J99" s="261"/>
      <c r="K99" s="262"/>
      <c r="L99" s="261"/>
      <c r="M99" s="261"/>
    </row>
    <row r="100" spans="1:13" x14ac:dyDescent="0.25">
      <c r="A100" s="32" t="s">
        <v>81</v>
      </c>
      <c r="B100" s="14"/>
      <c r="C100" s="14">
        <f>SUM(C84:C96)</f>
        <v>175</v>
      </c>
      <c r="D100" s="14"/>
      <c r="E100" s="14"/>
      <c r="F100" s="18">
        <f t="shared" ref="F100" si="102">SUM(F84:F96)</f>
        <v>14258.65</v>
      </c>
      <c r="G100" s="14"/>
      <c r="H100" s="14">
        <f t="shared" ref="H100" si="103">SUM(H84:H96)</f>
        <v>175</v>
      </c>
      <c r="I100" s="14"/>
      <c r="J100" s="14"/>
      <c r="K100" s="14">
        <f t="shared" ref="K100" si="104">SUM(K84:K96)</f>
        <v>14913.800000000001</v>
      </c>
      <c r="L100" s="14"/>
      <c r="M100" s="18">
        <f t="shared" ref="M100" si="105">SUM(M84:M96)</f>
        <v>20.8</v>
      </c>
    </row>
    <row r="101" spans="1:13" ht="15.75" thickBot="1" x14ac:dyDescent="0.3">
      <c r="A101" s="467" t="s">
        <v>198</v>
      </c>
      <c r="B101" s="468"/>
      <c r="C101" s="469" t="e">
        <f>SumByColor($A$19,C84:C99)</f>
        <v>#VALUE!</v>
      </c>
      <c r="D101" s="469"/>
      <c r="E101" s="469"/>
      <c r="F101" s="470" t="e">
        <f>SumByColor($A$19,F84:F99)</f>
        <v>#VALUE!</v>
      </c>
      <c r="G101" s="469"/>
      <c r="H101" s="469" t="e">
        <f>SumByColor($A$19,H84:H99)</f>
        <v>#VALUE!</v>
      </c>
      <c r="I101" s="469"/>
      <c r="J101" s="469"/>
      <c r="K101" s="470" t="e">
        <f>SumByColor($A$19,K84:K99)</f>
        <v>#VALUE!</v>
      </c>
      <c r="L101" s="469"/>
      <c r="M101" s="470" t="e">
        <f>SumByColor($A$19,M84:M99)</f>
        <v>#VALUE!</v>
      </c>
    </row>
  </sheetData>
  <mergeCells count="1">
    <mergeCell ref="O42:P42"/>
  </mergeCells>
  <conditionalFormatting sqref="N19">
    <cfRule type="expression" dxfId="1017" priority="31">
      <formula>N19&gt;0</formula>
    </cfRule>
    <cfRule type="expression" dxfId="1016" priority="32">
      <formula>N19&lt;0</formula>
    </cfRule>
  </conditionalFormatting>
  <conditionalFormatting sqref="O43:O63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{CDD50163-F6EC-4FCF-B2AF-5CA3E4B02555}</x14:id>
        </ext>
      </extLst>
    </cfRule>
  </conditionalFormatting>
  <conditionalFormatting sqref="AE1:AE68">
    <cfRule type="iconSet" priority="27">
      <iconSet iconSet="3Arrows">
        <cfvo type="percent" val="0"/>
        <cfvo type="num" val="0"/>
        <cfvo type="num" val="0"/>
      </iconSet>
    </cfRule>
  </conditionalFormatting>
  <conditionalFormatting sqref="F42:F60 F64:F81">
    <cfRule type="expression" dxfId="1015" priority="25">
      <formula>F42&gt;0</formula>
    </cfRule>
    <cfRule type="expression" dxfId="1014" priority="26">
      <formula>F42&lt;0</formula>
    </cfRule>
  </conditionalFormatting>
  <conditionalFormatting sqref="H42:H60 H64:H81">
    <cfRule type="expression" dxfId="1013" priority="23">
      <formula>H42&gt;0</formula>
    </cfRule>
    <cfRule type="expression" dxfId="1012" priority="24">
      <formula>H42&lt;0</formula>
    </cfRule>
  </conditionalFormatting>
  <conditionalFormatting sqref="I38:I60 I63:I81">
    <cfRule type="expression" dxfId="1011" priority="21">
      <formula>I38&gt;0</formula>
    </cfRule>
    <cfRule type="expression" dxfId="1010" priority="22">
      <formula>I38&lt;0</formula>
    </cfRule>
  </conditionalFormatting>
  <conditionalFormatting sqref="Q7">
    <cfRule type="expression" dxfId="1009" priority="19">
      <formula>Q7&gt;0</formula>
    </cfRule>
    <cfRule type="expression" dxfId="1008" priority="20">
      <formula>Q7&lt;0</formula>
    </cfRule>
  </conditionalFormatting>
  <conditionalFormatting sqref="Q8">
    <cfRule type="expression" dxfId="1007" priority="17">
      <formula>Q8&gt;0</formula>
    </cfRule>
    <cfRule type="expression" dxfId="1006" priority="18">
      <formula>Q8&lt;0</formula>
    </cfRule>
  </conditionalFormatting>
  <conditionalFormatting sqref="F38:F41">
    <cfRule type="expression" dxfId="1005" priority="15">
      <formula>F38&gt;0</formula>
    </cfRule>
    <cfRule type="expression" dxfId="1004" priority="16">
      <formula>F38&lt;0</formula>
    </cfRule>
  </conditionalFormatting>
  <conditionalFormatting sqref="H38:H41">
    <cfRule type="expression" dxfId="1003" priority="13">
      <formula>H38&gt;0</formula>
    </cfRule>
    <cfRule type="expression" dxfId="1002" priority="14">
      <formula>H38&lt;0</formula>
    </cfRule>
  </conditionalFormatting>
  <conditionalFormatting sqref="F63:F77">
    <cfRule type="expression" dxfId="1001" priority="7">
      <formula>F63&gt;0</formula>
    </cfRule>
    <cfRule type="expression" dxfId="1000" priority="8">
      <formula>F63&lt;0</formula>
    </cfRule>
  </conditionalFormatting>
  <conditionalFormatting sqref="H63:H77">
    <cfRule type="expression" dxfId="999" priority="5">
      <formula>H63&gt;0</formula>
    </cfRule>
    <cfRule type="expression" dxfId="998" priority="6">
      <formula>H63&lt;0</formula>
    </cfRule>
  </conditionalFormatting>
  <conditionalFormatting sqref="F25:F30">
    <cfRule type="expression" dxfId="997" priority="3">
      <formula>F25&gt;0</formula>
    </cfRule>
    <cfRule type="expression" dxfId="996" priority="4">
      <formula>F25&lt;0</formula>
    </cfRule>
  </conditionalFormatting>
  <conditionalFormatting sqref="H25:H30">
    <cfRule type="expression" dxfId="995" priority="1">
      <formula>H25&gt;0</formula>
    </cfRule>
    <cfRule type="expression" dxfId="994" priority="2">
      <formula>H25&lt;0</formula>
    </cfRule>
  </conditionalFormatting>
  <hyperlinks>
    <hyperlink ref="A3" location="ACTIVE!A1" display="Back"/>
    <hyperlink ref="A85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DD50163-F6EC-4FCF-B2AF-5CA3E4B0255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9" customWidth="1"/>
    <col min="23" max="23" width="12.5703125" customWidth="1"/>
    <col min="24" max="24" width="13.140625" bestFit="1" customWidth="1"/>
    <col min="25" max="27" width="7" bestFit="1" customWidth="1"/>
    <col min="28" max="28" width="11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0" x14ac:dyDescent="0.25">
      <c r="A2" s="6" t="s">
        <v>207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1"/>
      <c r="W2" s="133">
        <v>42768</v>
      </c>
      <c r="X2" s="10">
        <v>127.98</v>
      </c>
      <c r="Y2" s="10">
        <v>129.38999999999999</v>
      </c>
      <c r="Z2" s="10">
        <v>127.78</v>
      </c>
      <c r="AA2" s="10">
        <v>128.53</v>
      </c>
      <c r="AB2" s="95">
        <v>33514400</v>
      </c>
      <c r="AC2" s="10">
        <v>128.53</v>
      </c>
      <c r="AD2" s="2">
        <f>Y2-Z2</f>
        <v>1.6099999999999852</v>
      </c>
      <c r="AE2" s="138">
        <f>AC2/AC3-1</f>
        <v>-1.7087378640776585E-3</v>
      </c>
    </row>
    <row r="3" spans="1:40" x14ac:dyDescent="0.25">
      <c r="A3" s="23" t="s">
        <v>71</v>
      </c>
      <c r="B3" s="366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129.08000000000001</v>
      </c>
      <c r="W3" s="133">
        <v>42767</v>
      </c>
      <c r="X3" s="10">
        <v>127.03</v>
      </c>
      <c r="Y3" s="10">
        <v>130.49</v>
      </c>
      <c r="Z3" s="10">
        <v>127.01</v>
      </c>
      <c r="AA3" s="10">
        <v>128.75</v>
      </c>
      <c r="AB3" s="95">
        <v>111658100</v>
      </c>
      <c r="AC3" s="10">
        <v>128.75</v>
      </c>
      <c r="AD3" s="2">
        <f t="shared" ref="AD3:AD66" si="0">Y3-Z3</f>
        <v>3.480000000000004</v>
      </c>
      <c r="AE3" s="138">
        <f t="shared" ref="AE3:AE66" si="1">AC3/AC4-1</f>
        <v>6.098063452822422E-2</v>
      </c>
      <c r="AG3" s="1"/>
      <c r="AK3" s="234"/>
      <c r="AN3" s="234"/>
    </row>
    <row r="4" spans="1:40" x14ac:dyDescent="0.25">
      <c r="B4" s="366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129.08000000000001</v>
      </c>
      <c r="R4" s="526">
        <v>4.3E-3</v>
      </c>
      <c r="T4" s="1"/>
      <c r="W4" s="133">
        <v>42766</v>
      </c>
      <c r="X4" s="10">
        <v>121.15</v>
      </c>
      <c r="Y4" s="10">
        <v>121.39</v>
      </c>
      <c r="Z4" s="10">
        <v>120.62</v>
      </c>
      <c r="AA4" s="10">
        <v>121.35</v>
      </c>
      <c r="AB4" s="95">
        <v>41610600</v>
      </c>
      <c r="AC4" s="10">
        <v>121.35</v>
      </c>
      <c r="AD4" s="2">
        <f t="shared" si="0"/>
        <v>0.76999999999999602</v>
      </c>
      <c r="AE4" s="138">
        <f t="shared" si="1"/>
        <v>-2.3020636356162472E-3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W5" s="133">
        <v>42765</v>
      </c>
      <c r="X5" s="10">
        <v>120.93</v>
      </c>
      <c r="Y5" s="10">
        <v>121.63</v>
      </c>
      <c r="Z5" s="10">
        <v>120.66</v>
      </c>
      <c r="AA5" s="10">
        <v>121.63</v>
      </c>
      <c r="AB5" s="95">
        <v>30278800</v>
      </c>
      <c r="AC5" s="10">
        <v>121.63</v>
      </c>
      <c r="AD5" s="2">
        <f t="shared" si="0"/>
        <v>0.96999999999999886</v>
      </c>
      <c r="AE5" s="138">
        <f t="shared" si="1"/>
        <v>-2.6240262402624781E-3</v>
      </c>
      <c r="AK5" s="234"/>
      <c r="AN5" s="234"/>
    </row>
    <row r="6" spans="1:40" x14ac:dyDescent="0.25">
      <c r="B6" s="16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42762</v>
      </c>
      <c r="X6" s="10">
        <v>122.14</v>
      </c>
      <c r="Y6" s="10">
        <v>122.35</v>
      </c>
      <c r="Z6" s="10">
        <v>121.6</v>
      </c>
      <c r="AA6" s="10">
        <v>121.95</v>
      </c>
      <c r="AB6" s="95">
        <v>20437400</v>
      </c>
      <c r="AC6" s="10">
        <v>121.95</v>
      </c>
      <c r="AD6" s="2">
        <f t="shared" si="0"/>
        <v>0.75</v>
      </c>
      <c r="AE6" s="138">
        <f t="shared" si="1"/>
        <v>8.2007544694118195E-5</v>
      </c>
      <c r="AK6" s="234"/>
      <c r="AN6" s="234"/>
    </row>
    <row r="7" spans="1:40" x14ac:dyDescent="0.25">
      <c r="B7" s="164"/>
      <c r="C7" s="4"/>
      <c r="D7" s="3"/>
      <c r="E7" s="3"/>
      <c r="F7" s="3"/>
      <c r="G7" s="74"/>
      <c r="H7" s="185"/>
      <c r="I7" s="3"/>
      <c r="J7" s="3"/>
      <c r="K7" s="3"/>
      <c r="L7" s="4"/>
      <c r="M7" s="4"/>
      <c r="O7" s="11" t="s">
        <v>181</v>
      </c>
      <c r="Q7" s="2">
        <f>Q10+Q8</f>
        <v>363.09999999999945</v>
      </c>
      <c r="R7">
        <v>0</v>
      </c>
      <c r="W7" s="133">
        <v>42761</v>
      </c>
      <c r="X7" s="10">
        <v>121.67</v>
      </c>
      <c r="Y7" s="10">
        <v>122.44</v>
      </c>
      <c r="Z7" s="10">
        <v>121.6</v>
      </c>
      <c r="AA7" s="10">
        <v>121.94</v>
      </c>
      <c r="AB7" s="95">
        <v>26282000</v>
      </c>
      <c r="AC7" s="10">
        <v>121.94</v>
      </c>
      <c r="AD7" s="2">
        <f t="shared" si="0"/>
        <v>0.84000000000000341</v>
      </c>
      <c r="AE7" s="138">
        <f t="shared" si="1"/>
        <v>4.9228749589769194E-4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M8" s="4"/>
      <c r="O8" s="11" t="s">
        <v>184</v>
      </c>
      <c r="P8" s="34"/>
      <c r="Q8" s="2">
        <f>K18+M18-F18+Q2*Q4</f>
        <v>0</v>
      </c>
      <c r="W8" s="133">
        <v>42760</v>
      </c>
      <c r="X8" s="10">
        <v>120.42</v>
      </c>
      <c r="Y8" s="10">
        <v>122.1</v>
      </c>
      <c r="Z8" s="10">
        <v>120.28</v>
      </c>
      <c r="AA8" s="10">
        <v>121.88</v>
      </c>
      <c r="AB8" s="95">
        <v>32377600</v>
      </c>
      <c r="AC8" s="10">
        <v>121.88</v>
      </c>
      <c r="AD8" s="2">
        <f t="shared" si="0"/>
        <v>1.8199999999999932</v>
      </c>
      <c r="AE8" s="138">
        <f t="shared" si="1"/>
        <v>1.5920646828373686E-2</v>
      </c>
      <c r="AK8" s="234"/>
      <c r="AN8" s="234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M9" s="4"/>
      <c r="O9" s="11" t="s">
        <v>214</v>
      </c>
      <c r="Q9" s="138">
        <f>IF(Q2=0, 0, Q8/Q6)</f>
        <v>0</v>
      </c>
      <c r="T9" s="158"/>
      <c r="W9" s="133">
        <v>42759</v>
      </c>
      <c r="X9" s="10">
        <v>119.55</v>
      </c>
      <c r="Y9" s="10">
        <v>120.1</v>
      </c>
      <c r="Z9" s="10">
        <v>119.5</v>
      </c>
      <c r="AA9" s="10">
        <v>119.97</v>
      </c>
      <c r="AB9" s="95">
        <v>23150200</v>
      </c>
      <c r="AC9" s="10">
        <v>119.97</v>
      </c>
      <c r="AD9" s="2">
        <f t="shared" si="0"/>
        <v>0.59999999999999432</v>
      </c>
      <c r="AE9" s="138">
        <f t="shared" si="1"/>
        <v>-9.160559626915088E-4</v>
      </c>
    </row>
    <row r="10" spans="1:40" x14ac:dyDescent="0.25">
      <c r="B10" s="74"/>
      <c r="C10" s="4"/>
      <c r="D10" s="3"/>
      <c r="E10" s="3"/>
      <c r="F10" s="3"/>
      <c r="G10" s="74"/>
      <c r="H10" s="185"/>
      <c r="I10" s="4"/>
      <c r="J10" s="4"/>
      <c r="K10" s="3"/>
      <c r="L10" s="4"/>
      <c r="O10" s="11" t="s">
        <v>213</v>
      </c>
      <c r="P10" s="34"/>
      <c r="Q10" s="2">
        <f>M55</f>
        <v>363.09999999999945</v>
      </c>
      <c r="W10" s="133">
        <v>42758</v>
      </c>
      <c r="X10" s="10">
        <v>120</v>
      </c>
      <c r="Y10" s="10">
        <v>120.81</v>
      </c>
      <c r="Z10" s="10">
        <v>119.77</v>
      </c>
      <c r="AA10" s="10">
        <v>120.08</v>
      </c>
      <c r="AB10" s="95">
        <v>21131400</v>
      </c>
      <c r="AC10" s="10">
        <v>120.08</v>
      </c>
      <c r="AD10" s="2">
        <f t="shared" si="0"/>
        <v>1.0400000000000063</v>
      </c>
      <c r="AE10" s="138">
        <f t="shared" si="1"/>
        <v>6.6666666666659324E-4</v>
      </c>
    </row>
    <row r="11" spans="1:40" x14ac:dyDescent="0.25">
      <c r="B11" s="74"/>
      <c r="C11" s="4"/>
      <c r="D11" s="3"/>
      <c r="E11" s="3"/>
      <c r="F11" s="3"/>
      <c r="G11" s="74"/>
      <c r="H11" s="185"/>
      <c r="I11" s="4"/>
      <c r="J11" s="4"/>
      <c r="K11" s="3"/>
      <c r="L11" s="4"/>
      <c r="O11" s="11" t="s">
        <v>178</v>
      </c>
      <c r="P11" s="34"/>
      <c r="Q11" s="138">
        <f>VALUE(TRIM(CLEAN(MID(U55, FIND("(", U55)+1, 5))))</f>
        <v>1.77E-2</v>
      </c>
      <c r="W11" s="133">
        <v>42755</v>
      </c>
      <c r="X11" s="10">
        <v>120.45</v>
      </c>
      <c r="Y11" s="10">
        <v>120.45</v>
      </c>
      <c r="Z11" s="10">
        <v>119.73</v>
      </c>
      <c r="AA11" s="10">
        <v>120</v>
      </c>
      <c r="AB11" s="95">
        <v>29479900</v>
      </c>
      <c r="AC11" s="10">
        <v>120</v>
      </c>
      <c r="AD11" s="2">
        <f t="shared" si="0"/>
        <v>0.71999999999999886</v>
      </c>
      <c r="AE11" s="138">
        <f t="shared" si="1"/>
        <v>1.8367006177992806E-3</v>
      </c>
    </row>
    <row r="12" spans="1:40" x14ac:dyDescent="0.25">
      <c r="B12" s="74"/>
      <c r="C12" s="4"/>
      <c r="D12" s="3"/>
      <c r="E12" s="3"/>
      <c r="F12" s="3"/>
      <c r="G12" s="74"/>
      <c r="H12" s="185"/>
      <c r="I12" s="4"/>
      <c r="J12" s="4"/>
      <c r="K12" s="3"/>
      <c r="L12" s="4"/>
      <c r="W12" s="133">
        <v>42754</v>
      </c>
      <c r="X12" s="10">
        <v>119.4</v>
      </c>
      <c r="Y12" s="10">
        <v>120.09</v>
      </c>
      <c r="Z12" s="10">
        <v>119.37</v>
      </c>
      <c r="AA12" s="10">
        <v>119.78</v>
      </c>
      <c r="AB12" s="95">
        <v>25295700</v>
      </c>
      <c r="AC12" s="10">
        <v>119.78</v>
      </c>
      <c r="AD12" s="2">
        <f t="shared" si="0"/>
        <v>0.71999999999999886</v>
      </c>
      <c r="AE12" s="138">
        <f t="shared" si="1"/>
        <v>-1.75014584548705E-3</v>
      </c>
    </row>
    <row r="13" spans="1:40" x14ac:dyDescent="0.25">
      <c r="B13" s="74"/>
      <c r="C13" s="4"/>
      <c r="D13" s="3"/>
      <c r="E13" s="3"/>
      <c r="F13" s="3"/>
      <c r="G13" s="74"/>
      <c r="H13" s="185"/>
      <c r="I13" s="3"/>
      <c r="J13" s="4"/>
      <c r="K13" s="3"/>
      <c r="L13" s="4"/>
      <c r="W13" s="133">
        <v>42753</v>
      </c>
      <c r="X13" s="10">
        <v>120</v>
      </c>
      <c r="Y13" s="10">
        <v>120.5</v>
      </c>
      <c r="Z13" s="10">
        <v>119.71</v>
      </c>
      <c r="AA13" s="10">
        <v>119.99</v>
      </c>
      <c r="AB13" s="95">
        <v>23644700</v>
      </c>
      <c r="AC13" s="10">
        <v>119.99</v>
      </c>
      <c r="AD13" s="2">
        <f t="shared" si="0"/>
        <v>0.79000000000000625</v>
      </c>
      <c r="AE13" s="138">
        <f t="shared" si="1"/>
        <v>-8.3333333333324155E-5</v>
      </c>
    </row>
    <row r="14" spans="1:40" x14ac:dyDescent="0.25">
      <c r="B14" s="74"/>
      <c r="C14" s="4"/>
      <c r="D14" s="3"/>
      <c r="E14" s="3"/>
      <c r="F14" s="3"/>
      <c r="G14" s="74"/>
      <c r="H14" s="185"/>
      <c r="I14" s="4"/>
      <c r="J14" s="4"/>
      <c r="K14" s="3"/>
      <c r="L14" s="4"/>
      <c r="W14" s="133">
        <v>42752</v>
      </c>
      <c r="X14" s="10">
        <v>118.34</v>
      </c>
      <c r="Y14" s="10">
        <v>120.24</v>
      </c>
      <c r="Z14" s="10">
        <v>118.22</v>
      </c>
      <c r="AA14" s="10">
        <v>120</v>
      </c>
      <c r="AB14" s="95">
        <v>34078600</v>
      </c>
      <c r="AC14" s="10">
        <v>120</v>
      </c>
      <c r="AD14" s="2">
        <f t="shared" si="0"/>
        <v>2.019999999999996</v>
      </c>
      <c r="AE14" s="138">
        <f t="shared" si="1"/>
        <v>8.0645161290322509E-3</v>
      </c>
    </row>
    <row r="15" spans="1:40" x14ac:dyDescent="0.25">
      <c r="B15" s="4"/>
      <c r="C15" s="4"/>
      <c r="D15" s="3"/>
      <c r="E15" s="3"/>
      <c r="F15" s="3"/>
      <c r="G15" s="74"/>
      <c r="H15" s="185"/>
      <c r="I15" s="4"/>
      <c r="J15" s="4"/>
      <c r="K15" s="3"/>
      <c r="L15" s="4"/>
      <c r="W15" s="133">
        <v>42748</v>
      </c>
      <c r="X15" s="10">
        <v>119.11</v>
      </c>
      <c r="Y15" s="10">
        <v>119.62</v>
      </c>
      <c r="Z15" s="10">
        <v>118.81</v>
      </c>
      <c r="AA15" s="10">
        <v>119.04</v>
      </c>
      <c r="AB15" s="95">
        <v>25938300</v>
      </c>
      <c r="AC15" s="10">
        <v>119.04</v>
      </c>
      <c r="AD15" s="2">
        <f t="shared" si="0"/>
        <v>0.81000000000000227</v>
      </c>
      <c r="AE15" s="138">
        <f t="shared" si="1"/>
        <v>-1.7610062893080869E-3</v>
      </c>
    </row>
    <row r="16" spans="1:40" x14ac:dyDescent="0.25">
      <c r="G16" s="1"/>
      <c r="H16" s="72"/>
      <c r="W16" s="133">
        <v>42747</v>
      </c>
      <c r="X16" s="10">
        <v>118.9</v>
      </c>
      <c r="Y16" s="10">
        <v>119.3</v>
      </c>
      <c r="Z16" s="10">
        <v>118.21</v>
      </c>
      <c r="AA16" s="10">
        <v>119.25</v>
      </c>
      <c r="AB16" s="95">
        <v>27002400</v>
      </c>
      <c r="AC16" s="10">
        <v>119.25</v>
      </c>
      <c r="AD16" s="2">
        <f t="shared" si="0"/>
        <v>1.0900000000000034</v>
      </c>
      <c r="AE16" s="138">
        <f t="shared" si="1"/>
        <v>-4.1753653444676075E-3</v>
      </c>
    </row>
    <row r="17" spans="1:31" x14ac:dyDescent="0.25">
      <c r="G17" s="1"/>
      <c r="H17" s="72"/>
      <c r="W17" s="133">
        <v>42746</v>
      </c>
      <c r="X17" s="10">
        <v>118.74</v>
      </c>
      <c r="Y17" s="10">
        <v>119.93</v>
      </c>
      <c r="Z17" s="10">
        <v>118.6</v>
      </c>
      <c r="AA17" s="10">
        <v>119.75</v>
      </c>
      <c r="AB17" s="95">
        <v>27418600</v>
      </c>
      <c r="AC17" s="10">
        <v>119.75</v>
      </c>
      <c r="AD17" s="2">
        <f t="shared" si="0"/>
        <v>1.3300000000000125</v>
      </c>
      <c r="AE17" s="138">
        <f t="shared" si="1"/>
        <v>5.3731844513476013E-3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>SUM(H2:H14)</f>
        <v>0</v>
      </c>
      <c r="I18" s="14"/>
      <c r="J18" s="14"/>
      <c r="K18" s="18">
        <f>SUM(K2:K14)</f>
        <v>0</v>
      </c>
      <c r="L18" s="14"/>
      <c r="M18" s="18">
        <f t="shared" si="2"/>
        <v>0</v>
      </c>
      <c r="W18" s="133">
        <v>42745</v>
      </c>
      <c r="X18" s="10">
        <v>118.77</v>
      </c>
      <c r="Y18" s="10">
        <v>119.38</v>
      </c>
      <c r="Z18" s="10">
        <v>118.3</v>
      </c>
      <c r="AA18" s="10">
        <v>119.11</v>
      </c>
      <c r="AB18" s="95">
        <v>24420800</v>
      </c>
      <c r="AC18" s="10">
        <v>119.11</v>
      </c>
      <c r="AD18" s="2">
        <f t="shared" si="0"/>
        <v>1.0799999999999983</v>
      </c>
      <c r="AE18" s="138">
        <f t="shared" si="1"/>
        <v>1.0084881082443875E-3</v>
      </c>
    </row>
    <row r="19" spans="1:31" ht="15.75" thickBot="1" x14ac:dyDescent="0.3">
      <c r="A19" s="356" t="s">
        <v>198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 t="shared" ref="M19" si="3">SumByColor($A$19,M2:M17)</f>
        <v>0</v>
      </c>
      <c r="N19" s="2"/>
      <c r="W19" s="133">
        <v>42744</v>
      </c>
      <c r="X19" s="10">
        <v>117.95</v>
      </c>
      <c r="Y19" s="10">
        <v>119.43</v>
      </c>
      <c r="Z19" s="10">
        <v>117.94</v>
      </c>
      <c r="AA19" s="10">
        <v>118.99</v>
      </c>
      <c r="AB19" s="95">
        <v>33387600</v>
      </c>
      <c r="AC19" s="10">
        <v>118.99</v>
      </c>
      <c r="AD19" s="2">
        <f t="shared" si="0"/>
        <v>1.4900000000000091</v>
      </c>
      <c r="AE19" s="138">
        <f t="shared" si="1"/>
        <v>9.1595284539054411E-3</v>
      </c>
    </row>
    <row r="20" spans="1:31" x14ac:dyDescent="0.25">
      <c r="W20" s="133">
        <v>42741</v>
      </c>
      <c r="X20" s="10">
        <v>116.78</v>
      </c>
      <c r="Y20" s="10">
        <v>118.16</v>
      </c>
      <c r="Z20" s="10">
        <v>116.47</v>
      </c>
      <c r="AA20" s="10">
        <v>117.91</v>
      </c>
      <c r="AB20" s="95">
        <v>31577900</v>
      </c>
      <c r="AC20" s="10">
        <v>117.91</v>
      </c>
      <c r="AD20" s="2">
        <f t="shared" si="0"/>
        <v>1.6899999999999977</v>
      </c>
      <c r="AE20" s="138">
        <f t="shared" si="1"/>
        <v>1.1148272017837302E-2</v>
      </c>
    </row>
    <row r="21" spans="1:31" x14ac:dyDescent="0.25">
      <c r="W21" s="133">
        <v>42740</v>
      </c>
      <c r="X21" s="10">
        <v>115.92</v>
      </c>
      <c r="Y21" s="10">
        <v>116.86</v>
      </c>
      <c r="Z21" s="10">
        <v>115.81</v>
      </c>
      <c r="AA21" s="10">
        <v>116.61</v>
      </c>
      <c r="AB21" s="95">
        <v>22103700</v>
      </c>
      <c r="AC21" s="10">
        <v>116.61</v>
      </c>
      <c r="AD21" s="2">
        <f t="shared" si="0"/>
        <v>1.0499999999999972</v>
      </c>
      <c r="AE21" s="138">
        <f t="shared" si="1"/>
        <v>5.0853301154973884E-3</v>
      </c>
    </row>
    <row r="22" spans="1:31" x14ac:dyDescent="0.25">
      <c r="W22" s="133">
        <v>42739</v>
      </c>
      <c r="X22" s="10">
        <v>115.85</v>
      </c>
      <c r="Y22" s="10">
        <v>116.51</v>
      </c>
      <c r="Z22" s="10">
        <v>115.75</v>
      </c>
      <c r="AA22" s="10">
        <v>116.02</v>
      </c>
      <c r="AB22" s="95">
        <v>20858700</v>
      </c>
      <c r="AC22" s="10">
        <v>116.02</v>
      </c>
      <c r="AD22" s="2">
        <f t="shared" si="0"/>
        <v>0.76000000000000512</v>
      </c>
      <c r="AE22" s="138">
        <f t="shared" si="1"/>
        <v>-1.1192423590186129E-3</v>
      </c>
    </row>
    <row r="23" spans="1:31" x14ac:dyDescent="0.25">
      <c r="W23" s="133">
        <v>42738</v>
      </c>
      <c r="X23" s="10">
        <v>115.8</v>
      </c>
      <c r="Y23" s="10">
        <v>116.33</v>
      </c>
      <c r="Z23" s="10">
        <v>114.76</v>
      </c>
      <c r="AA23" s="10">
        <v>116.15</v>
      </c>
      <c r="AB23" s="95">
        <v>28509500</v>
      </c>
      <c r="AC23" s="10">
        <v>116.15</v>
      </c>
      <c r="AD23" s="2">
        <f t="shared" si="0"/>
        <v>1.5699999999999932</v>
      </c>
      <c r="AE23" s="138">
        <f t="shared" si="1"/>
        <v>2.8492488343982991E-3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5" t="s">
        <v>65</v>
      </c>
      <c r="G24" s="229" t="s">
        <v>152</v>
      </c>
      <c r="H24" s="195" t="s">
        <v>88</v>
      </c>
      <c r="I24" s="195" t="s">
        <v>155</v>
      </c>
      <c r="W24" s="133">
        <v>42734</v>
      </c>
      <c r="X24" s="10">
        <v>116.65</v>
      </c>
      <c r="Y24" s="10">
        <v>117.2</v>
      </c>
      <c r="Z24" s="10">
        <v>115.43</v>
      </c>
      <c r="AA24" s="10">
        <v>115.82</v>
      </c>
      <c r="AB24" s="95">
        <v>30253100</v>
      </c>
      <c r="AC24" s="10">
        <v>115.82</v>
      </c>
      <c r="AD24" s="2">
        <f t="shared" si="0"/>
        <v>1.769999999999996</v>
      </c>
      <c r="AE24" s="138">
        <f t="shared" si="1"/>
        <v>-7.7957680116509387E-3</v>
      </c>
    </row>
    <row r="25" spans="1:31" x14ac:dyDescent="0.25">
      <c r="B25" s="193">
        <v>42502</v>
      </c>
      <c r="C25" s="10">
        <v>25</v>
      </c>
      <c r="D25" s="40">
        <v>90.451999999999998</v>
      </c>
      <c r="E25" s="40">
        <v>90.34</v>
      </c>
      <c r="F25" s="40">
        <f t="shared" ref="F25:F34" si="4">C25*(E25-D25)</f>
        <v>-2.7999999999998693</v>
      </c>
      <c r="G25" s="40">
        <f t="shared" ref="G25:G34" si="5">D25*C25</f>
        <v>2261.3000000000002</v>
      </c>
      <c r="H25" s="231">
        <f t="shared" ref="H25:H34" si="6">(E25-D25)/D25</f>
        <v>-1.238225799318918E-3</v>
      </c>
      <c r="I25" s="231"/>
      <c r="W25" s="133">
        <v>42733</v>
      </c>
      <c r="X25" s="10">
        <v>116.45</v>
      </c>
      <c r="Y25" s="10">
        <v>117.11</v>
      </c>
      <c r="Z25" s="10">
        <v>116.4</v>
      </c>
      <c r="AA25" s="10">
        <v>116.73</v>
      </c>
      <c r="AB25" s="95">
        <v>14963300</v>
      </c>
      <c r="AC25" s="10">
        <v>116.73</v>
      </c>
      <c r="AD25" s="2">
        <f t="shared" si="0"/>
        <v>0.70999999999999375</v>
      </c>
      <c r="AE25" s="138">
        <f t="shared" si="1"/>
        <v>-2.5693730729703379E-4</v>
      </c>
    </row>
    <row r="26" spans="1:31" x14ac:dyDescent="0.25">
      <c r="B26" s="193">
        <v>42506</v>
      </c>
      <c r="C26" s="237">
        <v>25</v>
      </c>
      <c r="D26" s="238">
        <v>90.451999999999998</v>
      </c>
      <c r="E26" s="40">
        <v>93.88</v>
      </c>
      <c r="F26" s="40">
        <f t="shared" si="4"/>
        <v>85.699999999999932</v>
      </c>
      <c r="G26" s="40">
        <f t="shared" si="5"/>
        <v>2261.3000000000002</v>
      </c>
      <c r="H26" s="231">
        <f t="shared" si="6"/>
        <v>3.7898553929155768E-2</v>
      </c>
      <c r="I26" s="231"/>
      <c r="W26" s="133">
        <v>42732</v>
      </c>
      <c r="X26" s="10">
        <v>117.52</v>
      </c>
      <c r="Y26" s="10">
        <v>118.02</v>
      </c>
      <c r="Z26" s="10">
        <v>116.2</v>
      </c>
      <c r="AA26" s="10">
        <v>116.76</v>
      </c>
      <c r="AB26" s="95">
        <v>20582000</v>
      </c>
      <c r="AC26" s="10">
        <v>116.76</v>
      </c>
      <c r="AD26" s="2">
        <f t="shared" si="0"/>
        <v>1.8199999999999932</v>
      </c>
      <c r="AE26" s="138">
        <f t="shared" si="1"/>
        <v>-4.2640286542725558E-3</v>
      </c>
    </row>
    <row r="27" spans="1:31" x14ac:dyDescent="0.25">
      <c r="B27" s="193">
        <v>42515</v>
      </c>
      <c r="C27" s="10">
        <v>25</v>
      </c>
      <c r="D27" s="40">
        <v>90.451999999999998</v>
      </c>
      <c r="E27" s="40">
        <v>99.62</v>
      </c>
      <c r="F27" s="40">
        <f t="shared" si="4"/>
        <v>229.20000000000016</v>
      </c>
      <c r="G27" s="40">
        <f t="shared" si="5"/>
        <v>2261.3000000000002</v>
      </c>
      <c r="H27" s="231">
        <f t="shared" si="6"/>
        <v>0.10135762614425338</v>
      </c>
      <c r="I27" s="232" t="s">
        <v>218</v>
      </c>
      <c r="W27" s="133">
        <v>42731</v>
      </c>
      <c r="X27" s="10">
        <v>116.52</v>
      </c>
      <c r="Y27" s="10">
        <v>117.8</v>
      </c>
      <c r="Z27" s="10">
        <v>116.49</v>
      </c>
      <c r="AA27" s="10">
        <v>117.26</v>
      </c>
      <c r="AB27" s="95">
        <v>18071900</v>
      </c>
      <c r="AC27" s="10">
        <v>117.26</v>
      </c>
      <c r="AD27" s="2">
        <f t="shared" si="0"/>
        <v>1.3100000000000023</v>
      </c>
      <c r="AE27" s="138">
        <f t="shared" si="1"/>
        <v>6.3508410573291929E-3</v>
      </c>
    </row>
    <row r="28" spans="1:31" x14ac:dyDescent="0.25">
      <c r="B28" s="193">
        <v>42524</v>
      </c>
      <c r="C28" s="10">
        <v>25</v>
      </c>
      <c r="D28" s="40">
        <v>90.451999999999998</v>
      </c>
      <c r="E28" s="40">
        <v>97.84</v>
      </c>
      <c r="F28" s="40">
        <f t="shared" si="4"/>
        <v>184.70000000000013</v>
      </c>
      <c r="G28" s="40">
        <f t="shared" si="5"/>
        <v>2261.3000000000002</v>
      </c>
      <c r="H28" s="231">
        <f t="shared" si="6"/>
        <v>8.1678680405076781E-2</v>
      </c>
      <c r="I28" s="40"/>
      <c r="W28" s="133">
        <v>42727</v>
      </c>
      <c r="X28" s="10">
        <v>115.59</v>
      </c>
      <c r="Y28" s="10">
        <v>116.52</v>
      </c>
      <c r="Z28" s="10">
        <v>115.59</v>
      </c>
      <c r="AA28" s="10">
        <v>116.52</v>
      </c>
      <c r="AB28" s="95">
        <v>14181200</v>
      </c>
      <c r="AC28" s="10">
        <v>116.52</v>
      </c>
      <c r="AD28" s="2">
        <f t="shared" si="0"/>
        <v>0.92999999999999261</v>
      </c>
      <c r="AE28" s="138">
        <f t="shared" si="1"/>
        <v>1.9778140854758153E-3</v>
      </c>
    </row>
    <row r="29" spans="1:31" x14ac:dyDescent="0.25">
      <c r="B29" s="193">
        <v>42539</v>
      </c>
      <c r="C29" s="10">
        <v>25</v>
      </c>
      <c r="D29" s="40">
        <v>90.45</v>
      </c>
      <c r="E29" s="40">
        <v>95.33</v>
      </c>
      <c r="F29" s="40">
        <f t="shared" si="4"/>
        <v>121.99999999999989</v>
      </c>
      <c r="G29" s="40">
        <f t="shared" si="5"/>
        <v>2261.25</v>
      </c>
      <c r="H29" s="231">
        <f t="shared" si="6"/>
        <v>5.3952459922609122E-2</v>
      </c>
      <c r="I29" s="40"/>
      <c r="W29" s="133">
        <v>42726</v>
      </c>
      <c r="X29" s="10">
        <v>116.35</v>
      </c>
      <c r="Y29" s="10">
        <v>116.51</v>
      </c>
      <c r="Z29" s="10">
        <v>115.64</v>
      </c>
      <c r="AA29" s="10">
        <v>116.29</v>
      </c>
      <c r="AB29" s="95">
        <v>25789800</v>
      </c>
      <c r="AC29" s="10">
        <v>116.29</v>
      </c>
      <c r="AD29" s="2">
        <f t="shared" si="0"/>
        <v>0.87000000000000455</v>
      </c>
      <c r="AE29" s="138">
        <f t="shared" si="1"/>
        <v>-6.5778233384589102E-3</v>
      </c>
    </row>
    <row r="30" spans="1:31" x14ac:dyDescent="0.25">
      <c r="B30" s="193">
        <v>42544</v>
      </c>
      <c r="C30" s="10">
        <v>25</v>
      </c>
      <c r="D30" s="40">
        <v>90.451999999999998</v>
      </c>
      <c r="E30" s="40">
        <v>96.1</v>
      </c>
      <c r="F30" s="40">
        <f t="shared" si="4"/>
        <v>141.1999999999999</v>
      </c>
      <c r="G30" s="40">
        <f t="shared" si="5"/>
        <v>2261.3000000000002</v>
      </c>
      <c r="H30" s="231">
        <f t="shared" si="6"/>
        <v>6.2441958165656883E-2</v>
      </c>
      <c r="I30" s="40"/>
      <c r="W30" s="133">
        <v>42725</v>
      </c>
      <c r="X30" s="10">
        <v>116.8</v>
      </c>
      <c r="Y30" s="10">
        <v>117.4</v>
      </c>
      <c r="Z30" s="10">
        <v>116.78</v>
      </c>
      <c r="AA30" s="10">
        <v>117.06</v>
      </c>
      <c r="AB30" s="95">
        <v>24216900</v>
      </c>
      <c r="AC30" s="10">
        <v>117.06</v>
      </c>
      <c r="AD30" s="2">
        <f t="shared" si="0"/>
        <v>0.62000000000000455</v>
      </c>
      <c r="AE30" s="138">
        <f t="shared" si="1"/>
        <v>9.4057289439941627E-4</v>
      </c>
    </row>
    <row r="31" spans="1:31" x14ac:dyDescent="0.25">
      <c r="B31" s="193">
        <v>42545</v>
      </c>
      <c r="C31" s="10">
        <v>50</v>
      </c>
      <c r="D31" s="40">
        <v>91.725999999999999</v>
      </c>
      <c r="E31" s="40">
        <v>93.4</v>
      </c>
      <c r="F31" s="40">
        <f t="shared" si="4"/>
        <v>83.70000000000033</v>
      </c>
      <c r="G31" s="40">
        <f t="shared" si="5"/>
        <v>4586.3</v>
      </c>
      <c r="H31" s="231">
        <f t="shared" si="6"/>
        <v>1.825000545101723E-2</v>
      </c>
      <c r="I31" s="40"/>
      <c r="W31" s="133">
        <v>42724</v>
      </c>
      <c r="X31" s="10">
        <v>116.74</v>
      </c>
      <c r="Y31" s="10">
        <v>117.5</v>
      </c>
      <c r="Z31" s="10">
        <v>116.68</v>
      </c>
      <c r="AA31" s="10">
        <v>116.95</v>
      </c>
      <c r="AB31" s="95">
        <v>20905800</v>
      </c>
      <c r="AC31" s="10">
        <v>116.95</v>
      </c>
      <c r="AD31" s="2">
        <f t="shared" si="0"/>
        <v>0.81999999999999318</v>
      </c>
      <c r="AE31" s="138">
        <f t="shared" si="1"/>
        <v>2.6577503429354721E-3</v>
      </c>
    </row>
    <row r="32" spans="1:31" x14ac:dyDescent="0.25">
      <c r="B32" s="193">
        <v>42548</v>
      </c>
      <c r="C32" s="10">
        <v>50</v>
      </c>
      <c r="D32" s="40">
        <v>91.725999999999999</v>
      </c>
      <c r="E32" s="40">
        <v>92.04</v>
      </c>
      <c r="F32" s="40">
        <f t="shared" si="4"/>
        <v>15.700000000000358</v>
      </c>
      <c r="G32" s="40">
        <f t="shared" si="5"/>
        <v>4586.3</v>
      </c>
      <c r="H32" s="231">
        <f t="shared" si="6"/>
        <v>3.4232387763557461E-3</v>
      </c>
      <c r="I32" s="40"/>
      <c r="W32" s="133">
        <v>42723</v>
      </c>
      <c r="X32" s="10">
        <v>115.8</v>
      </c>
      <c r="Y32" s="10">
        <v>117.38</v>
      </c>
      <c r="Z32" s="10">
        <v>115.75</v>
      </c>
      <c r="AA32" s="10">
        <v>116.64</v>
      </c>
      <c r="AB32" s="95">
        <v>27675400</v>
      </c>
      <c r="AC32" s="10">
        <v>116.64</v>
      </c>
      <c r="AD32" s="2">
        <f t="shared" si="0"/>
        <v>1.6299999999999955</v>
      </c>
      <c r="AE32" s="138">
        <f t="shared" si="1"/>
        <v>5.7773562128136113E-3</v>
      </c>
    </row>
    <row r="33" spans="2:31" x14ac:dyDescent="0.25">
      <c r="B33" s="193">
        <v>42549</v>
      </c>
      <c r="C33" s="7">
        <v>50</v>
      </c>
      <c r="D33" s="44">
        <v>91.73</v>
      </c>
      <c r="E33" s="40">
        <v>93.59</v>
      </c>
      <c r="F33" s="40">
        <f t="shared" si="4"/>
        <v>92.999999999999972</v>
      </c>
      <c r="G33" s="40">
        <f t="shared" si="5"/>
        <v>4586.5</v>
      </c>
      <c r="H33" s="231">
        <f t="shared" si="6"/>
        <v>2.0276899596642313E-2</v>
      </c>
      <c r="I33" s="40"/>
      <c r="W33" s="133">
        <v>42720</v>
      </c>
      <c r="X33" s="10">
        <v>116.47</v>
      </c>
      <c r="Y33" s="10">
        <v>116.5</v>
      </c>
      <c r="Z33" s="10">
        <v>115.65</v>
      </c>
      <c r="AA33" s="10">
        <v>115.97</v>
      </c>
      <c r="AB33" s="95">
        <v>44055400</v>
      </c>
      <c r="AC33" s="10">
        <v>115.97</v>
      </c>
      <c r="AD33" s="2">
        <f t="shared" si="0"/>
        <v>0.84999999999999432</v>
      </c>
      <c r="AE33" s="138">
        <f t="shared" si="1"/>
        <v>1.2951131065446209E-3</v>
      </c>
    </row>
    <row r="34" spans="2:31" x14ac:dyDescent="0.25">
      <c r="B34" s="193">
        <v>42552</v>
      </c>
      <c r="C34" s="237">
        <v>25</v>
      </c>
      <c r="D34" s="238">
        <v>87.174000000000007</v>
      </c>
      <c r="E34" s="40">
        <v>95.89</v>
      </c>
      <c r="F34" s="40">
        <f t="shared" si="4"/>
        <v>217.89999999999986</v>
      </c>
      <c r="G34" s="40">
        <f t="shared" si="5"/>
        <v>2179.3500000000004</v>
      </c>
      <c r="H34" s="231">
        <f t="shared" si="6"/>
        <v>9.9983940165645643E-2</v>
      </c>
      <c r="I34" s="40"/>
      <c r="W34" s="133">
        <v>42719</v>
      </c>
      <c r="X34" s="10">
        <v>115.38</v>
      </c>
      <c r="Y34" s="10">
        <v>116.73</v>
      </c>
      <c r="Z34" s="10">
        <v>115.23</v>
      </c>
      <c r="AA34" s="10">
        <v>115.82</v>
      </c>
      <c r="AB34" s="95">
        <v>46232200</v>
      </c>
      <c r="AC34" s="10">
        <v>115.82</v>
      </c>
      <c r="AD34" s="2">
        <f t="shared" si="0"/>
        <v>1.5</v>
      </c>
      <c r="AE34" s="138">
        <f t="shared" si="1"/>
        <v>5.4692247590937271E-3</v>
      </c>
    </row>
    <row r="35" spans="2:31" x14ac:dyDescent="0.25">
      <c r="B35" s="193">
        <v>42556</v>
      </c>
      <c r="C35" s="10">
        <v>25</v>
      </c>
      <c r="D35" s="40">
        <v>87.174000000000007</v>
      </c>
      <c r="E35" s="40">
        <v>95.04</v>
      </c>
      <c r="F35" s="40">
        <f t="shared" ref="F35" si="7">C35*(E35-D35)</f>
        <v>196.64999999999998</v>
      </c>
      <c r="G35" s="40">
        <f t="shared" ref="G35" si="8">D35*C35</f>
        <v>2179.3500000000004</v>
      </c>
      <c r="H35" s="231">
        <f t="shared" ref="H35" si="9">(E35-D35)/D35</f>
        <v>9.0233326450547172E-2</v>
      </c>
      <c r="I35" s="40"/>
      <c r="W35" s="133">
        <v>42718</v>
      </c>
      <c r="X35" s="10">
        <v>115.04</v>
      </c>
      <c r="Y35" s="10">
        <v>116.2</v>
      </c>
      <c r="Z35" s="10">
        <v>114.98</v>
      </c>
      <c r="AA35" s="10">
        <v>115.19</v>
      </c>
      <c r="AB35" s="95">
        <v>33433200</v>
      </c>
      <c r="AC35" s="10">
        <v>115.19</v>
      </c>
      <c r="AD35" s="2">
        <f t="shared" si="0"/>
        <v>1.2199999999999989</v>
      </c>
      <c r="AE35" s="138">
        <f t="shared" si="1"/>
        <v>0</v>
      </c>
    </row>
    <row r="36" spans="2:31" x14ac:dyDescent="0.25">
      <c r="B36" s="193">
        <v>42569</v>
      </c>
      <c r="C36" s="10">
        <v>25</v>
      </c>
      <c r="D36" s="40">
        <v>87.174000000000007</v>
      </c>
      <c r="E36" s="40">
        <v>99.83</v>
      </c>
      <c r="F36" s="40">
        <f t="shared" ref="F36" si="10">C36*(E36-D36)</f>
        <v>316.39999999999981</v>
      </c>
      <c r="G36" s="40">
        <f t="shared" ref="G36" si="11">D36*C36</f>
        <v>2179.3500000000004</v>
      </c>
      <c r="H36" s="231">
        <f t="shared" ref="H36" si="12">(E36-D36)/D36</f>
        <v>0.14518090256269062</v>
      </c>
      <c r="I36" s="236">
        <v>85</v>
      </c>
      <c r="W36" s="133">
        <v>42717</v>
      </c>
      <c r="X36" s="10">
        <v>113.84</v>
      </c>
      <c r="Y36" s="10">
        <v>115.92</v>
      </c>
      <c r="Z36" s="10">
        <v>113.75</v>
      </c>
      <c r="AA36" s="10">
        <v>115.19</v>
      </c>
      <c r="AB36" s="95">
        <v>43167500</v>
      </c>
      <c r="AC36" s="10">
        <v>115.19</v>
      </c>
      <c r="AD36" s="2">
        <f t="shared" si="0"/>
        <v>2.1700000000000017</v>
      </c>
      <c r="AE36" s="138">
        <f t="shared" si="1"/>
        <v>1.6681376875551601E-2</v>
      </c>
    </row>
    <row r="37" spans="2:31" x14ac:dyDescent="0.25">
      <c r="B37" s="193">
        <v>42570</v>
      </c>
      <c r="C37" s="10">
        <v>25</v>
      </c>
      <c r="D37" s="40">
        <v>87.174000000000007</v>
      </c>
      <c r="E37" s="40">
        <v>99.87</v>
      </c>
      <c r="F37" s="40">
        <f t="shared" ref="F37" si="13">C37*(E37-D37)</f>
        <v>317.39999999999998</v>
      </c>
      <c r="G37" s="40">
        <f t="shared" ref="G37" si="14">D37*C37</f>
        <v>2179.3500000000004</v>
      </c>
      <c r="H37" s="231">
        <f t="shared" ref="H37" si="15">(E37-D37)/D37</f>
        <v>0.14563975497281295</v>
      </c>
      <c r="I37" s="40"/>
      <c r="W37" s="133">
        <v>42716</v>
      </c>
      <c r="X37" s="10">
        <v>113.29</v>
      </c>
      <c r="Y37" s="10">
        <v>115</v>
      </c>
      <c r="Z37" s="10">
        <v>112.49</v>
      </c>
      <c r="AA37" s="10">
        <v>113.3</v>
      </c>
      <c r="AB37" s="95">
        <v>26149100</v>
      </c>
      <c r="AC37" s="10">
        <v>113.3</v>
      </c>
      <c r="AD37" s="2">
        <f t="shared" si="0"/>
        <v>2.5100000000000051</v>
      </c>
      <c r="AE37" s="138">
        <f t="shared" si="1"/>
        <v>-5.7042562527425122E-3</v>
      </c>
    </row>
    <row r="38" spans="2:31" x14ac:dyDescent="0.25">
      <c r="B38" s="193">
        <v>42571</v>
      </c>
      <c r="C38" s="10">
        <v>25</v>
      </c>
      <c r="D38" s="40">
        <v>87.174000000000007</v>
      </c>
      <c r="E38" s="40">
        <v>99.96</v>
      </c>
      <c r="F38" s="40">
        <f t="shared" ref="F38" si="16">C38*(E38-D38)</f>
        <v>319.64999999999969</v>
      </c>
      <c r="G38" s="40">
        <f t="shared" ref="G38" si="17">D38*C38</f>
        <v>2179.3500000000004</v>
      </c>
      <c r="H38" s="231">
        <f t="shared" ref="H38" si="18">(E38-D38)/D38</f>
        <v>0.14667217289558798</v>
      </c>
      <c r="I38" s="40"/>
      <c r="W38" s="133">
        <v>42713</v>
      </c>
      <c r="X38" s="10">
        <v>112.31</v>
      </c>
      <c r="Y38" s="10">
        <v>114.7</v>
      </c>
      <c r="Z38" s="10">
        <v>112.31</v>
      </c>
      <c r="AA38" s="10">
        <v>113.95</v>
      </c>
      <c r="AB38" s="95">
        <v>34274100</v>
      </c>
      <c r="AC38" s="10">
        <v>113.95</v>
      </c>
      <c r="AD38" s="2">
        <f t="shared" si="0"/>
        <v>2.3900000000000006</v>
      </c>
      <c r="AE38" s="138">
        <f t="shared" si="1"/>
        <v>1.6321798073492655E-2</v>
      </c>
    </row>
    <row r="39" spans="2:31" ht="20.25" thickBot="1" x14ac:dyDescent="0.35">
      <c r="B39" s="193">
        <v>42575</v>
      </c>
      <c r="C39" s="10">
        <v>25</v>
      </c>
      <c r="D39" s="40">
        <v>87.174000000000007</v>
      </c>
      <c r="E39" s="40">
        <v>98.66</v>
      </c>
      <c r="F39" s="40">
        <f t="shared" ref="F39" si="19">C39*(E39-D39)</f>
        <v>287.14999999999975</v>
      </c>
      <c r="G39" s="40">
        <f t="shared" ref="G39" si="20">D39*C39</f>
        <v>2179.3500000000004</v>
      </c>
      <c r="H39" s="231">
        <f t="shared" ref="H39" si="21">(E39-D39)/D39</f>
        <v>0.13175946956661377</v>
      </c>
      <c r="I39" s="40"/>
      <c r="T39" s="112" t="s">
        <v>113</v>
      </c>
      <c r="U39" s="9"/>
      <c r="W39" s="133">
        <v>42712</v>
      </c>
      <c r="X39" s="10">
        <v>110.86</v>
      </c>
      <c r="Y39" s="10">
        <v>112.43</v>
      </c>
      <c r="Z39" s="10">
        <v>110.6</v>
      </c>
      <c r="AA39" s="10">
        <v>112.12</v>
      </c>
      <c r="AB39" s="95">
        <v>26818500</v>
      </c>
      <c r="AC39" s="10">
        <v>112.12</v>
      </c>
      <c r="AD39" s="2">
        <f t="shared" si="0"/>
        <v>1.8300000000000125</v>
      </c>
      <c r="AE39" s="138">
        <f t="shared" si="1"/>
        <v>9.8171665315680556E-3</v>
      </c>
    </row>
    <row r="40" spans="2:31" ht="15.75" thickTop="1" x14ac:dyDescent="0.25">
      <c r="B40" s="193">
        <v>42576</v>
      </c>
      <c r="C40" s="10">
        <v>25</v>
      </c>
      <c r="D40" s="40">
        <v>87.174000000000007</v>
      </c>
      <c r="E40" s="40">
        <v>97.34</v>
      </c>
      <c r="F40" s="40">
        <f t="shared" ref="F40:F41" si="22">C40*(E40-D40)</f>
        <v>254.14999999999992</v>
      </c>
      <c r="G40" s="40">
        <f t="shared" ref="G40:G41" si="23">D40*C40</f>
        <v>2179.3500000000004</v>
      </c>
      <c r="H40" s="231">
        <f t="shared" ref="H40:H41" si="24">(E40-D40)/D40</f>
        <v>0.11661734003257848</v>
      </c>
      <c r="I40" s="40"/>
      <c r="T40" s="139" t="s">
        <v>98</v>
      </c>
      <c r="U40" s="367">
        <v>128.75</v>
      </c>
      <c r="W40" s="133">
        <v>42711</v>
      </c>
      <c r="X40" s="10">
        <v>109.26</v>
      </c>
      <c r="Y40" s="10">
        <v>111.19</v>
      </c>
      <c r="Z40" s="10">
        <v>109.16</v>
      </c>
      <c r="AA40" s="10">
        <v>111.03</v>
      </c>
      <c r="AB40" s="95">
        <v>29853000</v>
      </c>
      <c r="AC40" s="10">
        <v>111.03</v>
      </c>
      <c r="AD40" s="2">
        <f t="shared" si="0"/>
        <v>2.0300000000000011</v>
      </c>
      <c r="AE40" s="138">
        <f t="shared" si="1"/>
        <v>9.8226466575717097E-3</v>
      </c>
    </row>
    <row r="41" spans="2:31" x14ac:dyDescent="0.25">
      <c r="B41" s="193">
        <v>42577</v>
      </c>
      <c r="C41" s="10">
        <v>10</v>
      </c>
      <c r="D41" s="40">
        <v>67.069999999999993</v>
      </c>
      <c r="E41" s="40">
        <v>96.67</v>
      </c>
      <c r="F41" s="40">
        <f t="shared" si="22"/>
        <v>296.00000000000011</v>
      </c>
      <c r="G41" s="40">
        <f t="shared" si="23"/>
        <v>670.69999999999993</v>
      </c>
      <c r="H41" s="231">
        <f t="shared" si="24"/>
        <v>0.44132995377963341</v>
      </c>
      <c r="I41" s="40" t="s">
        <v>264</v>
      </c>
      <c r="T41" s="108" t="s">
        <v>99</v>
      </c>
      <c r="U41" s="368">
        <v>127.99</v>
      </c>
      <c r="W41" s="133">
        <v>42710</v>
      </c>
      <c r="X41" s="10">
        <v>109.5</v>
      </c>
      <c r="Y41" s="10">
        <v>110.36</v>
      </c>
      <c r="Z41" s="10">
        <v>109.19</v>
      </c>
      <c r="AA41" s="10">
        <v>109.95</v>
      </c>
      <c r="AB41" s="95">
        <v>26075900</v>
      </c>
      <c r="AC41" s="10">
        <v>109.95</v>
      </c>
      <c r="AD41" s="2">
        <f t="shared" si="0"/>
        <v>1.1700000000000017</v>
      </c>
      <c r="AE41" s="138">
        <f t="shared" si="1"/>
        <v>7.6986527357711942E-3</v>
      </c>
    </row>
    <row r="42" spans="2:31" ht="20.25" thickBot="1" x14ac:dyDescent="0.35">
      <c r="B42" s="193">
        <v>42577</v>
      </c>
      <c r="C42" s="10">
        <v>0</v>
      </c>
      <c r="D42" s="40"/>
      <c r="E42" s="40"/>
      <c r="F42" s="40">
        <v>363.1</v>
      </c>
      <c r="G42" s="40"/>
      <c r="H42" s="231"/>
      <c r="I42" s="40"/>
      <c r="O42" s="638" t="s">
        <v>78</v>
      </c>
      <c r="P42" s="638"/>
      <c r="T42" s="108" t="s">
        <v>100</v>
      </c>
      <c r="U42" s="368" t="s">
        <v>539</v>
      </c>
      <c r="W42" s="133">
        <v>42709</v>
      </c>
      <c r="X42" s="10">
        <v>110</v>
      </c>
      <c r="Y42" s="10">
        <v>110.03</v>
      </c>
      <c r="Z42" s="10">
        <v>108.25</v>
      </c>
      <c r="AA42" s="10">
        <v>109.11</v>
      </c>
      <c r="AB42" s="95">
        <v>34037300</v>
      </c>
      <c r="AC42" s="10">
        <v>109.11</v>
      </c>
      <c r="AD42" s="2">
        <f t="shared" si="0"/>
        <v>1.7800000000000011</v>
      </c>
      <c r="AE42" s="138">
        <f t="shared" si="1"/>
        <v>-7.1883530482257374E-3</v>
      </c>
    </row>
    <row r="43" spans="2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1.1000000000000001</v>
      </c>
      <c r="P43" s="83">
        <f>O43*$Q$4</f>
        <v>141.98800000000003</v>
      </c>
      <c r="Q43" s="2"/>
      <c r="T43" s="108" t="s">
        <v>101</v>
      </c>
      <c r="U43" s="368" t="s">
        <v>540</v>
      </c>
      <c r="W43" s="133">
        <v>42706</v>
      </c>
      <c r="X43" s="10">
        <v>109.17</v>
      </c>
      <c r="Y43" s="10">
        <v>110.09</v>
      </c>
      <c r="Z43" s="10">
        <v>108.85</v>
      </c>
      <c r="AA43" s="10">
        <v>109.9</v>
      </c>
      <c r="AB43" s="95">
        <v>26409800</v>
      </c>
      <c r="AC43" s="10">
        <v>109.9</v>
      </c>
      <c r="AD43" s="2">
        <f t="shared" si="0"/>
        <v>1.2400000000000091</v>
      </c>
      <c r="AE43" s="138">
        <f t="shared" si="1"/>
        <v>3.7446342131701726E-3</v>
      </c>
    </row>
    <row r="44" spans="2:31" x14ac:dyDescent="0.25">
      <c r="B44" s="193"/>
      <c r="C44" s="10"/>
      <c r="D44" s="40"/>
      <c r="E44" s="40"/>
      <c r="F44" s="40"/>
      <c r="G44" s="40"/>
      <c r="H44" s="231"/>
      <c r="I44" s="40"/>
      <c r="O44" s="83">
        <v>1.0900000000000001</v>
      </c>
      <c r="P44" s="83">
        <f t="shared" ref="P44:P63" si="25">O44*$Q$4</f>
        <v>140.69720000000004</v>
      </c>
      <c r="Q44" s="2"/>
      <c r="T44" s="108" t="s">
        <v>102</v>
      </c>
      <c r="U44" s="368">
        <v>138</v>
      </c>
      <c r="W44" s="133">
        <v>42705</v>
      </c>
      <c r="X44" s="10">
        <v>110.37</v>
      </c>
      <c r="Y44" s="10">
        <v>110.94</v>
      </c>
      <c r="Z44" s="10">
        <v>109.03</v>
      </c>
      <c r="AA44" s="10">
        <v>109.49</v>
      </c>
      <c r="AB44" s="95">
        <v>36825800</v>
      </c>
      <c r="AC44" s="10">
        <v>109.49</v>
      </c>
      <c r="AD44" s="2">
        <f t="shared" si="0"/>
        <v>1.9099999999999966</v>
      </c>
      <c r="AE44" s="138">
        <f t="shared" si="1"/>
        <v>-9.3195801664857081E-3</v>
      </c>
    </row>
    <row r="45" spans="2:31" x14ac:dyDescent="0.25">
      <c r="B45" s="193"/>
      <c r="C45" s="10"/>
      <c r="D45" s="40"/>
      <c r="E45" s="40"/>
      <c r="F45" s="40"/>
      <c r="G45" s="40"/>
      <c r="H45" s="231"/>
      <c r="I45" s="40"/>
      <c r="O45" s="83">
        <v>1.08</v>
      </c>
      <c r="P45" s="83">
        <f t="shared" si="25"/>
        <v>139.40640000000002</v>
      </c>
      <c r="Q45" s="2"/>
      <c r="T45" s="108" t="s">
        <v>103</v>
      </c>
      <c r="U45" s="368">
        <v>1.4416599999999999</v>
      </c>
      <c r="W45" s="133">
        <v>42704</v>
      </c>
      <c r="X45" s="10">
        <v>111.6</v>
      </c>
      <c r="Y45" s="10">
        <v>112.2</v>
      </c>
      <c r="Z45" s="10">
        <v>110.27</v>
      </c>
      <c r="AA45" s="10">
        <v>110.52</v>
      </c>
      <c r="AB45" s="95">
        <v>35765000</v>
      </c>
      <c r="AC45" s="10">
        <v>110.52</v>
      </c>
      <c r="AD45" s="2">
        <f t="shared" si="0"/>
        <v>1.9300000000000068</v>
      </c>
      <c r="AE45" s="138">
        <f t="shared" si="1"/>
        <v>-8.433518751121416E-3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1.07</v>
      </c>
      <c r="P46" s="83">
        <f t="shared" si="25"/>
        <v>138.11560000000003</v>
      </c>
      <c r="Q46" s="2"/>
      <c r="T46" s="108" t="s">
        <v>122</v>
      </c>
      <c r="U46" s="368" t="s">
        <v>541</v>
      </c>
      <c r="W46" s="133">
        <v>42703</v>
      </c>
      <c r="X46" s="10">
        <v>110.78</v>
      </c>
      <c r="Y46" s="10">
        <v>112.03</v>
      </c>
      <c r="Z46" s="10">
        <v>110.07</v>
      </c>
      <c r="AA46" s="10">
        <v>111.46</v>
      </c>
      <c r="AB46" s="95">
        <v>28459300</v>
      </c>
      <c r="AC46" s="10">
        <v>111.46</v>
      </c>
      <c r="AD46" s="2">
        <f t="shared" si="0"/>
        <v>1.960000000000008</v>
      </c>
      <c r="AE46" s="138">
        <f t="shared" si="1"/>
        <v>-9.859281168772549E-4</v>
      </c>
    </row>
    <row r="47" spans="2:31" x14ac:dyDescent="0.25">
      <c r="B47" s="193"/>
      <c r="C47" s="10"/>
      <c r="D47" s="40"/>
      <c r="E47" s="40"/>
      <c r="F47" s="40"/>
      <c r="G47" s="40"/>
      <c r="H47" s="231"/>
      <c r="I47" s="40"/>
      <c r="O47" s="83">
        <v>1.06</v>
      </c>
      <c r="P47" s="83">
        <f t="shared" si="25"/>
        <v>136.82480000000001</v>
      </c>
      <c r="Q47" s="2"/>
      <c r="T47" s="108"/>
      <c r="U47" s="368"/>
      <c r="W47" s="133">
        <v>42702</v>
      </c>
      <c r="X47" s="10">
        <v>111.43</v>
      </c>
      <c r="Y47" s="10">
        <v>112.47</v>
      </c>
      <c r="Z47" s="10">
        <v>111.39</v>
      </c>
      <c r="AA47" s="10">
        <v>111.57</v>
      </c>
      <c r="AB47" s="95">
        <v>27026600</v>
      </c>
      <c r="AC47" s="10">
        <v>111.57</v>
      </c>
      <c r="AD47" s="2">
        <f t="shared" si="0"/>
        <v>1.0799999999999983</v>
      </c>
      <c r="AE47" s="138">
        <f t="shared" si="1"/>
        <v>-1.9679756686645788E-3</v>
      </c>
    </row>
    <row r="48" spans="2:31" x14ac:dyDescent="0.25">
      <c r="O48" s="83">
        <v>1.05</v>
      </c>
      <c r="P48" s="83">
        <f t="shared" si="25"/>
        <v>135.53400000000002</v>
      </c>
      <c r="Q48" s="2"/>
      <c r="T48" s="108" t="s">
        <v>105</v>
      </c>
      <c r="U48" s="368" t="s">
        <v>542</v>
      </c>
      <c r="W48" s="133">
        <v>42699</v>
      </c>
      <c r="X48" s="10">
        <v>111.13</v>
      </c>
      <c r="Y48" s="10">
        <v>111.87</v>
      </c>
      <c r="Z48" s="10">
        <v>110.95</v>
      </c>
      <c r="AA48" s="10">
        <v>111.79</v>
      </c>
      <c r="AB48" s="95">
        <v>11424400</v>
      </c>
      <c r="AC48" s="10">
        <v>111.79</v>
      </c>
      <c r="AD48" s="2">
        <f t="shared" si="0"/>
        <v>0.92000000000000171</v>
      </c>
      <c r="AE48" s="138">
        <f t="shared" si="1"/>
        <v>5.0346129641283266E-3</v>
      </c>
    </row>
    <row r="49" spans="1:31" x14ac:dyDescent="0.25">
      <c r="O49" s="83">
        <v>1.04</v>
      </c>
      <c r="P49" s="83">
        <f t="shared" si="25"/>
        <v>134.24320000000003</v>
      </c>
      <c r="Q49" s="2"/>
      <c r="T49" s="108" t="s">
        <v>106</v>
      </c>
      <c r="U49" s="368" t="s">
        <v>501</v>
      </c>
      <c r="W49" s="133">
        <v>42697</v>
      </c>
      <c r="X49" s="10">
        <v>111.36</v>
      </c>
      <c r="Y49" s="10">
        <v>111.51</v>
      </c>
      <c r="Z49" s="10">
        <v>110.33</v>
      </c>
      <c r="AA49" s="10">
        <v>111.23</v>
      </c>
      <c r="AB49" s="95">
        <v>27387900</v>
      </c>
      <c r="AC49" s="10">
        <v>111.23</v>
      </c>
      <c r="AD49" s="2">
        <f t="shared" si="0"/>
        <v>1.1800000000000068</v>
      </c>
      <c r="AE49" s="138">
        <f t="shared" si="1"/>
        <v>-5.0983899821108736E-3</v>
      </c>
    </row>
    <row r="50" spans="1:31" x14ac:dyDescent="0.25">
      <c r="O50" s="83">
        <v>1.03</v>
      </c>
      <c r="P50" s="83">
        <f t="shared" si="25"/>
        <v>132.95240000000001</v>
      </c>
      <c r="Q50" s="2"/>
      <c r="T50" s="108" t="s">
        <v>107</v>
      </c>
      <c r="U50" s="369">
        <v>33710411</v>
      </c>
      <c r="W50" s="133">
        <v>42696</v>
      </c>
      <c r="X50" s="10">
        <v>111.95</v>
      </c>
      <c r="Y50" s="10">
        <v>112.42</v>
      </c>
      <c r="Z50" s="10">
        <v>111.4</v>
      </c>
      <c r="AA50" s="10">
        <v>111.8</v>
      </c>
      <c r="AB50" s="95">
        <v>25922600</v>
      </c>
      <c r="AC50" s="10">
        <v>111.8</v>
      </c>
      <c r="AD50" s="2">
        <f t="shared" si="0"/>
        <v>1.019999999999996</v>
      </c>
      <c r="AE50" s="138">
        <f t="shared" si="1"/>
        <v>6.265103374205605E-4</v>
      </c>
    </row>
    <row r="51" spans="1:31" x14ac:dyDescent="0.25">
      <c r="O51" s="83">
        <v>1.02</v>
      </c>
      <c r="P51" s="83">
        <f t="shared" si="25"/>
        <v>131.66160000000002</v>
      </c>
      <c r="Q51" s="2"/>
      <c r="T51" s="108" t="s">
        <v>110</v>
      </c>
      <c r="U51" s="369">
        <v>31719600</v>
      </c>
      <c r="W51" s="133">
        <v>42695</v>
      </c>
      <c r="X51" s="10">
        <v>110.12</v>
      </c>
      <c r="Y51" s="10">
        <v>111.99</v>
      </c>
      <c r="Z51" s="10">
        <v>110.01</v>
      </c>
      <c r="AA51" s="10">
        <v>111.73</v>
      </c>
      <c r="AB51" s="95">
        <v>29119100</v>
      </c>
      <c r="AC51" s="10">
        <v>111.73</v>
      </c>
      <c r="AD51" s="2">
        <f t="shared" si="0"/>
        <v>1.9799999999999898</v>
      </c>
      <c r="AE51" s="138">
        <f t="shared" si="1"/>
        <v>1.5173541704524895E-2</v>
      </c>
    </row>
    <row r="52" spans="1:31" x14ac:dyDescent="0.25">
      <c r="O52" s="83">
        <v>1.01</v>
      </c>
      <c r="P52" s="83">
        <f t="shared" si="25"/>
        <v>130.3708</v>
      </c>
      <c r="Q52" s="2"/>
      <c r="T52" s="108" t="s">
        <v>108</v>
      </c>
      <c r="U52" s="368" t="s">
        <v>543</v>
      </c>
      <c r="W52" s="133">
        <v>42692</v>
      </c>
      <c r="X52" s="10">
        <v>109.72</v>
      </c>
      <c r="Y52" s="10">
        <v>110.54</v>
      </c>
      <c r="Z52" s="10">
        <v>109.66</v>
      </c>
      <c r="AA52" s="10">
        <v>110.06</v>
      </c>
      <c r="AB52" s="95">
        <v>27404300</v>
      </c>
      <c r="AC52" s="10">
        <v>110.06</v>
      </c>
      <c r="AD52" s="2">
        <f t="shared" si="0"/>
        <v>0.88000000000000966</v>
      </c>
      <c r="AE52" s="138">
        <f t="shared" si="1"/>
        <v>1.0004547521600404E-3</v>
      </c>
    </row>
    <row r="53" spans="1:31" x14ac:dyDescent="0.25">
      <c r="O53" s="83">
        <v>1</v>
      </c>
      <c r="P53" s="83">
        <f t="shared" si="25"/>
        <v>129.08000000000001</v>
      </c>
      <c r="Q53" s="2"/>
      <c r="T53" s="108" t="s">
        <v>111</v>
      </c>
      <c r="U53" s="368">
        <v>15.43</v>
      </c>
      <c r="W53" s="133">
        <v>42691</v>
      </c>
      <c r="X53" s="10">
        <v>109.81</v>
      </c>
      <c r="Y53" s="10">
        <v>110.35</v>
      </c>
      <c r="Z53" s="10">
        <v>108.83</v>
      </c>
      <c r="AA53" s="10">
        <v>109.95</v>
      </c>
      <c r="AB53" s="95">
        <v>26964600</v>
      </c>
      <c r="AC53" s="10">
        <v>109.95</v>
      </c>
      <c r="AD53" s="2">
        <f t="shared" si="0"/>
        <v>1.519999999999996</v>
      </c>
      <c r="AE53" s="138">
        <f t="shared" si="1"/>
        <v>-3.6366942449306272E-4</v>
      </c>
    </row>
    <row r="54" spans="1:31" x14ac:dyDescent="0.25">
      <c r="O54" s="83">
        <v>0.99</v>
      </c>
      <c r="P54" s="83">
        <f t="shared" si="25"/>
        <v>127.78920000000001</v>
      </c>
      <c r="Q54" s="2"/>
      <c r="T54" s="108" t="s">
        <v>112</v>
      </c>
      <c r="U54" s="368">
        <v>8.33</v>
      </c>
      <c r="W54" s="133">
        <v>42690</v>
      </c>
      <c r="X54" s="10">
        <v>106.7</v>
      </c>
      <c r="Y54" s="10">
        <v>110.23</v>
      </c>
      <c r="Z54" s="10">
        <v>106.6</v>
      </c>
      <c r="AA54" s="10">
        <v>109.99</v>
      </c>
      <c r="AB54" s="95">
        <v>58702500</v>
      </c>
      <c r="AC54" s="10">
        <v>109.99</v>
      </c>
      <c r="AD54" s="2">
        <f t="shared" si="0"/>
        <v>3.6300000000000097</v>
      </c>
      <c r="AE54" s="138">
        <f t="shared" si="1"/>
        <v>2.6888245728690086E-2</v>
      </c>
    </row>
    <row r="55" spans="1:31" x14ac:dyDescent="0.25">
      <c r="L55" t="s">
        <v>65</v>
      </c>
      <c r="M55" s="2">
        <f>M73+K73-F73</f>
        <v>363.09999999999945</v>
      </c>
      <c r="O55" s="83">
        <v>0.98</v>
      </c>
      <c r="P55" s="83">
        <f t="shared" si="25"/>
        <v>126.4984</v>
      </c>
      <c r="Q55" s="2"/>
      <c r="T55" s="108" t="s">
        <v>109</v>
      </c>
      <c r="U55" s="368" t="s">
        <v>544</v>
      </c>
      <c r="W55" s="133">
        <v>42689</v>
      </c>
      <c r="X55" s="10">
        <v>106.57</v>
      </c>
      <c r="Y55" s="10">
        <v>107.68</v>
      </c>
      <c r="Z55" s="10">
        <v>106.16</v>
      </c>
      <c r="AA55" s="10">
        <v>107.11</v>
      </c>
      <c r="AB55" s="95">
        <v>32216900</v>
      </c>
      <c r="AC55" s="10">
        <v>107.11</v>
      </c>
      <c r="AD55" s="2">
        <f t="shared" si="0"/>
        <v>1.5200000000000102</v>
      </c>
      <c r="AE55" s="138">
        <f t="shared" si="1"/>
        <v>1.3243780153249451E-2</v>
      </c>
    </row>
    <row r="56" spans="1:31" x14ac:dyDescent="0.25">
      <c r="A56" s="263" t="s">
        <v>1</v>
      </c>
      <c r="B56" s="263" t="s">
        <v>2</v>
      </c>
      <c r="C56" s="263" t="s">
        <v>4</v>
      </c>
      <c r="D56" s="264" t="s">
        <v>5</v>
      </c>
      <c r="E56" s="264" t="s">
        <v>94</v>
      </c>
      <c r="F56" s="264" t="s">
        <v>60</v>
      </c>
      <c r="G56" s="263" t="s">
        <v>3</v>
      </c>
      <c r="H56" s="263" t="s">
        <v>6</v>
      </c>
      <c r="I56" s="263" t="s">
        <v>7</v>
      </c>
      <c r="J56" s="263" t="s">
        <v>95</v>
      </c>
      <c r="K56" s="264" t="s">
        <v>61</v>
      </c>
      <c r="L56" s="263" t="s">
        <v>77</v>
      </c>
      <c r="M56" s="263" t="s">
        <v>38</v>
      </c>
      <c r="O56" s="83">
        <v>0.97</v>
      </c>
      <c r="P56" s="83">
        <f t="shared" si="25"/>
        <v>125.20760000000001</v>
      </c>
      <c r="W56" s="133">
        <v>42688</v>
      </c>
      <c r="X56" s="10">
        <v>107.71</v>
      </c>
      <c r="Y56" s="10">
        <v>107.81</v>
      </c>
      <c r="Z56" s="10">
        <v>104.08</v>
      </c>
      <c r="AA56" s="10">
        <v>105.71</v>
      </c>
      <c r="AB56" s="95">
        <v>50872500</v>
      </c>
      <c r="AC56" s="10">
        <v>105.71</v>
      </c>
      <c r="AD56" s="2">
        <f t="shared" si="0"/>
        <v>3.730000000000004</v>
      </c>
      <c r="AE56" s="138">
        <f t="shared" si="1"/>
        <v>-2.5085308493959402E-2</v>
      </c>
    </row>
    <row r="57" spans="1:31" x14ac:dyDescent="0.25">
      <c r="A57" s="265" t="s">
        <v>207</v>
      </c>
      <c r="B57" s="266">
        <v>42502</v>
      </c>
      <c r="C57" s="261">
        <v>25</v>
      </c>
      <c r="D57" s="262">
        <v>90.65</v>
      </c>
      <c r="E57" s="262">
        <v>0</v>
      </c>
      <c r="F57" s="262">
        <f>C57*D57 + E57</f>
        <v>2266.25</v>
      </c>
      <c r="G57" s="266">
        <v>42502</v>
      </c>
      <c r="H57" s="267">
        <v>25</v>
      </c>
      <c r="I57" s="262">
        <v>90.64</v>
      </c>
      <c r="J57" s="262">
        <v>0.05</v>
      </c>
      <c r="K57" s="262">
        <f>H57*I57-J57</f>
        <v>2265.9499999999998</v>
      </c>
      <c r="L57" s="266">
        <v>42588</v>
      </c>
      <c r="M57" s="261"/>
      <c r="O57" s="83">
        <v>0.96</v>
      </c>
      <c r="P57" s="83">
        <f t="shared" si="25"/>
        <v>123.91680000000001</v>
      </c>
      <c r="W57" s="133">
        <v>42685</v>
      </c>
      <c r="X57" s="10">
        <v>107.12</v>
      </c>
      <c r="Y57" s="10">
        <v>108.87</v>
      </c>
      <c r="Z57" s="10">
        <v>106.55</v>
      </c>
      <c r="AA57" s="10">
        <v>108.43</v>
      </c>
      <c r="AB57" s="95">
        <v>34094100</v>
      </c>
      <c r="AC57" s="10">
        <v>108.43</v>
      </c>
      <c r="AD57" s="2">
        <f t="shared" si="0"/>
        <v>2.3200000000000074</v>
      </c>
      <c r="AE57" s="138">
        <f t="shared" si="1"/>
        <v>5.9374710084423299E-3</v>
      </c>
    </row>
    <row r="58" spans="1:31" x14ac:dyDescent="0.25">
      <c r="A58" s="268" t="s">
        <v>71</v>
      </c>
      <c r="B58" s="465">
        <v>42502</v>
      </c>
      <c r="C58" s="261">
        <v>25</v>
      </c>
      <c r="D58" s="262">
        <v>90.44</v>
      </c>
      <c r="E58" s="262">
        <v>0</v>
      </c>
      <c r="F58" s="262">
        <f>C58*D58 + E58</f>
        <v>2261</v>
      </c>
      <c r="G58" s="266">
        <v>42552</v>
      </c>
      <c r="H58" s="267">
        <v>25</v>
      </c>
      <c r="I58" s="262">
        <v>96.28</v>
      </c>
      <c r="J58" s="262">
        <v>0.05</v>
      </c>
      <c r="K58" s="262">
        <f t="shared" ref="K58:K60" si="26">H58*I58-J58</f>
        <v>2406.9499999999998</v>
      </c>
      <c r="L58" s="261"/>
      <c r="M58" s="261"/>
      <c r="O58" s="83">
        <v>0.95</v>
      </c>
      <c r="P58" s="83">
        <f t="shared" si="25"/>
        <v>122.626</v>
      </c>
      <c r="W58" s="133">
        <v>42684</v>
      </c>
      <c r="X58" s="10">
        <v>111.09</v>
      </c>
      <c r="Y58" s="10">
        <v>111.09</v>
      </c>
      <c r="Z58" s="10">
        <v>105.83</v>
      </c>
      <c r="AA58" s="10">
        <v>107.79</v>
      </c>
      <c r="AB58" s="95">
        <v>57134500</v>
      </c>
      <c r="AC58" s="10">
        <v>107.79</v>
      </c>
      <c r="AD58" s="2">
        <f t="shared" si="0"/>
        <v>5.2600000000000051</v>
      </c>
      <c r="AE58" s="138">
        <f t="shared" si="1"/>
        <v>-2.7867965367965319E-2</v>
      </c>
    </row>
    <row r="59" spans="1:31" x14ac:dyDescent="0.25">
      <c r="A59" s="261"/>
      <c r="B59" s="465">
        <v>42545</v>
      </c>
      <c r="C59" s="261">
        <v>25</v>
      </c>
      <c r="D59" s="262">
        <v>93</v>
      </c>
      <c r="E59" s="262">
        <v>0</v>
      </c>
      <c r="F59" s="262">
        <f>C59*D59 + E59</f>
        <v>2325</v>
      </c>
      <c r="G59" s="266">
        <v>42577</v>
      </c>
      <c r="H59" s="267">
        <v>15</v>
      </c>
      <c r="I59" s="262">
        <v>100.58</v>
      </c>
      <c r="J59" s="262">
        <v>0.03</v>
      </c>
      <c r="K59" s="262">
        <f t="shared" si="26"/>
        <v>1508.67</v>
      </c>
      <c r="L59" s="261"/>
      <c r="M59" s="261"/>
      <c r="O59" s="83">
        <v>0.94</v>
      </c>
      <c r="P59" s="83">
        <f t="shared" si="25"/>
        <v>121.3352</v>
      </c>
      <c r="W59" s="133">
        <v>42683</v>
      </c>
      <c r="X59" s="10">
        <v>109.88</v>
      </c>
      <c r="Y59" s="10">
        <v>111.32</v>
      </c>
      <c r="Z59" s="10">
        <v>108.05</v>
      </c>
      <c r="AA59" s="10">
        <v>110.88</v>
      </c>
      <c r="AB59" s="95">
        <v>59176400</v>
      </c>
      <c r="AC59" s="10">
        <v>110.88</v>
      </c>
      <c r="AD59" s="2">
        <f t="shared" si="0"/>
        <v>3.269999999999996</v>
      </c>
      <c r="AE59" s="138">
        <f t="shared" si="1"/>
        <v>-1.6207455429497752E-3</v>
      </c>
    </row>
    <row r="60" spans="1:31" x14ac:dyDescent="0.25">
      <c r="A60" s="261"/>
      <c r="B60" s="266"/>
      <c r="C60" s="261"/>
      <c r="D60" s="262"/>
      <c r="E60" s="262"/>
      <c r="F60" s="262"/>
      <c r="G60" s="266">
        <v>42577</v>
      </c>
      <c r="H60" s="267">
        <v>10</v>
      </c>
      <c r="I60" s="262">
        <v>103.38</v>
      </c>
      <c r="J60" s="262">
        <v>0.02</v>
      </c>
      <c r="K60" s="262">
        <f t="shared" si="26"/>
        <v>1033.78</v>
      </c>
      <c r="L60" s="261"/>
      <c r="M60" s="261"/>
      <c r="O60" s="83">
        <v>0.93</v>
      </c>
      <c r="P60" s="83">
        <f t="shared" si="25"/>
        <v>120.04440000000002</v>
      </c>
      <c r="W60" s="133">
        <v>42682</v>
      </c>
      <c r="X60" s="10">
        <v>110.31</v>
      </c>
      <c r="Y60" s="10">
        <v>111.72</v>
      </c>
      <c r="Z60" s="10">
        <v>109.7</v>
      </c>
      <c r="AA60" s="10">
        <v>111.06</v>
      </c>
      <c r="AB60" s="95">
        <v>24054500</v>
      </c>
      <c r="AC60" s="10">
        <v>111.06</v>
      </c>
      <c r="AD60" s="2">
        <f t="shared" si="0"/>
        <v>2.019999999999996</v>
      </c>
      <c r="AE60" s="138">
        <f t="shared" si="1"/>
        <v>5.8871479032696072E-3</v>
      </c>
    </row>
    <row r="61" spans="1:31" x14ac:dyDescent="0.25">
      <c r="A61" s="261"/>
      <c r="B61" s="466"/>
      <c r="C61" s="261"/>
      <c r="D61" s="262"/>
      <c r="E61" s="262"/>
      <c r="F61" s="262"/>
      <c r="G61" s="266"/>
      <c r="H61" s="267"/>
      <c r="I61" s="262"/>
      <c r="J61" s="262"/>
      <c r="K61" s="262"/>
      <c r="L61" s="261"/>
      <c r="M61" s="261"/>
      <c r="O61" s="83">
        <v>0.92</v>
      </c>
      <c r="P61" s="83">
        <f t="shared" si="25"/>
        <v>118.75360000000002</v>
      </c>
      <c r="W61" s="133">
        <v>42681</v>
      </c>
      <c r="X61" s="10">
        <v>110.08</v>
      </c>
      <c r="Y61" s="10">
        <v>110.51</v>
      </c>
      <c r="Z61" s="10">
        <v>109.46</v>
      </c>
      <c r="AA61" s="10">
        <v>110.41</v>
      </c>
      <c r="AB61" s="95">
        <v>32560000</v>
      </c>
      <c r="AC61" s="10">
        <v>110.41</v>
      </c>
      <c r="AD61" s="2">
        <f t="shared" si="0"/>
        <v>1.0500000000000114</v>
      </c>
      <c r="AE61" s="138">
        <f t="shared" si="1"/>
        <v>1.4424843807423704E-2</v>
      </c>
    </row>
    <row r="62" spans="1:31" x14ac:dyDescent="0.25">
      <c r="A62" s="261"/>
      <c r="B62" s="466"/>
      <c r="C62" s="261"/>
      <c r="D62" s="262"/>
      <c r="E62" s="262"/>
      <c r="F62" s="262"/>
      <c r="G62" s="266"/>
      <c r="H62" s="267"/>
      <c r="I62" s="262"/>
      <c r="J62" s="262"/>
      <c r="K62" s="262"/>
      <c r="L62" s="261"/>
      <c r="M62" s="261"/>
      <c r="O62" s="83">
        <v>0.91</v>
      </c>
      <c r="P62" s="83">
        <f t="shared" si="25"/>
        <v>117.46280000000002</v>
      </c>
      <c r="W62" s="133">
        <v>42678</v>
      </c>
      <c r="X62" s="10">
        <v>108.53</v>
      </c>
      <c r="Y62" s="10">
        <v>110.25</v>
      </c>
      <c r="Z62" s="10">
        <v>108.11</v>
      </c>
      <c r="AA62" s="10">
        <v>108.84</v>
      </c>
      <c r="AB62" s="95">
        <v>30837000</v>
      </c>
      <c r="AC62" s="10">
        <v>108.84</v>
      </c>
      <c r="AD62" s="2">
        <f t="shared" si="0"/>
        <v>2.1400000000000006</v>
      </c>
      <c r="AE62" s="138">
        <f t="shared" si="1"/>
        <v>-9.013930620049071E-3</v>
      </c>
    </row>
    <row r="63" spans="1:31" x14ac:dyDescent="0.25">
      <c r="A63" s="261"/>
      <c r="B63" s="266"/>
      <c r="C63" s="261"/>
      <c r="D63" s="262"/>
      <c r="E63" s="262"/>
      <c r="F63" s="262"/>
      <c r="G63" s="266"/>
      <c r="H63" s="267"/>
      <c r="I63" s="262"/>
      <c r="J63" s="262"/>
      <c r="K63" s="262"/>
      <c r="L63" s="261"/>
      <c r="M63" s="261"/>
      <c r="O63" s="83">
        <v>0.9</v>
      </c>
      <c r="P63" s="83">
        <f t="shared" si="25"/>
        <v>116.17200000000001</v>
      </c>
      <c r="W63" s="133">
        <v>42677</v>
      </c>
      <c r="X63" s="10">
        <v>110.98</v>
      </c>
      <c r="Y63" s="10">
        <v>111.46</v>
      </c>
      <c r="Z63" s="10">
        <v>109.55</v>
      </c>
      <c r="AA63" s="10">
        <v>109.83</v>
      </c>
      <c r="AB63" s="95">
        <v>26932600</v>
      </c>
      <c r="AC63" s="10">
        <v>109.83</v>
      </c>
      <c r="AD63" s="2">
        <f t="shared" si="0"/>
        <v>1.9099999999999966</v>
      </c>
      <c r="AE63" s="138" t="e">
        <f t="shared" si="1"/>
        <v>#DIV/0!</v>
      </c>
    </row>
    <row r="64" spans="1:31" x14ac:dyDescent="0.25">
      <c r="A64" s="261"/>
      <c r="B64" s="266"/>
      <c r="C64" s="261"/>
      <c r="D64" s="262"/>
      <c r="E64" s="262"/>
      <c r="F64" s="262"/>
      <c r="G64" s="266"/>
      <c r="H64" s="267"/>
      <c r="I64" s="262"/>
      <c r="J64" s="262"/>
      <c r="K64" s="262"/>
      <c r="L64" s="261"/>
      <c r="M64" s="261"/>
      <c r="W64" s="133">
        <v>42677</v>
      </c>
      <c r="X64" s="10" t="s">
        <v>210</v>
      </c>
      <c r="Y64" s="10"/>
      <c r="Z64" s="10"/>
      <c r="AA64" s="10"/>
      <c r="AB64" s="95"/>
      <c r="AC64" s="10"/>
      <c r="AD64" s="2">
        <f t="shared" si="0"/>
        <v>0</v>
      </c>
      <c r="AE64" s="138">
        <f t="shared" si="1"/>
        <v>-1</v>
      </c>
    </row>
    <row r="65" spans="1:31" x14ac:dyDescent="0.25">
      <c r="A65" s="261"/>
      <c r="B65" s="266"/>
      <c r="C65" s="261"/>
      <c r="D65" s="262"/>
      <c r="E65" s="262"/>
      <c r="F65" s="262"/>
      <c r="G65" s="266"/>
      <c r="H65" s="267"/>
      <c r="I65" s="261"/>
      <c r="J65" s="261"/>
      <c r="K65" s="262"/>
      <c r="L65" s="261"/>
      <c r="M65" s="261"/>
      <c r="W65" s="133">
        <v>42676</v>
      </c>
      <c r="X65" s="10">
        <v>111.4</v>
      </c>
      <c r="Y65" s="10">
        <v>112.35</v>
      </c>
      <c r="Z65" s="10">
        <v>111.23</v>
      </c>
      <c r="AA65" s="10">
        <v>111.59</v>
      </c>
      <c r="AB65" s="95">
        <v>28331700</v>
      </c>
      <c r="AC65" s="10">
        <v>111.02</v>
      </c>
      <c r="AD65" s="2">
        <f t="shared" si="0"/>
        <v>1.1199999999999903</v>
      </c>
      <c r="AE65" s="138">
        <f t="shared" si="1"/>
        <v>9.0155066714747711E-4</v>
      </c>
    </row>
    <row r="66" spans="1:31" x14ac:dyDescent="0.25">
      <c r="A66" s="261"/>
      <c r="B66" s="266"/>
      <c r="C66" s="261"/>
      <c r="D66" s="262"/>
      <c r="E66" s="262"/>
      <c r="F66" s="262"/>
      <c r="G66" s="266"/>
      <c r="H66" s="267"/>
      <c r="I66" s="261"/>
      <c r="J66" s="261"/>
      <c r="K66" s="262"/>
      <c r="L66" s="261"/>
      <c r="M66" s="261"/>
      <c r="W66" s="133">
        <v>42675</v>
      </c>
      <c r="X66" s="10">
        <v>113.46</v>
      </c>
      <c r="Y66" s="10">
        <v>113.77</v>
      </c>
      <c r="Z66" s="10">
        <v>110.53</v>
      </c>
      <c r="AA66" s="10">
        <v>111.49</v>
      </c>
      <c r="AB66" s="95">
        <v>43825800</v>
      </c>
      <c r="AC66" s="10">
        <v>110.92</v>
      </c>
      <c r="AD66" s="2">
        <f t="shared" si="0"/>
        <v>3.2399999999999949</v>
      </c>
      <c r="AE66" s="138">
        <f t="shared" si="1"/>
        <v>-1.8059490084985752E-2</v>
      </c>
    </row>
    <row r="67" spans="1:31" x14ac:dyDescent="0.25">
      <c r="A67" s="261"/>
      <c r="B67" s="266"/>
      <c r="C67" s="261"/>
      <c r="D67" s="262"/>
      <c r="E67" s="262"/>
      <c r="F67" s="262"/>
      <c r="G67" s="266"/>
      <c r="H67" s="267"/>
      <c r="I67" s="261"/>
      <c r="J67" s="261"/>
      <c r="K67" s="262"/>
      <c r="L67" s="261"/>
      <c r="M67" s="261"/>
      <c r="W67" s="133">
        <v>42674</v>
      </c>
      <c r="X67" s="10">
        <v>113.65</v>
      </c>
      <c r="Y67" s="10">
        <v>114.23</v>
      </c>
      <c r="Z67" s="10">
        <v>113.2</v>
      </c>
      <c r="AA67" s="10">
        <v>113.54</v>
      </c>
      <c r="AB67" s="95">
        <v>26419400</v>
      </c>
      <c r="AC67" s="10">
        <v>112.96</v>
      </c>
      <c r="AD67" s="2">
        <f>Y67-Z67</f>
        <v>1.0300000000000011</v>
      </c>
      <c r="AE67" s="138">
        <f>AC67/AC68-1</f>
        <v>-1.5909492663956915E-3</v>
      </c>
    </row>
    <row r="68" spans="1:31" x14ac:dyDescent="0.25">
      <c r="A68" s="261"/>
      <c r="B68" s="266"/>
      <c r="C68" s="261"/>
      <c r="D68" s="262"/>
      <c r="E68" s="262"/>
      <c r="F68" s="262"/>
      <c r="G68" s="266"/>
      <c r="H68" s="267"/>
      <c r="I68" s="262"/>
      <c r="J68" s="261"/>
      <c r="K68" s="262"/>
      <c r="L68" s="261"/>
      <c r="M68" s="261"/>
      <c r="W68" s="133">
        <v>42671</v>
      </c>
      <c r="X68" s="10">
        <v>113.87</v>
      </c>
      <c r="Y68" s="10">
        <v>115.21</v>
      </c>
      <c r="Z68" s="10">
        <v>113.45</v>
      </c>
      <c r="AA68" s="10">
        <v>113.72</v>
      </c>
      <c r="AB68" s="95">
        <v>37861700</v>
      </c>
      <c r="AC68" s="10">
        <v>113.14</v>
      </c>
      <c r="AD68" s="2">
        <f>Y68-Z68</f>
        <v>1.7599999999999909</v>
      </c>
      <c r="AE68" s="138" t="e">
        <f>AC68/AC69-1</f>
        <v>#DIV/0!</v>
      </c>
    </row>
    <row r="69" spans="1:31" x14ac:dyDescent="0.25">
      <c r="A69" s="261"/>
      <c r="B69" s="266"/>
      <c r="C69" s="261"/>
      <c r="D69" s="262"/>
      <c r="E69" s="262"/>
      <c r="F69" s="262"/>
      <c r="G69" s="266"/>
      <c r="H69" s="267"/>
      <c r="I69" s="261"/>
      <c r="J69" s="261"/>
      <c r="K69" s="262"/>
      <c r="L69" s="261"/>
      <c r="M69" s="261"/>
      <c r="W69" s="284" t="s">
        <v>121</v>
      </c>
      <c r="AB69" s="235"/>
    </row>
    <row r="70" spans="1:31" x14ac:dyDescent="0.25">
      <c r="A70" s="261"/>
      <c r="B70" s="261"/>
      <c r="C70" s="261"/>
      <c r="D70" s="262"/>
      <c r="E70" s="262"/>
      <c r="F70" s="262"/>
      <c r="G70" s="266"/>
      <c r="H70" s="267"/>
      <c r="I70" s="261"/>
      <c r="J70" s="261"/>
      <c r="K70" s="262"/>
      <c r="L70" s="261"/>
      <c r="M70" s="261"/>
    </row>
    <row r="71" spans="1:31" x14ac:dyDescent="0.25">
      <c r="A71" s="261"/>
      <c r="B71" s="261"/>
      <c r="C71" s="261"/>
      <c r="D71" s="262"/>
      <c r="E71" s="262"/>
      <c r="F71" s="262"/>
      <c r="G71" s="266"/>
      <c r="H71" s="267"/>
      <c r="I71" s="261"/>
      <c r="J71" s="261"/>
      <c r="K71" s="262"/>
      <c r="L71" s="261"/>
      <c r="M71" s="261"/>
    </row>
    <row r="72" spans="1:31" x14ac:dyDescent="0.25">
      <c r="A72" s="261"/>
      <c r="B72" s="261"/>
      <c r="C72" s="261"/>
      <c r="D72" s="262"/>
      <c r="E72" s="262"/>
      <c r="F72" s="262"/>
      <c r="G72" s="266"/>
      <c r="H72" s="267"/>
      <c r="I72" s="261"/>
      <c r="J72" s="261"/>
      <c r="K72" s="262"/>
      <c r="L72" s="261"/>
      <c r="M72" s="261"/>
    </row>
    <row r="73" spans="1:31" x14ac:dyDescent="0.25">
      <c r="A73" s="32" t="s">
        <v>81</v>
      </c>
      <c r="B73" s="14"/>
      <c r="C73" s="14">
        <f>SUM(C57:C69)</f>
        <v>75</v>
      </c>
      <c r="D73" s="14"/>
      <c r="E73" s="14"/>
      <c r="F73" s="18">
        <f t="shared" ref="F73" si="27">SUM(F57:F69)</f>
        <v>6852.25</v>
      </c>
      <c r="G73" s="14"/>
      <c r="H73" s="14">
        <f>SUM(H57:H69)</f>
        <v>75</v>
      </c>
      <c r="I73" s="14"/>
      <c r="J73" s="14"/>
      <c r="K73" s="18">
        <f>SUM(K57:K69)</f>
        <v>7215.3499999999995</v>
      </c>
      <c r="L73" s="14"/>
      <c r="M73" s="18">
        <f t="shared" ref="M73" si="28">SUM(M57:M69)</f>
        <v>0</v>
      </c>
    </row>
    <row r="74" spans="1:31" ht="15.75" thickBot="1" x14ac:dyDescent="0.3">
      <c r="A74" s="467"/>
      <c r="B74" s="468"/>
      <c r="C74" s="469"/>
      <c r="D74" s="469"/>
      <c r="E74" s="469"/>
      <c r="F74" s="470"/>
      <c r="G74" s="469"/>
      <c r="H74" s="469"/>
      <c r="I74" s="469"/>
      <c r="J74" s="469"/>
      <c r="K74" s="470"/>
      <c r="L74" s="469"/>
      <c r="M74" s="470"/>
    </row>
  </sheetData>
  <mergeCells count="1">
    <mergeCell ref="O42:P42"/>
  </mergeCells>
  <conditionalFormatting sqref="N19">
    <cfRule type="expression" dxfId="993" priority="35">
      <formula>N19&gt;0</formula>
    </cfRule>
    <cfRule type="expression" dxfId="992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{E541585C-B582-4547-859E-2C64987B5FD0}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7">
    <cfRule type="expression" dxfId="991" priority="21">
      <formula>F25&gt;0</formula>
    </cfRule>
    <cfRule type="expression" dxfId="990" priority="22">
      <formula>F25&lt;0</formula>
    </cfRule>
  </conditionalFormatting>
  <conditionalFormatting sqref="H25:H47">
    <cfRule type="expression" dxfId="989" priority="19">
      <formula>H25&gt;0</formula>
    </cfRule>
    <cfRule type="expression" dxfId="988" priority="20">
      <formula>H25&lt;0</formula>
    </cfRule>
  </conditionalFormatting>
  <conditionalFormatting sqref="I25:I27">
    <cfRule type="expression" dxfId="987" priority="15">
      <formula>I25&gt;0</formula>
    </cfRule>
    <cfRule type="expression" dxfId="986" priority="16">
      <formula>I25&lt;0</formula>
    </cfRule>
  </conditionalFormatting>
  <conditionalFormatting sqref="Q7">
    <cfRule type="expression" dxfId="985" priority="5">
      <formula>Q7&gt;0</formula>
    </cfRule>
    <cfRule type="expression" dxfId="984" priority="6">
      <formula>Q7&lt;0</formula>
    </cfRule>
  </conditionalFormatting>
  <conditionalFormatting sqref="Q8">
    <cfRule type="expression" dxfId="983" priority="3">
      <formula>Q8&gt;0</formula>
    </cfRule>
    <cfRule type="expression" dxfId="982" priority="4">
      <formula>Q8&lt;0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541585C-B582-4547-859E-2C64987B5FD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bestFit="1" customWidth="1"/>
    <col min="7" max="7" width="9.7109375" bestFit="1" customWidth="1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16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232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1">
        <v>42571</v>
      </c>
      <c r="U2" t="s">
        <v>259</v>
      </c>
      <c r="W2" s="133">
        <v>42768</v>
      </c>
      <c r="X2" s="10">
        <v>76.23</v>
      </c>
      <c r="Y2" s="10">
        <v>76.89</v>
      </c>
      <c r="Z2" s="10">
        <v>76.06</v>
      </c>
      <c r="AA2" s="10">
        <v>76.510000000000005</v>
      </c>
      <c r="AB2" s="95">
        <v>3652600</v>
      </c>
      <c r="AC2" s="10">
        <v>76.510000000000005</v>
      </c>
      <c r="AD2" s="2">
        <f>Y2-Z2</f>
        <v>0.82999999999999829</v>
      </c>
      <c r="AE2" s="138">
        <f>AC2/AC3-1</f>
        <v>-3.2569046378322364E-3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185"/>
      <c r="I3" s="3"/>
      <c r="J3" s="3"/>
      <c r="K3" s="3"/>
      <c r="L3" s="4"/>
      <c r="O3" s="11" t="s">
        <v>58</v>
      </c>
      <c r="Q3" s="230">
        <f>IF(Q2=0, Q4, (F18-K18-M18)/Q2)</f>
        <v>78.040000000000006</v>
      </c>
      <c r="T3" s="1">
        <v>42572</v>
      </c>
      <c r="U3" t="s">
        <v>250</v>
      </c>
      <c r="W3" s="133">
        <v>42767</v>
      </c>
      <c r="X3" s="10">
        <v>76.849999999999994</v>
      </c>
      <c r="Y3" s="10">
        <v>77.44</v>
      </c>
      <c r="Z3" s="10">
        <v>76.58</v>
      </c>
      <c r="AA3" s="10">
        <v>76.760000000000005</v>
      </c>
      <c r="AB3" s="95">
        <v>3916800</v>
      </c>
      <c r="AC3" s="10">
        <v>76.760000000000005</v>
      </c>
      <c r="AD3" s="2">
        <f t="shared" ref="AD3:AD66" si="0">Y3-Z3</f>
        <v>0.85999999999999943</v>
      </c>
      <c r="AE3" s="138">
        <f t="shared" ref="AE3:AE66" si="1">AC3/AC4-1</f>
        <v>4.9751243781095411E-3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O4" s="11" t="s">
        <v>66</v>
      </c>
      <c r="Q4" s="55">
        <v>78.040000000000006</v>
      </c>
      <c r="R4" s="505">
        <v>0.02</v>
      </c>
      <c r="T4" s="163"/>
      <c r="U4" s="1"/>
      <c r="W4" s="133">
        <v>42766</v>
      </c>
      <c r="X4" s="10">
        <v>76.86</v>
      </c>
      <c r="Y4" s="10">
        <v>77.25</v>
      </c>
      <c r="Z4" s="10">
        <v>75.97</v>
      </c>
      <c r="AA4" s="10">
        <v>76.38</v>
      </c>
      <c r="AB4" s="95">
        <v>5568100</v>
      </c>
      <c r="AC4" s="10">
        <v>76.38</v>
      </c>
      <c r="AD4" s="2">
        <f t="shared" si="0"/>
        <v>1.2800000000000011</v>
      </c>
      <c r="AE4" s="138">
        <f t="shared" si="1"/>
        <v>-1.1645962732919291E-2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0</v>
      </c>
      <c r="W5" s="133">
        <v>42765</v>
      </c>
      <c r="X5" s="10">
        <v>76.83</v>
      </c>
      <c r="Y5" s="10">
        <v>77.319999999999993</v>
      </c>
      <c r="Z5" s="10">
        <v>76.540000000000006</v>
      </c>
      <c r="AA5" s="10">
        <v>77.28</v>
      </c>
      <c r="AB5" s="95">
        <v>5344500</v>
      </c>
      <c r="AC5" s="10">
        <v>77.28</v>
      </c>
      <c r="AD5" s="2">
        <f t="shared" si="0"/>
        <v>0.77999999999998693</v>
      </c>
      <c r="AE5" s="138">
        <f t="shared" si="1"/>
        <v>5.5953155497723284E-3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42762</v>
      </c>
      <c r="X6" s="10">
        <v>77</v>
      </c>
      <c r="Y6" s="10">
        <v>77.3</v>
      </c>
      <c r="Z6" s="10">
        <v>76.540000000000006</v>
      </c>
      <c r="AA6" s="10">
        <v>76.849999999999994</v>
      </c>
      <c r="AB6" s="95">
        <v>3530900</v>
      </c>
      <c r="AC6" s="10">
        <v>76.849999999999994</v>
      </c>
      <c r="AD6" s="2">
        <f t="shared" si="0"/>
        <v>0.75999999999999091</v>
      </c>
      <c r="AE6" s="138">
        <f t="shared" si="1"/>
        <v>-1.0399064084234411E-3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181</v>
      </c>
      <c r="Q7" s="2">
        <f>Q10+Q8</f>
        <v>231.53999999999996</v>
      </c>
      <c r="R7">
        <v>0</v>
      </c>
      <c r="W7" s="133">
        <v>42761</v>
      </c>
      <c r="X7" s="10">
        <v>76.95</v>
      </c>
      <c r="Y7" s="10">
        <v>77.459999999999994</v>
      </c>
      <c r="Z7" s="10">
        <v>76.63</v>
      </c>
      <c r="AA7" s="10">
        <v>76.930000000000007</v>
      </c>
      <c r="AB7" s="95">
        <v>3344900</v>
      </c>
      <c r="AC7" s="10">
        <v>76.930000000000007</v>
      </c>
      <c r="AD7" s="2">
        <f t="shared" si="0"/>
        <v>0.82999999999999829</v>
      </c>
      <c r="AE7" s="138">
        <f t="shared" si="1"/>
        <v>5.2022369618942577E-4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184</v>
      </c>
      <c r="P8" s="34"/>
      <c r="Q8" s="2">
        <f>K18+M18-F18+Q2*Q4</f>
        <v>0</v>
      </c>
      <c r="W8" s="133">
        <v>42760</v>
      </c>
      <c r="X8" s="10">
        <v>78</v>
      </c>
      <c r="Y8" s="10">
        <v>78.02</v>
      </c>
      <c r="Z8" s="10">
        <v>76.400000000000006</v>
      </c>
      <c r="AA8" s="10">
        <v>76.89</v>
      </c>
      <c r="AB8" s="95">
        <v>5278300</v>
      </c>
      <c r="AC8" s="10">
        <v>76.89</v>
      </c>
      <c r="AD8" s="2">
        <f t="shared" si="0"/>
        <v>1.6199999999999903</v>
      </c>
      <c r="AE8" s="138">
        <f t="shared" si="1"/>
        <v>-6.9740410693530652E-3</v>
      </c>
    </row>
    <row r="9" spans="1:31" x14ac:dyDescent="0.25">
      <c r="H9" s="72"/>
      <c r="O9" s="11" t="s">
        <v>214</v>
      </c>
      <c r="Q9" s="138">
        <f>IF(Q2=0, 0, Q8/Q6)</f>
        <v>0</v>
      </c>
      <c r="W9" s="133">
        <v>42759</v>
      </c>
      <c r="X9" s="10">
        <v>76.33</v>
      </c>
      <c r="Y9" s="10">
        <v>77.66</v>
      </c>
      <c r="Z9" s="10">
        <v>76.09</v>
      </c>
      <c r="AA9" s="10">
        <v>77.430000000000007</v>
      </c>
      <c r="AB9" s="95">
        <v>4024300</v>
      </c>
      <c r="AC9" s="10">
        <v>77.430000000000007</v>
      </c>
      <c r="AD9" s="2">
        <f t="shared" si="0"/>
        <v>1.5699999999999932</v>
      </c>
      <c r="AE9" s="138">
        <f t="shared" si="1"/>
        <v>1.9218112412794586E-2</v>
      </c>
    </row>
    <row r="10" spans="1:31" x14ac:dyDescent="0.25">
      <c r="H10" s="72"/>
      <c r="O10" s="11" t="s">
        <v>213</v>
      </c>
      <c r="P10" s="34"/>
      <c r="Q10" s="2">
        <f>M48</f>
        <v>231.53999999999996</v>
      </c>
      <c r="W10" s="133">
        <v>42758</v>
      </c>
      <c r="X10" s="10">
        <v>75.92</v>
      </c>
      <c r="Y10" s="10">
        <v>76.48</v>
      </c>
      <c r="Z10" s="10">
        <v>75.73</v>
      </c>
      <c r="AA10" s="10">
        <v>75.97</v>
      </c>
      <c r="AB10" s="95">
        <v>4444300</v>
      </c>
      <c r="AC10" s="10">
        <v>75.97</v>
      </c>
      <c r="AD10" s="2">
        <f t="shared" si="0"/>
        <v>0.75</v>
      </c>
      <c r="AE10" s="138">
        <f t="shared" si="1"/>
        <v>-3.0183727034120977E-3</v>
      </c>
    </row>
    <row r="11" spans="1:31" x14ac:dyDescent="0.25">
      <c r="H11" s="72"/>
      <c r="O11" s="11" t="s">
        <v>178</v>
      </c>
      <c r="P11" s="34"/>
      <c r="Q11" s="138">
        <f>IF(U58="N/A (N/A)", 0, VALUE(TRIM(CLEAN(MID(U58, FIND("(", U58)+1, 5)))))</f>
        <v>1.6799999999999999E-2</v>
      </c>
      <c r="W11" s="133">
        <v>42755</v>
      </c>
      <c r="X11" s="10">
        <v>75.989999999999995</v>
      </c>
      <c r="Y11" s="10">
        <v>76.91</v>
      </c>
      <c r="Z11" s="10">
        <v>75.39</v>
      </c>
      <c r="AA11" s="10">
        <v>76.2</v>
      </c>
      <c r="AB11" s="95">
        <v>8465900</v>
      </c>
      <c r="AC11" s="10">
        <v>76.2</v>
      </c>
      <c r="AD11" s="2">
        <f t="shared" si="0"/>
        <v>1.519999999999996</v>
      </c>
      <c r="AE11" s="138">
        <f t="shared" si="1"/>
        <v>-6.3893597600729324E-3</v>
      </c>
    </row>
    <row r="12" spans="1:31" x14ac:dyDescent="0.25">
      <c r="H12" s="72"/>
      <c r="W12" s="133">
        <v>42754</v>
      </c>
      <c r="X12" s="10">
        <v>77.61</v>
      </c>
      <c r="Y12" s="10">
        <v>77.78</v>
      </c>
      <c r="Z12" s="10">
        <v>76.61</v>
      </c>
      <c r="AA12" s="10">
        <v>76.69</v>
      </c>
      <c r="AB12" s="95">
        <v>8111400</v>
      </c>
      <c r="AC12" s="10">
        <v>76.69</v>
      </c>
      <c r="AD12" s="2">
        <f t="shared" si="0"/>
        <v>1.1700000000000017</v>
      </c>
      <c r="AE12" s="138">
        <f t="shared" si="1"/>
        <v>-1.0323912762937093E-2</v>
      </c>
    </row>
    <row r="13" spans="1:31" x14ac:dyDescent="0.25">
      <c r="H13" s="72"/>
      <c r="W13" s="133">
        <v>42753</v>
      </c>
      <c r="X13" s="10">
        <v>77.11</v>
      </c>
      <c r="Y13" s="10">
        <v>77.61</v>
      </c>
      <c r="Z13" s="10">
        <v>76.510000000000005</v>
      </c>
      <c r="AA13" s="10">
        <v>77.489999999999995</v>
      </c>
      <c r="AB13" s="95">
        <v>5988400</v>
      </c>
      <c r="AC13" s="10">
        <v>77.489999999999995</v>
      </c>
      <c r="AD13" s="2">
        <f t="shared" si="0"/>
        <v>1.0999999999999943</v>
      </c>
      <c r="AE13" s="138">
        <f t="shared" si="1"/>
        <v>1.1618798955613574E-2</v>
      </c>
    </row>
    <row r="14" spans="1:31" x14ac:dyDescent="0.25">
      <c r="H14" s="72"/>
      <c r="W14" s="133">
        <v>42752</v>
      </c>
      <c r="X14" s="10">
        <v>77.400000000000006</v>
      </c>
      <c r="Y14" s="10">
        <v>77.7</v>
      </c>
      <c r="Z14" s="10">
        <v>76.47</v>
      </c>
      <c r="AA14" s="10">
        <v>76.599999999999994</v>
      </c>
      <c r="AB14" s="95">
        <v>6450300</v>
      </c>
      <c r="AC14" s="10">
        <v>76.599999999999994</v>
      </c>
      <c r="AD14" s="2">
        <f t="shared" si="0"/>
        <v>1.230000000000004</v>
      </c>
      <c r="AE14" s="138">
        <f t="shared" si="1"/>
        <v>-2.6102845210140835E-4</v>
      </c>
    </row>
    <row r="15" spans="1:31" x14ac:dyDescent="0.25">
      <c r="H15" s="72"/>
      <c r="W15" s="133">
        <v>42748</v>
      </c>
      <c r="X15" s="10">
        <v>76.930000000000007</v>
      </c>
      <c r="Y15" s="10">
        <v>77.63</v>
      </c>
      <c r="Z15" s="10">
        <v>76.41</v>
      </c>
      <c r="AA15" s="10">
        <v>76.62</v>
      </c>
      <c r="AB15" s="95">
        <v>3454300</v>
      </c>
      <c r="AC15" s="10">
        <v>76.62</v>
      </c>
      <c r="AD15" s="2">
        <f t="shared" si="0"/>
        <v>1.2199999999999989</v>
      </c>
      <c r="AE15" s="138">
        <f t="shared" si="1"/>
        <v>-3.3818938605617577E-3</v>
      </c>
    </row>
    <row r="16" spans="1:31" x14ac:dyDescent="0.25">
      <c r="H16" s="72"/>
      <c r="W16" s="133">
        <v>42747</v>
      </c>
      <c r="X16" s="10">
        <v>76.83</v>
      </c>
      <c r="Y16" s="10">
        <v>76.95</v>
      </c>
      <c r="Z16" s="10">
        <v>75.84</v>
      </c>
      <c r="AA16" s="10">
        <v>76.88</v>
      </c>
      <c r="AB16" s="95">
        <v>4056700</v>
      </c>
      <c r="AC16" s="10">
        <v>76.88</v>
      </c>
      <c r="AD16" s="2">
        <f t="shared" si="0"/>
        <v>1.1099999999999994</v>
      </c>
      <c r="AE16" s="138">
        <f t="shared" si="1"/>
        <v>-3.9006631127291858E-4</v>
      </c>
    </row>
    <row r="17" spans="1:31" x14ac:dyDescent="0.25">
      <c r="W17" s="133">
        <v>42746</v>
      </c>
      <c r="X17" s="10">
        <v>76.67</v>
      </c>
      <c r="Y17" s="10">
        <v>77.44</v>
      </c>
      <c r="Z17" s="10">
        <v>76.099999999999994</v>
      </c>
      <c r="AA17" s="10">
        <v>76.91</v>
      </c>
      <c r="AB17" s="95">
        <v>4500200</v>
      </c>
      <c r="AC17" s="10">
        <v>76.91</v>
      </c>
      <c r="AD17" s="2">
        <f t="shared" si="0"/>
        <v>1.3400000000000034</v>
      </c>
      <c r="AE17" s="138">
        <f t="shared" si="1"/>
        <v>3.392041748206065E-3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42745</v>
      </c>
      <c r="X18" s="10">
        <v>76.52</v>
      </c>
      <c r="Y18" s="10">
        <v>78</v>
      </c>
      <c r="Z18" s="10">
        <v>76.12</v>
      </c>
      <c r="AA18" s="10">
        <v>76.650000000000006</v>
      </c>
      <c r="AB18" s="95">
        <v>9561400</v>
      </c>
      <c r="AC18" s="10">
        <v>76.650000000000006</v>
      </c>
      <c r="AD18" s="2">
        <f t="shared" si="0"/>
        <v>1.8799999999999955</v>
      </c>
      <c r="AE18" s="138">
        <f t="shared" si="1"/>
        <v>1.0413920379646724E-2</v>
      </c>
    </row>
    <row r="19" spans="1:31" ht="15.75" thickBot="1" x14ac:dyDescent="0.3">
      <c r="A19" s="356" t="s">
        <v>198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 t="shared" ref="M19" si="2">SumByColor($A$19,M2:M17)</f>
        <v>0</v>
      </c>
      <c r="W19" s="133">
        <v>42744</v>
      </c>
      <c r="X19" s="10">
        <v>76.14</v>
      </c>
      <c r="Y19" s="10">
        <v>76.5</v>
      </c>
      <c r="Z19" s="10">
        <v>75.53</v>
      </c>
      <c r="AA19" s="10">
        <v>75.86</v>
      </c>
      <c r="AB19" s="95">
        <v>4800900</v>
      </c>
      <c r="AC19" s="10">
        <v>75.86</v>
      </c>
      <c r="AD19" s="2">
        <f t="shared" si="0"/>
        <v>0.96999999999999886</v>
      </c>
      <c r="AE19" s="138">
        <f t="shared" si="1"/>
        <v>5.1676162713660823E-3</v>
      </c>
    </row>
    <row r="20" spans="1:31" x14ac:dyDescent="0.25">
      <c r="W20" s="133">
        <v>42741</v>
      </c>
      <c r="X20" s="10">
        <v>75.400000000000006</v>
      </c>
      <c r="Y20" s="10">
        <v>75.92</v>
      </c>
      <c r="Z20" s="10">
        <v>75.06</v>
      </c>
      <c r="AA20" s="10">
        <v>75.47</v>
      </c>
      <c r="AB20" s="95">
        <v>3089600</v>
      </c>
      <c r="AC20" s="10">
        <v>75.47</v>
      </c>
      <c r="AD20" s="2">
        <f t="shared" si="0"/>
        <v>0.85999999999999943</v>
      </c>
      <c r="AE20" s="138">
        <f t="shared" si="1"/>
        <v>1.9915029208710244E-3</v>
      </c>
    </row>
    <row r="21" spans="1:31" x14ac:dyDescent="0.25">
      <c r="W21" s="133">
        <v>42740</v>
      </c>
      <c r="X21" s="10">
        <v>76</v>
      </c>
      <c r="Y21" s="10">
        <v>76.180000000000007</v>
      </c>
      <c r="Z21" s="10">
        <v>74.819999999999993</v>
      </c>
      <c r="AA21" s="10">
        <v>75.319999999999993</v>
      </c>
      <c r="AB21" s="95">
        <v>3383000</v>
      </c>
      <c r="AC21" s="10">
        <v>75.319999999999993</v>
      </c>
      <c r="AD21" s="2">
        <f t="shared" si="0"/>
        <v>1.3600000000000136</v>
      </c>
      <c r="AE21" s="138">
        <f t="shared" si="1"/>
        <v>-1.2326252294781126E-2</v>
      </c>
    </row>
    <row r="22" spans="1:31" x14ac:dyDescent="0.25">
      <c r="W22" s="133">
        <v>42739</v>
      </c>
      <c r="X22" s="10">
        <v>75.260000000000005</v>
      </c>
      <c r="Y22" s="10">
        <v>76.55</v>
      </c>
      <c r="Z22" s="10">
        <v>75.06</v>
      </c>
      <c r="AA22" s="10">
        <v>76.260000000000005</v>
      </c>
      <c r="AB22" s="95">
        <v>4635800</v>
      </c>
      <c r="AC22" s="10">
        <v>76.260000000000005</v>
      </c>
      <c r="AD22" s="2">
        <f t="shared" si="0"/>
        <v>1.4899999999999949</v>
      </c>
      <c r="AE22" s="138" t="e">
        <f t="shared" si="1"/>
        <v>#DIV/0!</v>
      </c>
    </row>
    <row r="23" spans="1:31" x14ac:dyDescent="0.25">
      <c r="W23" s="133">
        <v>42739</v>
      </c>
      <c r="X23" s="10" t="s">
        <v>313</v>
      </c>
      <c r="Y23" s="10"/>
      <c r="Z23" s="10"/>
      <c r="AA23" s="10"/>
      <c r="AB23" s="95"/>
      <c r="AC23" s="10"/>
      <c r="AD23" s="2">
        <f t="shared" si="0"/>
        <v>0</v>
      </c>
      <c r="AE23" s="138">
        <f t="shared" si="1"/>
        <v>-1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155</v>
      </c>
      <c r="W24" s="133">
        <v>42738</v>
      </c>
      <c r="X24" s="10">
        <v>74.89</v>
      </c>
      <c r="Y24" s="10">
        <v>75.75</v>
      </c>
      <c r="Z24" s="10">
        <v>74.739999999999995</v>
      </c>
      <c r="AA24" s="10">
        <v>75.349999999999994</v>
      </c>
      <c r="AB24" s="95">
        <v>5853900</v>
      </c>
      <c r="AC24" s="10">
        <v>75.03</v>
      </c>
      <c r="AD24" s="2">
        <f t="shared" si="0"/>
        <v>1.0100000000000051</v>
      </c>
      <c r="AE24" s="138">
        <f t="shared" si="1"/>
        <v>1.7080113867425917E-2</v>
      </c>
    </row>
    <row r="25" spans="1:31" x14ac:dyDescent="0.25">
      <c r="B25" s="193">
        <v>42548</v>
      </c>
      <c r="C25" s="10">
        <v>40</v>
      </c>
      <c r="D25" s="40">
        <v>59.08</v>
      </c>
      <c r="E25" s="40">
        <v>57.67</v>
      </c>
      <c r="F25" s="40">
        <f t="shared" ref="F25" si="3">C25*(E25-D25)</f>
        <v>-56.399999999999864</v>
      </c>
      <c r="G25" s="40">
        <f t="shared" ref="G25" si="4">D25*C25</f>
        <v>2363.1999999999998</v>
      </c>
      <c r="H25" s="231">
        <f t="shared" ref="H25" si="5">(E25-D25)/D25</f>
        <v>-2.3865944482058168E-2</v>
      </c>
      <c r="I25" s="40"/>
      <c r="W25" s="133">
        <v>42734</v>
      </c>
      <c r="X25" s="10">
        <v>73.959999999999994</v>
      </c>
      <c r="Y25" s="10">
        <v>74.34</v>
      </c>
      <c r="Z25" s="10">
        <v>73.84</v>
      </c>
      <c r="AA25" s="10">
        <v>74.08</v>
      </c>
      <c r="AB25" s="95">
        <v>3378800</v>
      </c>
      <c r="AC25" s="10">
        <v>73.77</v>
      </c>
      <c r="AD25" s="2">
        <f t="shared" si="0"/>
        <v>0.5</v>
      </c>
      <c r="AE25" s="138">
        <f t="shared" si="1"/>
        <v>2.173617714984255E-3</v>
      </c>
    </row>
    <row r="26" spans="1:31" x14ac:dyDescent="0.25">
      <c r="B26" s="193">
        <v>42550</v>
      </c>
      <c r="C26" s="10">
        <v>40</v>
      </c>
      <c r="D26" s="40">
        <v>59.08</v>
      </c>
      <c r="E26" s="40">
        <v>59.63</v>
      </c>
      <c r="F26" s="40">
        <f t="shared" ref="F26" si="6">C26*(E26-D26)</f>
        <v>22.000000000000171</v>
      </c>
      <c r="G26" s="40">
        <f t="shared" ref="G26" si="7">D26*C26</f>
        <v>2363.1999999999998</v>
      </c>
      <c r="H26" s="231">
        <f t="shared" ref="H26" si="8">(E26-D26)/D26</f>
        <v>9.3094109681788138E-3</v>
      </c>
      <c r="I26" s="40"/>
      <c r="W26" s="133">
        <v>42733</v>
      </c>
      <c r="X26" s="10">
        <v>74.27</v>
      </c>
      <c r="Y26" s="10">
        <v>74.680000000000007</v>
      </c>
      <c r="Z26" s="10">
        <v>73.5</v>
      </c>
      <c r="AA26" s="10">
        <v>73.92</v>
      </c>
      <c r="AB26" s="95">
        <v>2573700</v>
      </c>
      <c r="AC26" s="10">
        <v>73.61</v>
      </c>
      <c r="AD26" s="2">
        <f t="shared" si="0"/>
        <v>1.1800000000000068</v>
      </c>
      <c r="AE26" s="138">
        <f t="shared" si="1"/>
        <v>-5.9419311276164288E-3</v>
      </c>
    </row>
    <row r="27" spans="1:31" x14ac:dyDescent="0.25">
      <c r="B27" s="193">
        <v>42552</v>
      </c>
      <c r="C27" s="10">
        <v>40</v>
      </c>
      <c r="D27" s="40">
        <v>59.08</v>
      </c>
      <c r="E27" s="40">
        <v>60.69</v>
      </c>
      <c r="F27" s="40">
        <f t="shared" ref="F27" si="9">C27*(E27-D27)</f>
        <v>64.399999999999977</v>
      </c>
      <c r="G27" s="40">
        <f t="shared" ref="G27" si="10">D27*C27</f>
        <v>2363.1999999999998</v>
      </c>
      <c r="H27" s="231">
        <f t="shared" ref="H27" si="11">(E27-D27)/D27</f>
        <v>2.7251184834123213E-2</v>
      </c>
      <c r="I27" s="40"/>
      <c r="W27" s="133">
        <v>42732</v>
      </c>
      <c r="X27" s="10">
        <v>75.03</v>
      </c>
      <c r="Y27" s="10">
        <v>75.38</v>
      </c>
      <c r="Z27" s="10">
        <v>74.150000000000006</v>
      </c>
      <c r="AA27" s="10">
        <v>74.37</v>
      </c>
      <c r="AB27" s="95">
        <v>2517300</v>
      </c>
      <c r="AC27" s="10">
        <v>74.05</v>
      </c>
      <c r="AD27" s="2">
        <f t="shared" si="0"/>
        <v>1.2299999999999898</v>
      </c>
      <c r="AE27" s="138">
        <f t="shared" si="1"/>
        <v>-8.1703723546745488E-3</v>
      </c>
    </row>
    <row r="28" spans="1:31" x14ac:dyDescent="0.25">
      <c r="B28" s="193">
        <v>42556</v>
      </c>
      <c r="C28" s="10">
        <v>40</v>
      </c>
      <c r="D28" s="40">
        <v>59.08</v>
      </c>
      <c r="E28" s="40">
        <v>59.15</v>
      </c>
      <c r="F28" s="40">
        <f t="shared" ref="F28" si="12">C28*(E28-D28)</f>
        <v>2.8000000000000114</v>
      </c>
      <c r="G28" s="40">
        <f t="shared" ref="G28" si="13">D28*C28</f>
        <v>2363.1999999999998</v>
      </c>
      <c r="H28" s="231">
        <f t="shared" ref="H28" si="14">(E28-D28)/D28</f>
        <v>1.1848341232227537E-3</v>
      </c>
      <c r="I28" s="40"/>
      <c r="W28" s="133">
        <v>42731</v>
      </c>
      <c r="X28" s="10">
        <v>75.099999999999994</v>
      </c>
      <c r="Y28" s="10">
        <v>75.11</v>
      </c>
      <c r="Z28" s="10">
        <v>74.790000000000006</v>
      </c>
      <c r="AA28" s="10">
        <v>74.98</v>
      </c>
      <c r="AB28" s="95">
        <v>2049400</v>
      </c>
      <c r="AC28" s="10">
        <v>74.66</v>
      </c>
      <c r="AD28" s="2">
        <f t="shared" si="0"/>
        <v>0.31999999999999318</v>
      </c>
      <c r="AE28" s="138">
        <f t="shared" si="1"/>
        <v>1.3395847287323015E-4</v>
      </c>
    </row>
    <row r="29" spans="1:31" x14ac:dyDescent="0.25">
      <c r="B29" s="193">
        <v>42557</v>
      </c>
      <c r="C29" s="10">
        <v>40</v>
      </c>
      <c r="D29" s="40">
        <v>59.08</v>
      </c>
      <c r="E29" s="40">
        <v>59.48</v>
      </c>
      <c r="F29" s="40">
        <f t="shared" ref="F29" si="15">C29*(E29-D29)</f>
        <v>15.999999999999943</v>
      </c>
      <c r="G29" s="40">
        <f t="shared" ref="G29" si="16">D29*C29</f>
        <v>2363.1999999999998</v>
      </c>
      <c r="H29" s="231">
        <f t="shared" ref="H29" si="17">(E29-D29)/D29</f>
        <v>6.7704807041299693E-3</v>
      </c>
      <c r="I29" s="40"/>
      <c r="W29" s="133">
        <v>42727</v>
      </c>
      <c r="X29" s="10">
        <v>74.739999999999995</v>
      </c>
      <c r="Y29" s="10">
        <v>75.239999999999995</v>
      </c>
      <c r="Z29" s="10">
        <v>74.739999999999995</v>
      </c>
      <c r="AA29" s="10">
        <v>74.97</v>
      </c>
      <c r="AB29" s="95">
        <v>1957500</v>
      </c>
      <c r="AC29" s="10">
        <v>74.650000000000006</v>
      </c>
      <c r="AD29" s="2">
        <f t="shared" si="0"/>
        <v>0.5</v>
      </c>
      <c r="AE29" s="138">
        <f t="shared" si="1"/>
        <v>5.2518179369782647E-3</v>
      </c>
    </row>
    <row r="30" spans="1:31" x14ac:dyDescent="0.25">
      <c r="B30" s="193">
        <v>42569</v>
      </c>
      <c r="C30" s="10">
        <v>40</v>
      </c>
      <c r="D30" s="40">
        <v>59.08</v>
      </c>
      <c r="E30" s="40">
        <v>63.99</v>
      </c>
      <c r="F30" s="40">
        <f t="shared" ref="F30" si="18">C30*(E30-D30)</f>
        <v>196.40000000000015</v>
      </c>
      <c r="G30" s="40">
        <f t="shared" ref="G30" si="19">D30*C30</f>
        <v>2363.1999999999998</v>
      </c>
      <c r="H30" s="231">
        <f t="shared" ref="H30" si="20">(E30-D30)/D30</f>
        <v>8.3107650643195738E-2</v>
      </c>
      <c r="I30" s="236">
        <v>57</v>
      </c>
      <c r="W30" s="133">
        <v>42726</v>
      </c>
      <c r="X30" s="10">
        <v>75</v>
      </c>
      <c r="Y30" s="10">
        <v>75.37</v>
      </c>
      <c r="Z30" s="10">
        <v>74.5</v>
      </c>
      <c r="AA30" s="10">
        <v>74.58</v>
      </c>
      <c r="AB30" s="95">
        <v>2865200</v>
      </c>
      <c r="AC30" s="10">
        <v>74.260000000000005</v>
      </c>
      <c r="AD30" s="2">
        <f t="shared" si="0"/>
        <v>0.87000000000000455</v>
      </c>
      <c r="AE30" s="138">
        <f t="shared" si="1"/>
        <v>-9.8666666666665792E-3</v>
      </c>
    </row>
    <row r="31" spans="1:31" x14ac:dyDescent="0.25">
      <c r="B31" s="193">
        <v>42570</v>
      </c>
      <c r="C31" s="10">
        <v>40</v>
      </c>
      <c r="D31" s="40">
        <v>59.08</v>
      </c>
      <c r="E31" s="40">
        <v>64.16</v>
      </c>
      <c r="F31" s="40">
        <f t="shared" ref="F31" si="21">C31*(E31-D31)</f>
        <v>203.19999999999993</v>
      </c>
      <c r="G31" s="40">
        <f t="shared" ref="G31" si="22">D31*C31</f>
        <v>2363.1999999999998</v>
      </c>
      <c r="H31" s="231">
        <f t="shared" ref="H31" si="23">(E31-D31)/D31</f>
        <v>8.5985104942450888E-2</v>
      </c>
      <c r="I31" s="40"/>
      <c r="W31" s="133">
        <v>42725</v>
      </c>
      <c r="X31" s="10">
        <v>75.11</v>
      </c>
      <c r="Y31" s="10">
        <v>75.569999999999993</v>
      </c>
      <c r="Z31" s="10">
        <v>74.69</v>
      </c>
      <c r="AA31" s="10">
        <v>75.319999999999993</v>
      </c>
      <c r="AB31" s="95">
        <v>3244500</v>
      </c>
      <c r="AC31" s="10">
        <v>75</v>
      </c>
      <c r="AD31" s="2">
        <f t="shared" si="0"/>
        <v>0.87999999999999545</v>
      </c>
      <c r="AE31" s="138">
        <f t="shared" si="1"/>
        <v>3.4787262510036498E-3</v>
      </c>
    </row>
    <row r="32" spans="1:31" x14ac:dyDescent="0.25">
      <c r="B32" s="193">
        <v>42571</v>
      </c>
      <c r="C32" s="10">
        <v>40</v>
      </c>
      <c r="D32" s="40">
        <v>59.08</v>
      </c>
      <c r="E32" s="40">
        <v>64.48</v>
      </c>
      <c r="F32" s="40">
        <f t="shared" ref="F32" si="24">C32*(E32-D32)</f>
        <v>216.00000000000023</v>
      </c>
      <c r="G32" s="40">
        <f t="shared" ref="G32" si="25">D32*C32</f>
        <v>2363.1999999999998</v>
      </c>
      <c r="H32" s="231">
        <f t="shared" ref="H32" si="26">(E32-D32)/D32</f>
        <v>9.140148950575501E-2</v>
      </c>
      <c r="I32" s="40" t="s">
        <v>258</v>
      </c>
      <c r="W32" s="133">
        <v>42724</v>
      </c>
      <c r="X32" s="10">
        <v>75</v>
      </c>
      <c r="Y32" s="10">
        <v>75.5</v>
      </c>
      <c r="Z32" s="10">
        <v>74.53</v>
      </c>
      <c r="AA32" s="10">
        <v>75.06</v>
      </c>
      <c r="AB32" s="95">
        <v>3244900</v>
      </c>
      <c r="AC32" s="10">
        <v>74.739999999999995</v>
      </c>
      <c r="AD32" s="2">
        <f t="shared" si="0"/>
        <v>0.96999999999999886</v>
      </c>
      <c r="AE32" s="138">
        <f t="shared" si="1"/>
        <v>6.8705375185234008E-3</v>
      </c>
    </row>
    <row r="33" spans="2:31" x14ac:dyDescent="0.25">
      <c r="B33" s="193">
        <v>42572</v>
      </c>
      <c r="C33" s="10">
        <v>40</v>
      </c>
      <c r="D33" s="40">
        <v>59.08</v>
      </c>
      <c r="E33" s="40">
        <v>63.43</v>
      </c>
      <c r="F33" s="40">
        <f t="shared" ref="F33" si="27">C33*(E33-D33)</f>
        <v>174.00000000000006</v>
      </c>
      <c r="G33" s="40">
        <f t="shared" ref="G33" si="28">D33*C33</f>
        <v>2363.1999999999998</v>
      </c>
      <c r="H33" s="231">
        <f t="shared" ref="H33" si="29">(E33-D33)/D33</f>
        <v>7.3628977657413705E-2</v>
      </c>
      <c r="I33" s="40"/>
      <c r="W33" s="133">
        <v>42723</v>
      </c>
      <c r="X33" s="10">
        <v>74.680000000000007</v>
      </c>
      <c r="Y33" s="10">
        <v>75.13</v>
      </c>
      <c r="Z33" s="10">
        <v>74.14</v>
      </c>
      <c r="AA33" s="10">
        <v>74.55</v>
      </c>
      <c r="AB33" s="95">
        <v>3076600</v>
      </c>
      <c r="AC33" s="10">
        <v>74.23</v>
      </c>
      <c r="AD33" s="2">
        <f t="shared" si="0"/>
        <v>0.98999999999999488</v>
      </c>
      <c r="AE33" s="138">
        <f t="shared" si="1"/>
        <v>-6.0257096946974009E-3</v>
      </c>
    </row>
    <row r="34" spans="2:31" x14ac:dyDescent="0.25">
      <c r="B34" s="193">
        <v>42575</v>
      </c>
      <c r="C34" s="10">
        <v>40</v>
      </c>
      <c r="D34" s="40">
        <v>59.08</v>
      </c>
      <c r="E34" s="40">
        <v>64.28</v>
      </c>
      <c r="F34" s="40">
        <f t="shared" ref="F34" si="30">C34*(E34-D34)</f>
        <v>208.00000000000011</v>
      </c>
      <c r="G34" s="40">
        <f t="shared" ref="G34" si="31">D34*C34</f>
        <v>2363.1999999999998</v>
      </c>
      <c r="H34" s="231">
        <f t="shared" ref="H34" si="32">(E34-D34)/D34</f>
        <v>8.8016249153689968E-2</v>
      </c>
      <c r="I34" s="40"/>
      <c r="W34" s="133">
        <v>42720</v>
      </c>
      <c r="X34" s="10">
        <v>75.290000000000006</v>
      </c>
      <c r="Y34" s="10">
        <v>75.38</v>
      </c>
      <c r="Z34" s="10">
        <v>74.58</v>
      </c>
      <c r="AA34" s="10">
        <v>75</v>
      </c>
      <c r="AB34" s="95">
        <v>8200600</v>
      </c>
      <c r="AC34" s="10">
        <v>74.680000000000007</v>
      </c>
      <c r="AD34" s="2">
        <f t="shared" si="0"/>
        <v>0.79999999999999716</v>
      </c>
      <c r="AE34" s="138">
        <f t="shared" si="1"/>
        <v>8.0407397480564136E-4</v>
      </c>
    </row>
    <row r="35" spans="2:31" x14ac:dyDescent="0.25">
      <c r="B35" s="193">
        <v>42576</v>
      </c>
      <c r="C35" s="10">
        <v>40</v>
      </c>
      <c r="D35" s="40">
        <v>59.08</v>
      </c>
      <c r="E35" s="40">
        <v>64.33</v>
      </c>
      <c r="F35" s="40">
        <f t="shared" ref="F35" si="33">C35*(E35-D35)</f>
        <v>210</v>
      </c>
      <c r="G35" s="40">
        <f t="shared" ref="G35" si="34">D35*C35</f>
        <v>2363.1999999999998</v>
      </c>
      <c r="H35" s="231">
        <f t="shared" ref="H35" si="35">(E35-D35)/D35</f>
        <v>8.8862559241706163E-2</v>
      </c>
      <c r="I35" s="40"/>
      <c r="W35" s="133">
        <v>42719</v>
      </c>
      <c r="X35" s="10">
        <v>74.540000000000006</v>
      </c>
      <c r="Y35" s="10">
        <v>75.739999999999995</v>
      </c>
      <c r="Z35" s="10">
        <v>74.34</v>
      </c>
      <c r="AA35" s="10">
        <v>74.94</v>
      </c>
      <c r="AB35" s="95">
        <v>4061600</v>
      </c>
      <c r="AC35" s="10">
        <v>74.62</v>
      </c>
      <c r="AD35" s="2">
        <f t="shared" si="0"/>
        <v>1.3999999999999915</v>
      </c>
      <c r="AE35" s="138">
        <f t="shared" si="1"/>
        <v>1.1659436008676805E-2</v>
      </c>
    </row>
    <row r="36" spans="2:31" x14ac:dyDescent="0.25">
      <c r="B36" s="193">
        <v>42593</v>
      </c>
      <c r="C36" s="10">
        <v>0</v>
      </c>
      <c r="D36" s="40"/>
      <c r="E36" s="40"/>
      <c r="F36" s="40">
        <v>231.54</v>
      </c>
      <c r="G36" s="40"/>
      <c r="H36" s="231"/>
      <c r="I36" s="40"/>
      <c r="W36" s="133">
        <v>42718</v>
      </c>
      <c r="X36" s="10">
        <v>73.53</v>
      </c>
      <c r="Y36" s="10">
        <v>75.73</v>
      </c>
      <c r="Z36" s="10">
        <v>73.239999999999995</v>
      </c>
      <c r="AA36" s="10">
        <v>74.069999999999993</v>
      </c>
      <c r="AB36" s="95">
        <v>5415800</v>
      </c>
      <c r="AC36" s="10">
        <v>73.760000000000005</v>
      </c>
      <c r="AD36" s="2">
        <f t="shared" si="0"/>
        <v>2.4900000000000091</v>
      </c>
      <c r="AE36" s="138">
        <f t="shared" si="1"/>
        <v>3.1279749762003206E-3</v>
      </c>
    </row>
    <row r="37" spans="2:31" x14ac:dyDescent="0.25">
      <c r="B37" s="193"/>
      <c r="C37" s="10"/>
      <c r="D37" s="40"/>
      <c r="E37" s="40"/>
      <c r="F37" s="40"/>
      <c r="G37" s="40"/>
      <c r="H37" s="231"/>
      <c r="I37" s="40"/>
      <c r="W37" s="133">
        <v>42717</v>
      </c>
      <c r="X37" s="10">
        <v>73.67</v>
      </c>
      <c r="Y37" s="10">
        <v>74.23</v>
      </c>
      <c r="Z37" s="10">
        <v>73.11</v>
      </c>
      <c r="AA37" s="10">
        <v>73.84</v>
      </c>
      <c r="AB37" s="95">
        <v>2892900</v>
      </c>
      <c r="AC37" s="10">
        <v>73.53</v>
      </c>
      <c r="AD37" s="2">
        <f t="shared" si="0"/>
        <v>1.1200000000000045</v>
      </c>
      <c r="AE37" s="138">
        <f t="shared" si="1"/>
        <v>3.5485191756516876E-3</v>
      </c>
    </row>
    <row r="38" spans="2:31" x14ac:dyDescent="0.25">
      <c r="B38" s="193"/>
      <c r="C38" s="10"/>
      <c r="D38" s="40"/>
      <c r="E38" s="40"/>
      <c r="F38" s="40"/>
      <c r="G38" s="40"/>
      <c r="H38" s="231"/>
      <c r="I38" s="40"/>
      <c r="W38" s="133">
        <v>42716</v>
      </c>
      <c r="X38" s="10">
        <v>74.7</v>
      </c>
      <c r="Y38" s="10">
        <v>74.7</v>
      </c>
      <c r="Z38" s="10">
        <v>73.150000000000006</v>
      </c>
      <c r="AA38" s="10">
        <v>73.58</v>
      </c>
      <c r="AB38" s="95">
        <v>3654900</v>
      </c>
      <c r="AC38" s="10">
        <v>73.27</v>
      </c>
      <c r="AD38" s="2">
        <f t="shared" si="0"/>
        <v>1.5499999999999972</v>
      </c>
      <c r="AE38" s="138">
        <f t="shared" si="1"/>
        <v>-1.5849563465413108E-2</v>
      </c>
    </row>
    <row r="39" spans="2:31" x14ac:dyDescent="0.25">
      <c r="B39" s="193"/>
      <c r="C39" s="10"/>
      <c r="D39" s="40"/>
      <c r="E39" s="40"/>
      <c r="F39" s="40"/>
      <c r="G39" s="40"/>
      <c r="H39" s="231"/>
      <c r="I39" s="40"/>
      <c r="W39" s="133">
        <v>42713</v>
      </c>
      <c r="X39" s="10">
        <v>74.84</v>
      </c>
      <c r="Y39" s="10">
        <v>74.91</v>
      </c>
      <c r="Z39" s="10">
        <v>74.290000000000006</v>
      </c>
      <c r="AA39" s="10">
        <v>74.77</v>
      </c>
      <c r="AB39" s="95">
        <v>2566900</v>
      </c>
      <c r="AC39" s="10">
        <v>74.45</v>
      </c>
      <c r="AD39" s="2">
        <f t="shared" si="0"/>
        <v>0.61999999999999034</v>
      </c>
      <c r="AE39" s="138">
        <f t="shared" si="1"/>
        <v>-1.8769272020378036E-3</v>
      </c>
    </row>
    <row r="40" spans="2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638" t="s">
        <v>78</v>
      </c>
      <c r="P40" s="638"/>
      <c r="W40" s="133">
        <v>42712</v>
      </c>
      <c r="X40" s="10">
        <v>74.8</v>
      </c>
      <c r="Y40" s="10">
        <v>75.2</v>
      </c>
      <c r="Z40" s="10">
        <v>73.989999999999995</v>
      </c>
      <c r="AA40" s="10">
        <v>74.91</v>
      </c>
      <c r="AB40" s="95">
        <v>3415800</v>
      </c>
      <c r="AC40" s="10">
        <v>74.59</v>
      </c>
      <c r="AD40" s="2">
        <f t="shared" si="0"/>
        <v>1.210000000000008</v>
      </c>
      <c r="AE40" s="138">
        <f t="shared" si="1"/>
        <v>8.3817763958362601E-3</v>
      </c>
    </row>
    <row r="41" spans="2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85.844000000000008</v>
      </c>
      <c r="Q41" s="2"/>
      <c r="W41" s="133">
        <v>42711</v>
      </c>
      <c r="X41" s="10">
        <v>72.47</v>
      </c>
      <c r="Y41" s="10">
        <v>74.72</v>
      </c>
      <c r="Z41" s="10">
        <v>72.23</v>
      </c>
      <c r="AA41" s="10">
        <v>74.290000000000006</v>
      </c>
      <c r="AB41" s="95">
        <v>5801500</v>
      </c>
      <c r="AC41" s="10">
        <v>73.97</v>
      </c>
      <c r="AD41" s="2">
        <f t="shared" si="0"/>
        <v>2.4899999999999949</v>
      </c>
      <c r="AE41" s="138">
        <f t="shared" si="1"/>
        <v>2.7361111111111169E-2</v>
      </c>
    </row>
    <row r="42" spans="2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36">O42*$Q$4</f>
        <v>85.063600000000008</v>
      </c>
      <c r="Q42" s="2"/>
      <c r="T42" s="91" t="s">
        <v>113</v>
      </c>
      <c r="W42" s="133">
        <v>42710</v>
      </c>
      <c r="X42" s="10">
        <v>72.47</v>
      </c>
      <c r="Y42" s="10">
        <v>72.739999999999995</v>
      </c>
      <c r="Z42" s="10">
        <v>72.08</v>
      </c>
      <c r="AA42" s="10">
        <v>72.31</v>
      </c>
      <c r="AB42" s="95">
        <v>3843900</v>
      </c>
      <c r="AC42" s="10">
        <v>72</v>
      </c>
      <c r="AD42" s="2">
        <f t="shared" si="0"/>
        <v>0.65999999999999659</v>
      </c>
      <c r="AE42" s="138">
        <f t="shared" si="1"/>
        <v>3.9040713887339429E-3</v>
      </c>
    </row>
    <row r="43" spans="2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36"/>
        <v>84.283200000000008</v>
      </c>
      <c r="Q43" s="2"/>
      <c r="T43" s="128" t="s">
        <v>98</v>
      </c>
      <c r="U43" s="129">
        <v>76.760000000000005</v>
      </c>
      <c r="W43" s="133">
        <v>42709</v>
      </c>
      <c r="X43" s="10">
        <v>72.33</v>
      </c>
      <c r="Y43" s="10">
        <v>72.64</v>
      </c>
      <c r="Z43" s="10">
        <v>71.989999999999995</v>
      </c>
      <c r="AA43" s="10">
        <v>72.03</v>
      </c>
      <c r="AB43" s="95">
        <v>3929100</v>
      </c>
      <c r="AC43" s="10">
        <v>71.72</v>
      </c>
      <c r="AD43" s="2">
        <f t="shared" si="0"/>
        <v>0.65000000000000568</v>
      </c>
      <c r="AE43" s="138">
        <f t="shared" si="1"/>
        <v>2.3759608665270271E-3</v>
      </c>
    </row>
    <row r="44" spans="2:31" x14ac:dyDescent="0.25">
      <c r="B44" s="193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36"/>
        <v>83.502800000000008</v>
      </c>
      <c r="Q44" s="2"/>
      <c r="T44" s="93" t="s">
        <v>99</v>
      </c>
      <c r="U44" s="130">
        <v>76.23</v>
      </c>
      <c r="W44" s="133">
        <v>42706</v>
      </c>
      <c r="X44" s="10">
        <v>72.52</v>
      </c>
      <c r="Y44" s="10">
        <v>72.66</v>
      </c>
      <c r="Z44" s="10">
        <v>71.430000000000007</v>
      </c>
      <c r="AA44" s="10">
        <v>71.86</v>
      </c>
      <c r="AB44" s="95">
        <v>2959100</v>
      </c>
      <c r="AC44" s="10">
        <v>71.55</v>
      </c>
      <c r="AD44" s="2">
        <f t="shared" si="0"/>
        <v>1.2299999999999898</v>
      </c>
      <c r="AE44" s="138">
        <f t="shared" si="1"/>
        <v>-9.2772085294932083E-3</v>
      </c>
    </row>
    <row r="45" spans="2:31" x14ac:dyDescent="0.25">
      <c r="O45" s="83">
        <v>1.06</v>
      </c>
      <c r="P45" s="83">
        <f t="shared" si="36"/>
        <v>82.722400000000007</v>
      </c>
      <c r="Q45" s="2"/>
      <c r="T45" s="93" t="s">
        <v>100</v>
      </c>
      <c r="U45" s="130" t="s">
        <v>129</v>
      </c>
      <c r="W45" s="133">
        <v>42705</v>
      </c>
      <c r="X45" s="10">
        <v>72.45</v>
      </c>
      <c r="Y45" s="10">
        <v>72.77</v>
      </c>
      <c r="Z45" s="10">
        <v>71.78</v>
      </c>
      <c r="AA45" s="10">
        <v>72.53</v>
      </c>
      <c r="AB45" s="95">
        <v>4298200</v>
      </c>
      <c r="AC45" s="10">
        <v>72.22</v>
      </c>
      <c r="AD45" s="2">
        <f t="shared" si="0"/>
        <v>0.98999999999999488</v>
      </c>
      <c r="AE45" s="138">
        <f t="shared" si="1"/>
        <v>6.8311724522513995E-3</v>
      </c>
    </row>
    <row r="46" spans="2:31" x14ac:dyDescent="0.25">
      <c r="O46" s="83">
        <v>1.05</v>
      </c>
      <c r="P46" s="83">
        <f t="shared" si="36"/>
        <v>81.942000000000007</v>
      </c>
      <c r="Q46" s="2"/>
      <c r="T46" s="93" t="s">
        <v>101</v>
      </c>
      <c r="U46" s="130" t="s">
        <v>129</v>
      </c>
      <c r="W46" s="133">
        <v>42704</v>
      </c>
      <c r="X46" s="10">
        <v>72</v>
      </c>
      <c r="Y46" s="10">
        <v>72.33</v>
      </c>
      <c r="Z46" s="10">
        <v>71.78</v>
      </c>
      <c r="AA46" s="10">
        <v>72.040000000000006</v>
      </c>
      <c r="AB46" s="95">
        <v>4812500</v>
      </c>
      <c r="AC46" s="10">
        <v>71.73</v>
      </c>
      <c r="AD46" s="2">
        <f t="shared" si="0"/>
        <v>0.54999999999999716</v>
      </c>
      <c r="AE46" s="138">
        <f t="shared" si="1"/>
        <v>7.5853350189634128E-3</v>
      </c>
    </row>
    <row r="47" spans="2:31" x14ac:dyDescent="0.25">
      <c r="O47" s="83">
        <v>1.04</v>
      </c>
      <c r="P47" s="83">
        <f t="shared" si="36"/>
        <v>81.161600000000007</v>
      </c>
      <c r="Q47" s="2"/>
      <c r="T47" s="93" t="s">
        <v>102</v>
      </c>
      <c r="U47" s="130">
        <v>80.56</v>
      </c>
      <c r="W47" s="133">
        <v>42703</v>
      </c>
      <c r="X47" s="10">
        <v>72.2</v>
      </c>
      <c r="Y47" s="10">
        <v>72.260000000000005</v>
      </c>
      <c r="Z47" s="10">
        <v>71.39</v>
      </c>
      <c r="AA47" s="10">
        <v>71.489999999999995</v>
      </c>
      <c r="AB47" s="95">
        <v>3814800</v>
      </c>
      <c r="AC47" s="10">
        <v>71.19</v>
      </c>
      <c r="AD47" s="2">
        <f t="shared" si="0"/>
        <v>0.87000000000000455</v>
      </c>
      <c r="AE47" s="138">
        <f t="shared" si="1"/>
        <v>-8.7719298245613198E-3</v>
      </c>
    </row>
    <row r="48" spans="2:31" x14ac:dyDescent="0.25">
      <c r="L48" t="s">
        <v>65</v>
      </c>
      <c r="M48" s="2">
        <f>M66+K66-F66</f>
        <v>231.53999999999996</v>
      </c>
      <c r="O48" s="83">
        <v>1.03</v>
      </c>
      <c r="P48" s="83">
        <f t="shared" si="36"/>
        <v>80.381200000000007</v>
      </c>
      <c r="Q48" s="2"/>
      <c r="T48" s="93" t="s">
        <v>103</v>
      </c>
      <c r="U48" s="130">
        <v>1.19173</v>
      </c>
      <c r="W48" s="133">
        <v>42702</v>
      </c>
      <c r="X48" s="10">
        <v>72.53</v>
      </c>
      <c r="Y48" s="10">
        <v>72.77</v>
      </c>
      <c r="Z48" s="10">
        <v>71.97</v>
      </c>
      <c r="AA48" s="10">
        <v>72.13</v>
      </c>
      <c r="AB48" s="95">
        <v>4467700</v>
      </c>
      <c r="AC48" s="10">
        <v>71.819999999999993</v>
      </c>
      <c r="AD48" s="2">
        <f t="shared" si="0"/>
        <v>0.79999999999999716</v>
      </c>
      <c r="AE48" s="138">
        <f t="shared" si="1"/>
        <v>-1.0062026188835338E-2</v>
      </c>
    </row>
    <row r="49" spans="1:31" x14ac:dyDescent="0.25">
      <c r="A49" s="387" t="s">
        <v>1</v>
      </c>
      <c r="B49" s="387" t="s">
        <v>2</v>
      </c>
      <c r="C49" s="387" t="s">
        <v>4</v>
      </c>
      <c r="D49" s="389" t="s">
        <v>5</v>
      </c>
      <c r="E49" s="389" t="s">
        <v>94</v>
      </c>
      <c r="F49" s="389" t="s">
        <v>60</v>
      </c>
      <c r="G49" s="387" t="s">
        <v>3</v>
      </c>
      <c r="H49" s="387" t="s">
        <v>6</v>
      </c>
      <c r="I49" s="389" t="s">
        <v>7</v>
      </c>
      <c r="J49" s="389" t="s">
        <v>95</v>
      </c>
      <c r="K49" s="389" t="s">
        <v>61</v>
      </c>
      <c r="L49" s="387" t="s">
        <v>37</v>
      </c>
      <c r="M49" s="387" t="s">
        <v>38</v>
      </c>
      <c r="O49" s="83">
        <v>1.02</v>
      </c>
      <c r="P49" s="83">
        <f t="shared" si="36"/>
        <v>79.600800000000007</v>
      </c>
      <c r="Q49" s="2"/>
      <c r="T49" s="93" t="s">
        <v>122</v>
      </c>
      <c r="U49" s="130" t="s">
        <v>425</v>
      </c>
      <c r="W49" s="133">
        <v>42699</v>
      </c>
      <c r="X49" s="10">
        <v>72.97</v>
      </c>
      <c r="Y49" s="10">
        <v>73.180000000000007</v>
      </c>
      <c r="Z49" s="10">
        <v>72.459999999999994</v>
      </c>
      <c r="AA49" s="10">
        <v>72.86</v>
      </c>
      <c r="AB49" s="95">
        <v>1900400</v>
      </c>
      <c r="AC49" s="10">
        <v>72.55</v>
      </c>
      <c r="AD49" s="2">
        <f t="shared" si="0"/>
        <v>0.72000000000001307</v>
      </c>
      <c r="AE49" s="138">
        <f t="shared" si="1"/>
        <v>-2.7559597629867039E-4</v>
      </c>
    </row>
    <row r="50" spans="1:31" x14ac:dyDescent="0.25">
      <c r="A50" s="390" t="s">
        <v>232</v>
      </c>
      <c r="B50" s="380">
        <v>42548</v>
      </c>
      <c r="C50" s="381">
        <v>40</v>
      </c>
      <c r="D50" s="382">
        <v>59.08</v>
      </c>
      <c r="E50" s="382">
        <v>0</v>
      </c>
      <c r="F50" s="382">
        <f>D50*C50+E50</f>
        <v>2363.1999999999998</v>
      </c>
      <c r="G50" s="380">
        <v>42580</v>
      </c>
      <c r="H50" s="385">
        <v>40</v>
      </c>
      <c r="I50" s="382">
        <v>64.58</v>
      </c>
      <c r="J50" s="382">
        <v>0.06</v>
      </c>
      <c r="K50" s="382">
        <f>I50*H50-J50</f>
        <v>2583.14</v>
      </c>
      <c r="L50" s="380">
        <v>42592</v>
      </c>
      <c r="M50" s="381">
        <v>11.6</v>
      </c>
      <c r="O50" s="83">
        <v>1.01</v>
      </c>
      <c r="P50" s="83">
        <f t="shared" si="36"/>
        <v>78.820400000000006</v>
      </c>
      <c r="Q50" s="2"/>
      <c r="T50" s="93"/>
      <c r="U50" s="130"/>
      <c r="W50" s="133">
        <v>42697</v>
      </c>
      <c r="X50" s="10">
        <v>71.94</v>
      </c>
      <c r="Y50" s="10">
        <v>72.92</v>
      </c>
      <c r="Z50" s="10">
        <v>71.510000000000005</v>
      </c>
      <c r="AA50" s="10">
        <v>72.88</v>
      </c>
      <c r="AB50" s="95">
        <v>4661400</v>
      </c>
      <c r="AC50" s="10">
        <v>72.569999999999993</v>
      </c>
      <c r="AD50" s="2">
        <f t="shared" si="0"/>
        <v>1.4099999999999966</v>
      </c>
      <c r="AE50" s="138">
        <f t="shared" si="1"/>
        <v>1.6101932231867622E-2</v>
      </c>
    </row>
    <row r="51" spans="1:31" x14ac:dyDescent="0.25">
      <c r="A51" s="391" t="s">
        <v>71</v>
      </c>
      <c r="B51" s="380"/>
      <c r="C51" s="381"/>
      <c r="D51" s="382"/>
      <c r="E51" s="382"/>
      <c r="F51" s="382"/>
      <c r="G51" s="381"/>
      <c r="H51" s="385"/>
      <c r="I51" s="382"/>
      <c r="J51" s="382"/>
      <c r="K51" s="382"/>
      <c r="L51" s="381"/>
      <c r="M51" s="381"/>
      <c r="O51" s="83">
        <v>1</v>
      </c>
      <c r="P51" s="83">
        <f t="shared" si="36"/>
        <v>78.040000000000006</v>
      </c>
      <c r="Q51" s="2"/>
      <c r="T51" s="93" t="s">
        <v>105</v>
      </c>
      <c r="U51" s="130" t="s">
        <v>545</v>
      </c>
      <c r="W51" s="133">
        <v>42696</v>
      </c>
      <c r="X51" s="10">
        <v>71.819999999999993</v>
      </c>
      <c r="Y51" s="10">
        <v>71.88</v>
      </c>
      <c r="Z51" s="10">
        <v>70.87</v>
      </c>
      <c r="AA51" s="10">
        <v>71.72</v>
      </c>
      <c r="AB51" s="95">
        <v>4086200</v>
      </c>
      <c r="AC51" s="10">
        <v>71.42</v>
      </c>
      <c r="AD51" s="2">
        <f t="shared" si="0"/>
        <v>1.0099999999999909</v>
      </c>
      <c r="AE51" s="138">
        <f t="shared" si="1"/>
        <v>2.5266704098820814E-3</v>
      </c>
    </row>
    <row r="52" spans="1:31" x14ac:dyDescent="0.25">
      <c r="A52" s="381"/>
      <c r="B52" s="380"/>
      <c r="C52" s="381"/>
      <c r="D52" s="382"/>
      <c r="E52" s="382"/>
      <c r="F52" s="382"/>
      <c r="G52" s="381"/>
      <c r="H52" s="385"/>
      <c r="I52" s="382"/>
      <c r="J52" s="382"/>
      <c r="K52" s="382"/>
      <c r="L52" s="381"/>
      <c r="M52" s="381"/>
      <c r="O52" s="83">
        <v>0.99</v>
      </c>
      <c r="P52" s="83">
        <f t="shared" si="36"/>
        <v>77.259600000000006</v>
      </c>
      <c r="Q52" s="2"/>
      <c r="T52" s="93" t="s">
        <v>106</v>
      </c>
      <c r="U52" s="130" t="s">
        <v>448</v>
      </c>
      <c r="W52" s="133">
        <v>42695</v>
      </c>
      <c r="X52" s="10">
        <v>71.31</v>
      </c>
      <c r="Y52" s="10">
        <v>71.67</v>
      </c>
      <c r="Z52" s="10">
        <v>70.959999999999994</v>
      </c>
      <c r="AA52" s="10">
        <v>71.540000000000006</v>
      </c>
      <c r="AB52" s="95">
        <v>3368200</v>
      </c>
      <c r="AC52" s="10">
        <v>71.239999999999995</v>
      </c>
      <c r="AD52" s="2">
        <f t="shared" si="0"/>
        <v>0.71000000000000796</v>
      </c>
      <c r="AE52" s="138">
        <f t="shared" si="1"/>
        <v>7.637906647807613E-3</v>
      </c>
    </row>
    <row r="53" spans="1:31" x14ac:dyDescent="0.25">
      <c r="A53" s="381"/>
      <c r="B53" s="380"/>
      <c r="C53" s="381"/>
      <c r="D53" s="382"/>
      <c r="E53" s="382"/>
      <c r="F53" s="382"/>
      <c r="G53" s="381"/>
      <c r="H53" s="385"/>
      <c r="I53" s="382"/>
      <c r="J53" s="382"/>
      <c r="K53" s="382"/>
      <c r="L53" s="381"/>
      <c r="M53" s="381"/>
      <c r="O53" s="83">
        <v>0.98</v>
      </c>
      <c r="P53" s="83">
        <f t="shared" si="36"/>
        <v>76.479200000000006</v>
      </c>
      <c r="Q53" s="2"/>
      <c r="T53" s="93" t="s">
        <v>107</v>
      </c>
      <c r="U53" s="131">
        <v>3655543</v>
      </c>
      <c r="W53" s="133">
        <v>42692</v>
      </c>
      <c r="X53" s="10">
        <v>71.53</v>
      </c>
      <c r="Y53" s="10">
        <v>71.599999999999994</v>
      </c>
      <c r="Z53" s="10">
        <v>70.77</v>
      </c>
      <c r="AA53" s="10">
        <v>71</v>
      </c>
      <c r="AB53" s="95">
        <v>5430600</v>
      </c>
      <c r="AC53" s="10">
        <v>70.7</v>
      </c>
      <c r="AD53" s="2">
        <f t="shared" si="0"/>
        <v>0.82999999999999829</v>
      </c>
      <c r="AE53" s="138">
        <f t="shared" si="1"/>
        <v>-1.0912143256855078E-2</v>
      </c>
    </row>
    <row r="54" spans="1:31" x14ac:dyDescent="0.25">
      <c r="A54" s="381"/>
      <c r="B54" s="380"/>
      <c r="C54" s="381"/>
      <c r="D54" s="382"/>
      <c r="E54" s="382"/>
      <c r="F54" s="382"/>
      <c r="G54" s="381"/>
      <c r="H54" s="385"/>
      <c r="I54" s="382"/>
      <c r="J54" s="382"/>
      <c r="K54" s="382"/>
      <c r="L54" s="381"/>
      <c r="M54" s="381"/>
      <c r="O54" s="83">
        <v>0.97</v>
      </c>
      <c r="P54" s="83">
        <f t="shared" si="36"/>
        <v>75.698800000000006</v>
      </c>
      <c r="T54" s="93" t="s">
        <v>110</v>
      </c>
      <c r="U54" s="131">
        <v>4508250</v>
      </c>
      <c r="W54" s="133">
        <v>42691</v>
      </c>
      <c r="X54" s="10">
        <v>71.36</v>
      </c>
      <c r="Y54" s="10">
        <v>72</v>
      </c>
      <c r="Z54" s="10">
        <v>71.319999999999993</v>
      </c>
      <c r="AA54" s="10">
        <v>71.78</v>
      </c>
      <c r="AB54" s="95">
        <v>3797400</v>
      </c>
      <c r="AC54" s="10">
        <v>71.48</v>
      </c>
      <c r="AD54" s="2">
        <f t="shared" si="0"/>
        <v>0.68000000000000682</v>
      </c>
      <c r="AE54" s="138">
        <f t="shared" si="1"/>
        <v>1.4009526478007128E-3</v>
      </c>
    </row>
    <row r="55" spans="1:31" x14ac:dyDescent="0.25">
      <c r="A55" s="381"/>
      <c r="B55" s="381"/>
      <c r="C55" s="381"/>
      <c r="D55" s="382"/>
      <c r="E55" s="382"/>
      <c r="F55" s="382"/>
      <c r="G55" s="381"/>
      <c r="H55" s="385"/>
      <c r="I55" s="382"/>
      <c r="J55" s="382"/>
      <c r="K55" s="382"/>
      <c r="L55" s="381"/>
      <c r="M55" s="381"/>
      <c r="O55" s="83">
        <v>0.96</v>
      </c>
      <c r="P55" s="83">
        <f t="shared" si="36"/>
        <v>74.918400000000005</v>
      </c>
      <c r="T55" s="93" t="s">
        <v>108</v>
      </c>
      <c r="U55" s="130" t="s">
        <v>546</v>
      </c>
      <c r="W55" s="133">
        <v>42690</v>
      </c>
      <c r="X55" s="10">
        <v>71.95</v>
      </c>
      <c r="Y55" s="10">
        <v>72.400000000000006</v>
      </c>
      <c r="Z55" s="10">
        <v>71.28</v>
      </c>
      <c r="AA55" s="10">
        <v>71.680000000000007</v>
      </c>
      <c r="AB55" s="95">
        <v>4663700</v>
      </c>
      <c r="AC55" s="10">
        <v>71.38</v>
      </c>
      <c r="AD55" s="2">
        <f t="shared" si="0"/>
        <v>1.1200000000000045</v>
      </c>
      <c r="AE55" s="138">
        <f t="shared" si="1"/>
        <v>-1.0809312638580981E-2</v>
      </c>
    </row>
    <row r="56" spans="1:31" x14ac:dyDescent="0.25">
      <c r="A56" s="381"/>
      <c r="B56" s="381"/>
      <c r="C56" s="381"/>
      <c r="D56" s="382"/>
      <c r="E56" s="382"/>
      <c r="F56" s="382"/>
      <c r="G56" s="381"/>
      <c r="H56" s="385"/>
      <c r="I56" s="382"/>
      <c r="J56" s="382"/>
      <c r="K56" s="382"/>
      <c r="L56" s="381"/>
      <c r="M56" s="381"/>
      <c r="O56" s="83">
        <v>0.95</v>
      </c>
      <c r="P56" s="83">
        <f t="shared" si="36"/>
        <v>74.138000000000005</v>
      </c>
      <c r="T56" s="93" t="s">
        <v>111</v>
      </c>
      <c r="U56" s="130">
        <v>13.54</v>
      </c>
      <c r="W56" s="133">
        <v>42689</v>
      </c>
      <c r="X56" s="10">
        <v>72.13</v>
      </c>
      <c r="Y56" s="10">
        <v>72.48</v>
      </c>
      <c r="Z56" s="10">
        <v>71.239999999999995</v>
      </c>
      <c r="AA56" s="10">
        <v>72.47</v>
      </c>
      <c r="AB56" s="95">
        <v>4431200</v>
      </c>
      <c r="AC56" s="10">
        <v>72.16</v>
      </c>
      <c r="AD56" s="2">
        <f t="shared" si="0"/>
        <v>1.2400000000000091</v>
      </c>
      <c r="AE56" s="138">
        <f t="shared" si="1"/>
        <v>6.9338510608796255E-4</v>
      </c>
    </row>
    <row r="57" spans="1:31" x14ac:dyDescent="0.25">
      <c r="A57" s="381"/>
      <c r="B57" s="381"/>
      <c r="C57" s="381"/>
      <c r="D57" s="382"/>
      <c r="E57" s="382"/>
      <c r="F57" s="382"/>
      <c r="G57" s="381"/>
      <c r="H57" s="385"/>
      <c r="I57" s="382"/>
      <c r="J57" s="382"/>
      <c r="K57" s="382"/>
      <c r="L57" s="381"/>
      <c r="M57" s="381"/>
      <c r="O57" s="83">
        <v>0.94</v>
      </c>
      <c r="P57" s="83">
        <f t="shared" si="36"/>
        <v>73.357600000000005</v>
      </c>
      <c r="T57" s="93" t="s">
        <v>112</v>
      </c>
      <c r="U57" s="130">
        <v>5.65</v>
      </c>
      <c r="W57" s="133">
        <v>42688</v>
      </c>
      <c r="X57" s="10">
        <v>70.8</v>
      </c>
      <c r="Y57" s="10">
        <v>72.680000000000007</v>
      </c>
      <c r="Z57" s="10">
        <v>70.63</v>
      </c>
      <c r="AA57" s="10">
        <v>72.42</v>
      </c>
      <c r="AB57" s="95">
        <v>8084100</v>
      </c>
      <c r="AC57" s="10">
        <v>72.11</v>
      </c>
      <c r="AD57" s="2">
        <f t="shared" si="0"/>
        <v>2.0500000000000114</v>
      </c>
      <c r="AE57" s="138">
        <f t="shared" si="1"/>
        <v>2.7207977207977185E-2</v>
      </c>
    </row>
    <row r="58" spans="1:31" x14ac:dyDescent="0.25">
      <c r="A58" s="381"/>
      <c r="B58" s="381"/>
      <c r="C58" s="381"/>
      <c r="D58" s="382"/>
      <c r="E58" s="382"/>
      <c r="F58" s="382"/>
      <c r="G58" s="381"/>
      <c r="H58" s="385"/>
      <c r="I58" s="382"/>
      <c r="J58" s="382"/>
      <c r="K58" s="382"/>
      <c r="L58" s="381"/>
      <c r="M58" s="381"/>
      <c r="O58" s="83">
        <v>0.93</v>
      </c>
      <c r="P58" s="83">
        <f t="shared" si="36"/>
        <v>72.577200000000005</v>
      </c>
      <c r="T58" s="93" t="s">
        <v>109</v>
      </c>
      <c r="U58" s="130" t="s">
        <v>547</v>
      </c>
      <c r="W58" s="133">
        <v>42685</v>
      </c>
      <c r="X58" s="10">
        <v>69.97</v>
      </c>
      <c r="Y58" s="10">
        <v>70.59</v>
      </c>
      <c r="Z58" s="10">
        <v>69.650000000000006</v>
      </c>
      <c r="AA58" s="10">
        <v>70.5</v>
      </c>
      <c r="AB58" s="95">
        <v>4656100</v>
      </c>
      <c r="AC58" s="10">
        <v>70.2</v>
      </c>
      <c r="AD58" s="2">
        <f t="shared" si="0"/>
        <v>0.93999999999999773</v>
      </c>
      <c r="AE58" s="138">
        <f t="shared" si="1"/>
        <v>5.5865921787709993E-3</v>
      </c>
    </row>
    <row r="59" spans="1:31" x14ac:dyDescent="0.25">
      <c r="A59" s="381"/>
      <c r="B59" s="381"/>
      <c r="C59" s="381"/>
      <c r="D59" s="382"/>
      <c r="E59" s="382"/>
      <c r="F59" s="382"/>
      <c r="G59" s="381"/>
      <c r="H59" s="385"/>
      <c r="I59" s="382"/>
      <c r="J59" s="382"/>
      <c r="K59" s="382"/>
      <c r="L59" s="381"/>
      <c r="M59" s="381"/>
      <c r="O59" s="83">
        <v>0.92</v>
      </c>
      <c r="P59" s="83">
        <f t="shared" si="36"/>
        <v>71.796800000000005</v>
      </c>
      <c r="W59" s="133">
        <v>42684</v>
      </c>
      <c r="X59" s="10">
        <v>69.239999999999995</v>
      </c>
      <c r="Y59" s="10">
        <v>70.400000000000006</v>
      </c>
      <c r="Z59" s="10">
        <v>69.05</v>
      </c>
      <c r="AA59" s="10">
        <v>70.11</v>
      </c>
      <c r="AB59" s="95">
        <v>9418700</v>
      </c>
      <c r="AC59" s="10">
        <v>69.81</v>
      </c>
      <c r="AD59" s="2">
        <f t="shared" si="0"/>
        <v>1.3500000000000085</v>
      </c>
      <c r="AE59" s="138">
        <f t="shared" si="1"/>
        <v>1.9868517165814392E-2</v>
      </c>
    </row>
    <row r="60" spans="1:31" x14ac:dyDescent="0.25">
      <c r="A60" s="381"/>
      <c r="B60" s="381"/>
      <c r="C60" s="381"/>
      <c r="D60" s="382"/>
      <c r="E60" s="382"/>
      <c r="F60" s="382"/>
      <c r="G60" s="381"/>
      <c r="H60" s="385"/>
      <c r="I60" s="382"/>
      <c r="J60" s="382"/>
      <c r="K60" s="382"/>
      <c r="L60" s="381"/>
      <c r="M60" s="381"/>
      <c r="O60" s="83">
        <v>0.91</v>
      </c>
      <c r="P60" s="83">
        <f t="shared" si="36"/>
        <v>71.016400000000004</v>
      </c>
      <c r="W60" s="133">
        <v>42683</v>
      </c>
      <c r="X60" s="10">
        <v>67.16</v>
      </c>
      <c r="Y60" s="10">
        <v>69</v>
      </c>
      <c r="Z60" s="10">
        <v>67.06</v>
      </c>
      <c r="AA60" s="10">
        <v>68.739999999999995</v>
      </c>
      <c r="AB60" s="95">
        <v>9319100</v>
      </c>
      <c r="AC60" s="10">
        <v>68.45</v>
      </c>
      <c r="AD60" s="2">
        <f t="shared" si="0"/>
        <v>1.9399999999999977</v>
      </c>
      <c r="AE60" s="138">
        <f t="shared" si="1"/>
        <v>2.4854020062883508E-2</v>
      </c>
    </row>
    <row r="61" spans="1:31" x14ac:dyDescent="0.25">
      <c r="A61" s="381"/>
      <c r="B61" s="381"/>
      <c r="C61" s="381"/>
      <c r="D61" s="382"/>
      <c r="E61" s="382"/>
      <c r="F61" s="382"/>
      <c r="G61" s="381"/>
      <c r="H61" s="385"/>
      <c r="I61" s="382"/>
      <c r="J61" s="382"/>
      <c r="K61" s="382"/>
      <c r="L61" s="381"/>
      <c r="M61" s="381"/>
      <c r="O61" s="83">
        <v>0.9</v>
      </c>
      <c r="P61" s="83">
        <f t="shared" si="36"/>
        <v>70.236000000000004</v>
      </c>
      <c r="W61" s="133">
        <v>42682</v>
      </c>
      <c r="X61" s="10">
        <v>66.790000000000006</v>
      </c>
      <c r="Y61" s="10">
        <v>67.260000000000005</v>
      </c>
      <c r="Z61" s="10">
        <v>66.31</v>
      </c>
      <c r="AA61" s="10">
        <v>67.069999999999993</v>
      </c>
      <c r="AB61" s="95">
        <v>3956000</v>
      </c>
      <c r="AC61" s="10">
        <v>66.790000000000006</v>
      </c>
      <c r="AD61" s="2">
        <f t="shared" si="0"/>
        <v>0.95000000000000284</v>
      </c>
      <c r="AE61" s="138">
        <f t="shared" si="1"/>
        <v>1.0491606714628787E-3</v>
      </c>
    </row>
    <row r="62" spans="1:31" x14ac:dyDescent="0.25">
      <c r="A62" s="381"/>
      <c r="B62" s="381"/>
      <c r="C62" s="381"/>
      <c r="D62" s="382"/>
      <c r="E62" s="382"/>
      <c r="F62" s="382"/>
      <c r="G62" s="381"/>
      <c r="H62" s="385"/>
      <c r="I62" s="382"/>
      <c r="J62" s="382"/>
      <c r="K62" s="382"/>
      <c r="L62" s="381"/>
      <c r="M62" s="381"/>
      <c r="W62" s="133">
        <v>42681</v>
      </c>
      <c r="X62" s="10">
        <v>66.849999999999994</v>
      </c>
      <c r="Y62" s="10">
        <v>67.33</v>
      </c>
      <c r="Z62" s="10">
        <v>66.650000000000006</v>
      </c>
      <c r="AA62" s="10">
        <v>67</v>
      </c>
      <c r="AB62" s="95">
        <v>4012100</v>
      </c>
      <c r="AC62" s="10">
        <v>66.72</v>
      </c>
      <c r="AD62" s="2">
        <f t="shared" si="0"/>
        <v>0.67999999999999261</v>
      </c>
      <c r="AE62" s="138">
        <f t="shared" si="1"/>
        <v>2.2842250498236849E-2</v>
      </c>
    </row>
    <row r="63" spans="1:31" x14ac:dyDescent="0.25">
      <c r="A63" s="381"/>
      <c r="B63" s="381"/>
      <c r="C63" s="381"/>
      <c r="D63" s="382"/>
      <c r="E63" s="382"/>
      <c r="F63" s="382"/>
      <c r="G63" s="381"/>
      <c r="H63" s="385"/>
      <c r="I63" s="382"/>
      <c r="J63" s="382"/>
      <c r="K63" s="382"/>
      <c r="L63" s="381"/>
      <c r="M63" s="381"/>
      <c r="W63" s="133">
        <v>42678</v>
      </c>
      <c r="X63" s="10">
        <v>65.5</v>
      </c>
      <c r="Y63" s="10">
        <v>66.08</v>
      </c>
      <c r="Z63" s="10">
        <v>65.03</v>
      </c>
      <c r="AA63" s="10">
        <v>65.510000000000005</v>
      </c>
      <c r="AB63" s="95">
        <v>3429900</v>
      </c>
      <c r="AC63" s="10">
        <v>65.23</v>
      </c>
      <c r="AD63" s="2">
        <f t="shared" si="0"/>
        <v>1.0499999999999972</v>
      </c>
      <c r="AE63" s="138">
        <f t="shared" si="1"/>
        <v>2.7671022290547409E-3</v>
      </c>
    </row>
    <row r="64" spans="1:31" x14ac:dyDescent="0.25">
      <c r="A64" s="381"/>
      <c r="B64" s="381"/>
      <c r="C64" s="381"/>
      <c r="D64" s="382"/>
      <c r="E64" s="382"/>
      <c r="F64" s="382"/>
      <c r="G64" s="381"/>
      <c r="H64" s="385"/>
      <c r="I64" s="382"/>
      <c r="J64" s="382"/>
      <c r="K64" s="382"/>
      <c r="L64" s="381"/>
      <c r="M64" s="381"/>
      <c r="W64" s="133">
        <v>42677</v>
      </c>
      <c r="X64" s="10">
        <v>65.53</v>
      </c>
      <c r="Y64" s="10">
        <v>65.760000000000005</v>
      </c>
      <c r="Z64" s="10">
        <v>65.040000000000006</v>
      </c>
      <c r="AA64" s="10">
        <v>65.33</v>
      </c>
      <c r="AB64" s="95">
        <v>3796500</v>
      </c>
      <c r="AC64" s="10">
        <v>65.05</v>
      </c>
      <c r="AD64" s="2">
        <f t="shared" si="0"/>
        <v>0.71999999999999886</v>
      </c>
      <c r="AE64" s="138">
        <f t="shared" si="1"/>
        <v>-1.8413380389750156E-3</v>
      </c>
    </row>
    <row r="65" spans="1:31" x14ac:dyDescent="0.25">
      <c r="A65" s="381"/>
      <c r="B65" s="381"/>
      <c r="C65" s="381"/>
      <c r="D65" s="382"/>
      <c r="E65" s="382"/>
      <c r="F65" s="382"/>
      <c r="G65" s="381"/>
      <c r="H65" s="381"/>
      <c r="I65" s="382"/>
      <c r="J65" s="382"/>
      <c r="K65" s="382"/>
      <c r="L65" s="381"/>
      <c r="M65" s="381"/>
      <c r="W65" s="133">
        <v>42676</v>
      </c>
      <c r="X65" s="10">
        <v>65.760000000000005</v>
      </c>
      <c r="Y65" s="10">
        <v>66.03</v>
      </c>
      <c r="Z65" s="10">
        <v>65.14</v>
      </c>
      <c r="AA65" s="10">
        <v>65.45</v>
      </c>
      <c r="AB65" s="95">
        <v>3659000</v>
      </c>
      <c r="AC65" s="10">
        <v>65.17</v>
      </c>
      <c r="AD65" s="2">
        <f t="shared" si="0"/>
        <v>0.89000000000000057</v>
      </c>
      <c r="AE65" s="138">
        <f t="shared" si="1"/>
        <v>-1.2126724268606948E-2</v>
      </c>
    </row>
    <row r="66" spans="1:31" x14ac:dyDescent="0.25">
      <c r="A66" s="22" t="s">
        <v>81</v>
      </c>
      <c r="B66" s="12"/>
      <c r="C66" s="12">
        <f>SUM(C50:C54)</f>
        <v>40</v>
      </c>
      <c r="D66" s="13"/>
      <c r="E66" s="13"/>
      <c r="F66" s="13">
        <f>SUM(F50:F54)</f>
        <v>2363.1999999999998</v>
      </c>
      <c r="G66" s="12"/>
      <c r="H66" s="12">
        <f>SUM(H50:H53)</f>
        <v>40</v>
      </c>
      <c r="I66" s="13"/>
      <c r="J66" s="13"/>
      <c r="K66" s="13">
        <f>SUM(K50:K53)</f>
        <v>2583.14</v>
      </c>
      <c r="L66" s="12"/>
      <c r="M66" s="13">
        <f>SUM(M50:M58)</f>
        <v>11.6</v>
      </c>
      <c r="W66" s="133">
        <v>42675</v>
      </c>
      <c r="X66" s="10">
        <v>66.77</v>
      </c>
      <c r="Y66" s="10">
        <v>66.81</v>
      </c>
      <c r="Z66" s="10">
        <v>65.73</v>
      </c>
      <c r="AA66" s="10">
        <v>66.25</v>
      </c>
      <c r="AB66" s="95">
        <v>3761600</v>
      </c>
      <c r="AC66" s="10">
        <v>65.97</v>
      </c>
      <c r="AD66" s="2">
        <f t="shared" si="0"/>
        <v>1.0799999999999983</v>
      </c>
      <c r="AE66" s="138">
        <f t="shared" si="1"/>
        <v>-2.5703054127608205E-3</v>
      </c>
    </row>
    <row r="67" spans="1:31" ht="15.75" thickBot="1" x14ac:dyDescent="0.3">
      <c r="A67" s="472" t="s">
        <v>198</v>
      </c>
      <c r="B67" s="473"/>
      <c r="C67" s="474">
        <f>SumByColor($A$19,C50:C65)</f>
        <v>0</v>
      </c>
      <c r="D67" s="474"/>
      <c r="E67" s="474"/>
      <c r="F67" s="475">
        <f>SumByColor($A$19,F50:F65)</f>
        <v>0</v>
      </c>
      <c r="G67" s="474"/>
      <c r="H67" s="474">
        <f>SumByColor($A$19,H50:H65)</f>
        <v>0</v>
      </c>
      <c r="I67" s="474"/>
      <c r="J67" s="474"/>
      <c r="K67" s="475">
        <f>SumByColor($A$19,K50:K65)</f>
        <v>0</v>
      </c>
      <c r="L67" s="474"/>
      <c r="M67" s="475">
        <f t="shared" ref="M67" si="37">SumByColor($A$19,M50:M65)</f>
        <v>0</v>
      </c>
      <c r="W67" s="133">
        <v>42674</v>
      </c>
      <c r="X67" s="10">
        <v>66.81</v>
      </c>
      <c r="Y67" s="10">
        <v>66.83</v>
      </c>
      <c r="Z67" s="10">
        <v>66.31</v>
      </c>
      <c r="AA67" s="10">
        <v>66.42</v>
      </c>
      <c r="AB67" s="95">
        <v>3233400</v>
      </c>
      <c r="AC67" s="10">
        <v>66.14</v>
      </c>
      <c r="AD67" s="2">
        <f>Y67-Z67</f>
        <v>0.51999999999999602</v>
      </c>
      <c r="AE67" s="138" t="e">
        <f>AC67/#REF!-1</f>
        <v>#REF!</v>
      </c>
    </row>
    <row r="68" spans="1:31" x14ac:dyDescent="0.25">
      <c r="W68" s="133">
        <v>42671</v>
      </c>
      <c r="X68" s="10">
        <v>67.150000000000006</v>
      </c>
      <c r="Y68" s="10">
        <v>67.22</v>
      </c>
      <c r="Z68" s="10">
        <v>66.3</v>
      </c>
      <c r="AA68" s="10">
        <v>66.45</v>
      </c>
      <c r="AB68" s="95">
        <v>4994500</v>
      </c>
      <c r="AC68" s="10">
        <v>66.17</v>
      </c>
      <c r="AD68" s="2" t="e">
        <f>#REF!-#REF!</f>
        <v>#REF!</v>
      </c>
      <c r="AE68" s="138" t="e">
        <f>#REF!/AC69-1</f>
        <v>#REF!</v>
      </c>
    </row>
    <row r="69" spans="1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44 H36:H44">
    <cfRule type="expression" dxfId="981" priority="9">
      <formula>F36&gt;0</formula>
    </cfRule>
    <cfRule type="expression" dxfId="980" priority="10">
      <formula>F36&lt;0</formula>
    </cfRule>
  </conditionalFormatting>
  <conditionalFormatting sqref="F25:F35">
    <cfRule type="expression" dxfId="979" priority="7">
      <formula>F25&gt;0</formula>
    </cfRule>
    <cfRule type="expression" dxfId="978" priority="8">
      <formula>F25&lt;0</formula>
    </cfRule>
  </conditionalFormatting>
  <conditionalFormatting sqref="H25:H35">
    <cfRule type="expression" dxfId="977" priority="5">
      <formula>H25&gt;0</formula>
    </cfRule>
    <cfRule type="expression" dxfId="976" priority="6">
      <formula>H25&lt;0</formula>
    </cfRule>
  </conditionalFormatting>
  <conditionalFormatting sqref="Q7">
    <cfRule type="expression" dxfId="975" priority="3">
      <formula>Q7&gt;0</formula>
    </cfRule>
    <cfRule type="expression" dxfId="974" priority="4">
      <formula>Q7&lt;0</formula>
    </cfRule>
  </conditionalFormatting>
  <conditionalFormatting sqref="Q8">
    <cfRule type="expression" dxfId="973" priority="1">
      <formula>Q8&gt;0</formula>
    </cfRule>
    <cfRule type="expression" dxfId="972" priority="2">
      <formula>Q8&lt;0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AE8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57031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284</v>
      </c>
      <c r="B2" s="74"/>
      <c r="C2" s="4"/>
      <c r="D2" s="3"/>
      <c r="E2" s="3"/>
      <c r="F2" s="3"/>
      <c r="G2" s="1"/>
      <c r="H2" s="185"/>
      <c r="K2" s="3"/>
      <c r="L2" s="74"/>
      <c r="M2" s="3"/>
      <c r="O2" s="11" t="s">
        <v>57</v>
      </c>
      <c r="Q2">
        <f>C18-H18</f>
        <v>0</v>
      </c>
      <c r="T2" s="1"/>
      <c r="W2" s="133">
        <v>42768</v>
      </c>
      <c r="X2" s="10">
        <v>73.59</v>
      </c>
      <c r="Y2" s="10">
        <v>74.180000000000007</v>
      </c>
      <c r="Z2" s="10">
        <v>73.22</v>
      </c>
      <c r="AA2" s="10">
        <v>73.5</v>
      </c>
      <c r="AB2" s="95">
        <v>1678400</v>
      </c>
      <c r="AC2" s="10">
        <v>73.5</v>
      </c>
      <c r="AD2" s="2">
        <f>Y2-Z2</f>
        <v>0.96000000000000796</v>
      </c>
      <c r="AE2" s="138">
        <f>AC2/AC3-1</f>
        <v>1.4988418040604579E-3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73.14</v>
      </c>
      <c r="T3" s="1"/>
      <c r="W3" s="133">
        <v>42767</v>
      </c>
      <c r="X3" s="10">
        <v>73.64</v>
      </c>
      <c r="Y3" s="10">
        <v>74.08</v>
      </c>
      <c r="Z3" s="10">
        <v>73.03</v>
      </c>
      <c r="AA3" s="10">
        <v>73.39</v>
      </c>
      <c r="AB3" s="95">
        <v>2607800</v>
      </c>
      <c r="AC3" s="10">
        <v>73.39</v>
      </c>
      <c r="AD3" s="2">
        <f t="shared" ref="AD3:AD66" si="0">Y3-Z3</f>
        <v>1.0499999999999972</v>
      </c>
      <c r="AE3" s="138">
        <f t="shared" ref="AE3:AE66" si="1">AC3/AC4-1</f>
        <v>-5.8249796803033771E-3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73.14</v>
      </c>
      <c r="R4" s="531">
        <v>-4.8999999999999998E-3</v>
      </c>
      <c r="T4" s="163"/>
      <c r="U4" s="1"/>
      <c r="W4" s="133">
        <v>42766</v>
      </c>
      <c r="X4" s="10">
        <v>71.28</v>
      </c>
      <c r="Y4" s="10">
        <v>73.930000000000007</v>
      </c>
      <c r="Z4" s="10">
        <v>71.17</v>
      </c>
      <c r="AA4" s="10">
        <v>73.819999999999993</v>
      </c>
      <c r="AB4" s="95">
        <v>4013900</v>
      </c>
      <c r="AC4" s="10">
        <v>73.819999999999993</v>
      </c>
      <c r="AD4" s="2">
        <f t="shared" si="0"/>
        <v>2.7600000000000051</v>
      </c>
      <c r="AE4" s="138">
        <f t="shared" si="1"/>
        <v>2.5277777777777732E-2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42765</v>
      </c>
      <c r="X5" s="10">
        <v>70.22</v>
      </c>
      <c r="Y5" s="10">
        <v>72.19</v>
      </c>
      <c r="Z5" s="10">
        <v>70.02</v>
      </c>
      <c r="AA5" s="10">
        <v>72</v>
      </c>
      <c r="AB5" s="95">
        <v>2311100</v>
      </c>
      <c r="AC5" s="10">
        <v>72</v>
      </c>
      <c r="AD5" s="2">
        <f t="shared" si="0"/>
        <v>2.1700000000000017</v>
      </c>
      <c r="AE5" s="138">
        <f t="shared" si="1"/>
        <v>2.4036410183473134E-2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42762</v>
      </c>
      <c r="X6" s="10">
        <v>72.099999999999994</v>
      </c>
      <c r="Y6" s="10">
        <v>72.2</v>
      </c>
      <c r="Z6" s="10">
        <v>70.11</v>
      </c>
      <c r="AA6" s="10">
        <v>70.31</v>
      </c>
      <c r="AB6" s="95">
        <v>2228000</v>
      </c>
      <c r="AC6" s="10">
        <v>70.31</v>
      </c>
      <c r="AD6" s="2">
        <f t="shared" si="0"/>
        <v>2.0900000000000034</v>
      </c>
      <c r="AE6" s="138">
        <f t="shared" si="1"/>
        <v>-1.9249546659227179E-2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181</v>
      </c>
      <c r="Q7" s="2">
        <f>Q10+Q8</f>
        <v>158.29999999999927</v>
      </c>
      <c r="R7">
        <v>0</v>
      </c>
      <c r="W7" s="133">
        <v>42761</v>
      </c>
      <c r="X7" s="10">
        <v>71.650000000000006</v>
      </c>
      <c r="Y7" s="10">
        <v>72.09</v>
      </c>
      <c r="Z7" s="10">
        <v>71.44</v>
      </c>
      <c r="AA7" s="10">
        <v>71.69</v>
      </c>
      <c r="AB7" s="95">
        <v>2236300</v>
      </c>
      <c r="AC7" s="10">
        <v>71.69</v>
      </c>
      <c r="AD7" s="2">
        <f t="shared" si="0"/>
        <v>0.65000000000000568</v>
      </c>
      <c r="AE7" s="138">
        <f t="shared" si="1"/>
        <v>-3.7520844913840889E-3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184</v>
      </c>
      <c r="P8" s="34"/>
      <c r="Q8" s="2">
        <f>K18+M18-F18+Q2*Q4</f>
        <v>0</v>
      </c>
      <c r="W8" s="133">
        <v>42760</v>
      </c>
      <c r="X8" s="10">
        <v>71.959999999999994</v>
      </c>
      <c r="Y8" s="10">
        <v>72.5</v>
      </c>
      <c r="Z8" s="10">
        <v>71.44</v>
      </c>
      <c r="AA8" s="10">
        <v>71.959999999999994</v>
      </c>
      <c r="AB8" s="95">
        <v>3014800</v>
      </c>
      <c r="AC8" s="10">
        <v>71.959999999999994</v>
      </c>
      <c r="AD8" s="2">
        <f t="shared" si="0"/>
        <v>1.0600000000000023</v>
      </c>
      <c r="AE8" s="138">
        <f t="shared" si="1"/>
        <v>2.9268292682926855E-3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214</v>
      </c>
      <c r="Q9" s="138">
        <f>IF(Q2=0, 0, Q8/Q6)</f>
        <v>0</v>
      </c>
      <c r="W9" s="133">
        <v>42759</v>
      </c>
      <c r="X9" s="10">
        <v>70.73</v>
      </c>
      <c r="Y9" s="10">
        <v>71.849999999999994</v>
      </c>
      <c r="Z9" s="10">
        <v>70.55</v>
      </c>
      <c r="AA9" s="10">
        <v>71.75</v>
      </c>
      <c r="AB9" s="95">
        <v>3272100</v>
      </c>
      <c r="AC9" s="10">
        <v>71.75</v>
      </c>
      <c r="AD9" s="2">
        <f t="shared" si="0"/>
        <v>1.2999999999999972</v>
      </c>
      <c r="AE9" s="138">
        <f t="shared" si="1"/>
        <v>1.830826000567698E-2</v>
      </c>
    </row>
    <row r="10" spans="1:31" x14ac:dyDescent="0.25">
      <c r="H10" s="72"/>
      <c r="O10" s="11" t="s">
        <v>213</v>
      </c>
      <c r="P10" s="34"/>
      <c r="Q10" s="2">
        <f>M66</f>
        <v>158.29999999999927</v>
      </c>
      <c r="W10" s="133">
        <v>42758</v>
      </c>
      <c r="X10" s="10">
        <v>70.87</v>
      </c>
      <c r="Y10" s="10">
        <v>71</v>
      </c>
      <c r="Z10" s="10">
        <v>70.03</v>
      </c>
      <c r="AA10" s="10">
        <v>70.459999999999994</v>
      </c>
      <c r="AB10" s="95">
        <v>2077600</v>
      </c>
      <c r="AC10" s="10">
        <v>70.459999999999994</v>
      </c>
      <c r="AD10" s="2">
        <f t="shared" si="0"/>
        <v>0.96999999999999886</v>
      </c>
      <c r="AE10" s="138">
        <f t="shared" si="1"/>
        <v>-7.6056338028169801E-3</v>
      </c>
    </row>
    <row r="11" spans="1:31" x14ac:dyDescent="0.25">
      <c r="H11" s="72"/>
      <c r="O11" s="11" t="s">
        <v>178</v>
      </c>
      <c r="P11" s="34"/>
      <c r="Q11" s="138">
        <f>IF(U58="N/A (N/A)", 0, VALUE(TRIM(CLEAN(MID(U58, FIND("(", U58)+1, 5)))))</f>
        <v>1.35E-2</v>
      </c>
      <c r="W11" s="133">
        <v>42755</v>
      </c>
      <c r="X11" s="10">
        <v>71.069999999999993</v>
      </c>
      <c r="Y11" s="10">
        <v>71.459999999999994</v>
      </c>
      <c r="Z11" s="10">
        <v>69.87</v>
      </c>
      <c r="AA11" s="10">
        <v>71</v>
      </c>
      <c r="AB11" s="95">
        <v>3978000</v>
      </c>
      <c r="AC11" s="10">
        <v>71</v>
      </c>
      <c r="AD11" s="2">
        <f t="shared" si="0"/>
        <v>1.5899999999999892</v>
      </c>
      <c r="AE11" s="138">
        <f t="shared" si="1"/>
        <v>-1.4082523588232476E-4</v>
      </c>
    </row>
    <row r="12" spans="1:31" x14ac:dyDescent="0.25">
      <c r="H12" s="72"/>
      <c r="W12" s="133">
        <v>42754</v>
      </c>
      <c r="X12" s="10">
        <v>72.239999999999995</v>
      </c>
      <c r="Y12" s="10">
        <v>72.430000000000007</v>
      </c>
      <c r="Z12" s="10">
        <v>70.94</v>
      </c>
      <c r="AA12" s="10">
        <v>71.010000000000005</v>
      </c>
      <c r="AB12" s="95">
        <v>2698700</v>
      </c>
      <c r="AC12" s="10">
        <v>71.010000000000005</v>
      </c>
      <c r="AD12" s="2">
        <f t="shared" si="0"/>
        <v>1.4900000000000091</v>
      </c>
      <c r="AE12" s="138">
        <f t="shared" si="1"/>
        <v>-1.974047487575914E-2</v>
      </c>
    </row>
    <row r="13" spans="1:31" x14ac:dyDescent="0.25">
      <c r="H13" s="72"/>
      <c r="W13" s="133">
        <v>42753</v>
      </c>
      <c r="X13" s="10">
        <v>73.849999999999994</v>
      </c>
      <c r="Y13" s="10">
        <v>74.14</v>
      </c>
      <c r="Z13" s="10">
        <v>72.17</v>
      </c>
      <c r="AA13" s="10">
        <v>72.44</v>
      </c>
      <c r="AB13" s="95">
        <v>2457300</v>
      </c>
      <c r="AC13" s="10">
        <v>72.44</v>
      </c>
      <c r="AD13" s="2">
        <f t="shared" si="0"/>
        <v>1.9699999999999989</v>
      </c>
      <c r="AE13" s="138">
        <f t="shared" si="1"/>
        <v>-2.542714919951572E-2</v>
      </c>
    </row>
    <row r="14" spans="1:31" x14ac:dyDescent="0.25">
      <c r="H14" s="72"/>
      <c r="W14" s="133">
        <v>42752</v>
      </c>
      <c r="X14" s="10">
        <v>73.349999999999994</v>
      </c>
      <c r="Y14" s="10">
        <v>75.62</v>
      </c>
      <c r="Z14" s="10">
        <v>73.069999999999993</v>
      </c>
      <c r="AA14" s="10">
        <v>74.33</v>
      </c>
      <c r="AB14" s="95">
        <v>2058400</v>
      </c>
      <c r="AC14" s="10">
        <v>74.33</v>
      </c>
      <c r="AD14" s="2">
        <f t="shared" si="0"/>
        <v>2.5500000000000114</v>
      </c>
      <c r="AE14" s="138">
        <f t="shared" si="1"/>
        <v>1.696538514160606E-2</v>
      </c>
    </row>
    <row r="15" spans="1:31" x14ac:dyDescent="0.25">
      <c r="H15" s="72"/>
      <c r="W15" s="133">
        <v>42748</v>
      </c>
      <c r="X15" s="10">
        <v>72.959999999999994</v>
      </c>
      <c r="Y15" s="10">
        <v>73.61</v>
      </c>
      <c r="Z15" s="10">
        <v>72.33</v>
      </c>
      <c r="AA15" s="10">
        <v>73.09</v>
      </c>
      <c r="AB15" s="95">
        <v>2046200</v>
      </c>
      <c r="AC15" s="10">
        <v>73.09</v>
      </c>
      <c r="AD15" s="2">
        <f t="shared" si="0"/>
        <v>1.2800000000000011</v>
      </c>
      <c r="AE15" s="138">
        <f t="shared" si="1"/>
        <v>-6.7944014132355068E-3</v>
      </c>
    </row>
    <row r="16" spans="1:31" x14ac:dyDescent="0.25">
      <c r="H16" s="72"/>
      <c r="W16" s="133">
        <v>42747</v>
      </c>
      <c r="X16" s="10">
        <v>73.349999999999994</v>
      </c>
      <c r="Y16" s="10">
        <v>74.069999999999993</v>
      </c>
      <c r="Z16" s="10">
        <v>73.27</v>
      </c>
      <c r="AA16" s="10">
        <v>73.59</v>
      </c>
      <c r="AB16" s="95">
        <v>2076300</v>
      </c>
      <c r="AC16" s="10">
        <v>73.59</v>
      </c>
      <c r="AD16" s="2">
        <f t="shared" si="0"/>
        <v>0.79999999999999716</v>
      </c>
      <c r="AE16" s="138">
        <f t="shared" si="1"/>
        <v>2.3154453827294308E-3</v>
      </c>
    </row>
    <row r="17" spans="1:31" x14ac:dyDescent="0.25">
      <c r="W17" s="133">
        <v>42746</v>
      </c>
      <c r="X17" s="10">
        <v>74.48</v>
      </c>
      <c r="Y17" s="10">
        <v>74.67</v>
      </c>
      <c r="Z17" s="10">
        <v>73.3</v>
      </c>
      <c r="AA17" s="10">
        <v>73.42</v>
      </c>
      <c r="AB17" s="95">
        <v>3723900</v>
      </c>
      <c r="AC17" s="10">
        <v>73.42</v>
      </c>
      <c r="AD17" s="2">
        <f t="shared" si="0"/>
        <v>1.3700000000000045</v>
      </c>
      <c r="AE17" s="138">
        <f t="shared" si="1"/>
        <v>-1.1178451178451176E-2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3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42745</v>
      </c>
      <c r="X18" s="10">
        <v>73.739999999999995</v>
      </c>
      <c r="Y18" s="10">
        <v>74.84</v>
      </c>
      <c r="Z18" s="10">
        <v>73.459999999999994</v>
      </c>
      <c r="AA18" s="10">
        <v>74.25</v>
      </c>
      <c r="AB18" s="95">
        <v>2020900</v>
      </c>
      <c r="AC18" s="10">
        <v>74.25</v>
      </c>
      <c r="AD18" s="2">
        <f t="shared" si="0"/>
        <v>1.3800000000000097</v>
      </c>
      <c r="AE18" s="138">
        <f t="shared" si="1"/>
        <v>7.052760070527464E-3</v>
      </c>
    </row>
    <row r="19" spans="1:31" ht="15.75" thickBot="1" x14ac:dyDescent="0.3">
      <c r="A19" s="356" t="s">
        <v>198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SumByColor($A$19,K3:K17)</f>
        <v>0</v>
      </c>
      <c r="L19" s="358"/>
      <c r="M19" s="359">
        <f t="shared" ref="M19" si="2">SumByColor($A$19,M2:M17)</f>
        <v>0</v>
      </c>
      <c r="W19" s="133">
        <v>42744</v>
      </c>
      <c r="X19" s="10">
        <v>73.17</v>
      </c>
      <c r="Y19" s="10">
        <v>73.989999999999995</v>
      </c>
      <c r="Z19" s="10">
        <v>72.819999999999993</v>
      </c>
      <c r="AA19" s="10">
        <v>73.73</v>
      </c>
      <c r="AB19" s="95">
        <v>2465700</v>
      </c>
      <c r="AC19" s="10">
        <v>73.73</v>
      </c>
      <c r="AD19" s="2">
        <f t="shared" si="0"/>
        <v>1.1700000000000017</v>
      </c>
      <c r="AE19" s="138">
        <f t="shared" si="1"/>
        <v>5.1806407634629181E-3</v>
      </c>
    </row>
    <row r="20" spans="1:31" x14ac:dyDescent="0.25">
      <c r="W20" s="133">
        <v>42741</v>
      </c>
      <c r="X20" s="10">
        <v>74.42</v>
      </c>
      <c r="Y20" s="10">
        <v>74.42</v>
      </c>
      <c r="Z20" s="10">
        <v>73.290000000000006</v>
      </c>
      <c r="AA20" s="10">
        <v>73.349999999999994</v>
      </c>
      <c r="AB20" s="95">
        <v>2353300</v>
      </c>
      <c r="AC20" s="10">
        <v>73.349999999999994</v>
      </c>
      <c r="AD20" s="2">
        <f t="shared" si="0"/>
        <v>1.1299999999999955</v>
      </c>
      <c r="AE20" s="138">
        <f t="shared" si="1"/>
        <v>-1.5700483091787509E-2</v>
      </c>
    </row>
    <row r="21" spans="1:31" x14ac:dyDescent="0.25">
      <c r="W21" s="133">
        <v>42740</v>
      </c>
      <c r="X21" s="10">
        <v>74.91</v>
      </c>
      <c r="Y21" s="10">
        <v>75.180000000000007</v>
      </c>
      <c r="Z21" s="10">
        <v>73.77</v>
      </c>
      <c r="AA21" s="10">
        <v>74.52</v>
      </c>
      <c r="AB21" s="95">
        <v>2828700</v>
      </c>
      <c r="AC21" s="10">
        <v>74.52</v>
      </c>
      <c r="AD21" s="2">
        <f t="shared" si="0"/>
        <v>1.4100000000000108</v>
      </c>
      <c r="AE21" s="138">
        <f t="shared" si="1"/>
        <v>-1.9989479221462547E-2</v>
      </c>
    </row>
    <row r="22" spans="1:31" x14ac:dyDescent="0.25">
      <c r="W22" s="133">
        <v>42739</v>
      </c>
      <c r="X22" s="10">
        <v>74.64</v>
      </c>
      <c r="Y22" s="10">
        <v>76.290000000000006</v>
      </c>
      <c r="Z22" s="10">
        <v>74.56</v>
      </c>
      <c r="AA22" s="10">
        <v>76.040000000000006</v>
      </c>
      <c r="AB22" s="95">
        <v>3018900</v>
      </c>
      <c r="AC22" s="10">
        <v>76.040000000000006</v>
      </c>
      <c r="AD22" s="2">
        <f t="shared" si="0"/>
        <v>1.730000000000004</v>
      </c>
      <c r="AE22" s="138">
        <f t="shared" si="1"/>
        <v>2.4935975198814075E-2</v>
      </c>
    </row>
    <row r="23" spans="1:31" x14ac:dyDescent="0.25">
      <c r="W23" s="133">
        <v>42738</v>
      </c>
      <c r="X23" s="10">
        <v>74.34</v>
      </c>
      <c r="Y23" s="10">
        <v>74.42</v>
      </c>
      <c r="Z23" s="10">
        <v>73.209999999999994</v>
      </c>
      <c r="AA23" s="10">
        <v>74.19</v>
      </c>
      <c r="AB23" s="95">
        <v>1998000</v>
      </c>
      <c r="AC23" s="10">
        <v>74.19</v>
      </c>
      <c r="AD23" s="2">
        <f t="shared" si="0"/>
        <v>1.210000000000008</v>
      </c>
      <c r="AE23" s="138">
        <f t="shared" si="1"/>
        <v>1.620089104900746E-3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155</v>
      </c>
      <c r="W24" s="133">
        <v>42734</v>
      </c>
      <c r="X24" s="10">
        <v>74.099999999999994</v>
      </c>
      <c r="Y24" s="10">
        <v>74.44</v>
      </c>
      <c r="Z24" s="10">
        <v>73.67</v>
      </c>
      <c r="AA24" s="10">
        <v>74.069999999999993</v>
      </c>
      <c r="AB24" s="95">
        <v>1570200</v>
      </c>
      <c r="AC24" s="10">
        <v>74.069999999999993</v>
      </c>
      <c r="AD24" s="2">
        <f t="shared" si="0"/>
        <v>0.76999999999999602</v>
      </c>
      <c r="AE24" s="138">
        <f t="shared" si="1"/>
        <v>-8.0938891137194435E-4</v>
      </c>
    </row>
    <row r="25" spans="1:31" x14ac:dyDescent="0.25">
      <c r="B25" s="193">
        <v>42619</v>
      </c>
      <c r="C25" s="10">
        <v>20</v>
      </c>
      <c r="D25" s="40">
        <v>72.08</v>
      </c>
      <c r="E25" s="40">
        <v>72</v>
      </c>
      <c r="F25" s="40">
        <f t="shared" ref="F25" si="3">C25*(E25-D25)</f>
        <v>-1.5999999999999659</v>
      </c>
      <c r="G25" s="40">
        <f t="shared" ref="G25" si="4">D25*C25</f>
        <v>1441.6</v>
      </c>
      <c r="H25" s="231">
        <f t="shared" ref="H25" si="5">(E25-D25)/D25</f>
        <v>-1.1098779134294991E-3</v>
      </c>
      <c r="I25" s="40"/>
      <c r="W25" s="133">
        <v>42733</v>
      </c>
      <c r="X25" s="10">
        <v>73.900000000000006</v>
      </c>
      <c r="Y25" s="10">
        <v>74.430000000000007</v>
      </c>
      <c r="Z25" s="10">
        <v>73.84</v>
      </c>
      <c r="AA25" s="10">
        <v>74.13</v>
      </c>
      <c r="AB25" s="95">
        <v>1135100</v>
      </c>
      <c r="AC25" s="10">
        <v>74.13</v>
      </c>
      <c r="AD25" s="2">
        <f t="shared" si="0"/>
        <v>0.59000000000000341</v>
      </c>
      <c r="AE25" s="138">
        <f t="shared" si="1"/>
        <v>1.4860848419346873E-3</v>
      </c>
    </row>
    <row r="26" spans="1:31" x14ac:dyDescent="0.25">
      <c r="B26" s="193">
        <v>42620</v>
      </c>
      <c r="C26" s="10">
        <v>20</v>
      </c>
      <c r="D26" s="40">
        <v>72.08</v>
      </c>
      <c r="E26" s="40">
        <v>71.75</v>
      </c>
      <c r="F26" s="40">
        <f t="shared" ref="F26" si="6">C26*(E26-D26)</f>
        <v>-6.5999999999999659</v>
      </c>
      <c r="G26" s="40">
        <f t="shared" ref="G26" si="7">D26*C26</f>
        <v>1441.6</v>
      </c>
      <c r="H26" s="231">
        <f t="shared" ref="H26" si="8">(E26-D26)/D26</f>
        <v>-4.5782463928967579E-3</v>
      </c>
      <c r="I26" s="40"/>
      <c r="W26" s="133">
        <v>42732</v>
      </c>
      <c r="X26" s="10">
        <v>74.81</v>
      </c>
      <c r="Y26" s="10">
        <v>75</v>
      </c>
      <c r="Z26" s="10">
        <v>73.75</v>
      </c>
      <c r="AA26" s="10">
        <v>74.02</v>
      </c>
      <c r="AB26" s="95">
        <v>1311900</v>
      </c>
      <c r="AC26" s="10">
        <v>74.02</v>
      </c>
      <c r="AD26" s="2">
        <f t="shared" si="0"/>
        <v>1.25</v>
      </c>
      <c r="AE26" s="138">
        <f t="shared" si="1"/>
        <v>-6.8428820609151009E-3</v>
      </c>
    </row>
    <row r="27" spans="1:31" x14ac:dyDescent="0.25">
      <c r="B27" s="193">
        <v>42621</v>
      </c>
      <c r="C27" s="10">
        <v>40</v>
      </c>
      <c r="D27" s="40">
        <v>71.265000000000001</v>
      </c>
      <c r="E27" s="40">
        <v>70.67</v>
      </c>
      <c r="F27" s="40">
        <f t="shared" ref="F27" si="9">C27*(E27-D27)</f>
        <v>-23.799999999999955</v>
      </c>
      <c r="G27" s="40">
        <f t="shared" ref="G27" si="10">D27*C27</f>
        <v>2850.6</v>
      </c>
      <c r="H27" s="231">
        <f t="shared" ref="H27" si="11">(E27-D27)/D27</f>
        <v>-8.3491194836174676E-3</v>
      </c>
      <c r="I27" s="40"/>
      <c r="W27" s="133">
        <v>42731</v>
      </c>
      <c r="X27" s="10">
        <v>74.47</v>
      </c>
      <c r="Y27" s="10">
        <v>75.099999999999994</v>
      </c>
      <c r="Z27" s="10">
        <v>74.16</v>
      </c>
      <c r="AA27" s="10">
        <v>74.53</v>
      </c>
      <c r="AB27" s="95">
        <v>1491700</v>
      </c>
      <c r="AC27" s="10">
        <v>74.53</v>
      </c>
      <c r="AD27" s="2">
        <f t="shared" si="0"/>
        <v>0.93999999999999773</v>
      </c>
      <c r="AE27" s="138">
        <f t="shared" si="1"/>
        <v>5.2603183166981538E-3</v>
      </c>
    </row>
    <row r="28" spans="1:31" x14ac:dyDescent="0.25">
      <c r="B28" s="193">
        <v>42627</v>
      </c>
      <c r="C28" s="10">
        <v>40</v>
      </c>
      <c r="D28" s="40">
        <v>71.265000000000001</v>
      </c>
      <c r="E28" s="40">
        <v>71.510000000000005</v>
      </c>
      <c r="F28" s="40">
        <f t="shared" ref="F28" si="12">C28*(E28-D28)</f>
        <v>9.8000000000001819</v>
      </c>
      <c r="G28" s="40">
        <f t="shared" ref="G28" si="13">D28*C28</f>
        <v>2850.6</v>
      </c>
      <c r="H28" s="231">
        <f t="shared" ref="H28" si="14">(E28-D28)/D28</f>
        <v>3.4378727285484397E-3</v>
      </c>
      <c r="I28" s="40"/>
      <c r="W28" s="133">
        <v>42727</v>
      </c>
      <c r="X28" s="10">
        <v>74.52</v>
      </c>
      <c r="Y28" s="10">
        <v>75.209999999999994</v>
      </c>
      <c r="Z28" s="10">
        <v>73.98</v>
      </c>
      <c r="AA28" s="10">
        <v>74.14</v>
      </c>
      <c r="AB28" s="95">
        <v>1261000</v>
      </c>
      <c r="AC28" s="10">
        <v>74.14</v>
      </c>
      <c r="AD28" s="2">
        <f t="shared" si="0"/>
        <v>1.2299999999999898</v>
      </c>
      <c r="AE28" s="138">
        <f t="shared" si="1"/>
        <v>-2.9585798816568198E-3</v>
      </c>
    </row>
    <row r="29" spans="1:31" x14ac:dyDescent="0.25">
      <c r="B29" s="193">
        <v>42628</v>
      </c>
      <c r="C29" s="10">
        <v>40</v>
      </c>
      <c r="D29" s="40">
        <v>71.265000000000001</v>
      </c>
      <c r="E29" s="40">
        <v>72.53</v>
      </c>
      <c r="F29" s="40">
        <f t="shared" ref="F29" si="15">C29*(E29-D29)</f>
        <v>50.600000000000023</v>
      </c>
      <c r="G29" s="40">
        <f t="shared" ref="G29" si="16">D29*C29</f>
        <v>2850.6</v>
      </c>
      <c r="H29" s="231">
        <f t="shared" ref="H29" si="17">(E29-D29)/D29</f>
        <v>1.7750648986178355E-2</v>
      </c>
      <c r="I29" s="40"/>
      <c r="W29" s="133">
        <v>42726</v>
      </c>
      <c r="X29" s="10">
        <v>77</v>
      </c>
      <c r="Y29" s="10">
        <v>77.16</v>
      </c>
      <c r="Z29" s="10">
        <v>74.16</v>
      </c>
      <c r="AA29" s="10">
        <v>74.36</v>
      </c>
      <c r="AB29" s="95">
        <v>3475200</v>
      </c>
      <c r="AC29" s="10">
        <v>74.36</v>
      </c>
      <c r="AD29" s="2">
        <f t="shared" si="0"/>
        <v>3</v>
      </c>
      <c r="AE29" s="138">
        <f t="shared" si="1"/>
        <v>-3.9648714968358645E-2</v>
      </c>
    </row>
    <row r="30" spans="1:31" x14ac:dyDescent="0.25">
      <c r="B30" s="193">
        <v>42641</v>
      </c>
      <c r="C30" s="10">
        <v>40</v>
      </c>
      <c r="D30" s="40">
        <v>71.265000000000001</v>
      </c>
      <c r="E30" s="40">
        <v>70.5</v>
      </c>
      <c r="F30" s="40">
        <f t="shared" ref="F30" si="18">C30*(E30-D30)</f>
        <v>-30.600000000000023</v>
      </c>
      <c r="G30" s="40">
        <f t="shared" ref="G30" si="19">D30*C30</f>
        <v>2850.6</v>
      </c>
      <c r="H30" s="231">
        <f t="shared" ref="H30" si="20">(E30-D30)/D30</f>
        <v>-1.0734582193222488E-2</v>
      </c>
      <c r="I30" s="40"/>
      <c r="W30" s="133">
        <v>42725</v>
      </c>
      <c r="X30" s="10">
        <v>77</v>
      </c>
      <c r="Y30" s="10">
        <v>78.06</v>
      </c>
      <c r="Z30" s="10">
        <v>76.53</v>
      </c>
      <c r="AA30" s="10">
        <v>77.430000000000007</v>
      </c>
      <c r="AB30" s="95">
        <v>1977700</v>
      </c>
      <c r="AC30" s="10">
        <v>77.430000000000007</v>
      </c>
      <c r="AD30" s="2">
        <f t="shared" si="0"/>
        <v>1.5300000000000011</v>
      </c>
      <c r="AE30" s="138">
        <f t="shared" si="1"/>
        <v>2.0706613174583666E-3</v>
      </c>
    </row>
    <row r="31" spans="1:31" x14ac:dyDescent="0.25">
      <c r="B31" s="193">
        <v>42647</v>
      </c>
      <c r="C31" s="10">
        <v>40</v>
      </c>
      <c r="D31" s="40">
        <v>71.265000000000001</v>
      </c>
      <c r="E31" s="40">
        <v>68.05</v>
      </c>
      <c r="F31" s="40">
        <f t="shared" ref="F31:F32" si="21">C31*(E31-D31)</f>
        <v>-128.60000000000014</v>
      </c>
      <c r="G31" s="40">
        <f t="shared" ref="G31:G32" si="22">D31*C31</f>
        <v>2850.6</v>
      </c>
      <c r="H31" s="231">
        <f t="shared" ref="H31:H32" si="23">(E31-D31)/D31</f>
        <v>-4.5113309478706287E-2</v>
      </c>
      <c r="I31" s="40"/>
      <c r="W31" s="133">
        <v>42724</v>
      </c>
      <c r="X31" s="10">
        <v>76.09</v>
      </c>
      <c r="Y31" s="10">
        <v>77.66</v>
      </c>
      <c r="Z31" s="10">
        <v>76.09</v>
      </c>
      <c r="AA31" s="10">
        <v>77.27</v>
      </c>
      <c r="AB31" s="95">
        <v>3486100</v>
      </c>
      <c r="AC31" s="10">
        <v>77.27</v>
      </c>
      <c r="AD31" s="2">
        <f t="shared" si="0"/>
        <v>1.5699999999999932</v>
      </c>
      <c r="AE31" s="138">
        <f t="shared" si="1"/>
        <v>1.7379855167873437E-2</v>
      </c>
    </row>
    <row r="32" spans="1:31" x14ac:dyDescent="0.25">
      <c r="B32" s="193">
        <v>42648</v>
      </c>
      <c r="C32" s="10">
        <v>65</v>
      </c>
      <c r="D32" s="40">
        <v>69.809200000000004</v>
      </c>
      <c r="E32" s="40">
        <v>66.97</v>
      </c>
      <c r="F32" s="40">
        <f t="shared" si="21"/>
        <v>-184.54800000000034</v>
      </c>
      <c r="G32" s="40">
        <f t="shared" si="22"/>
        <v>4537.598</v>
      </c>
      <c r="H32" s="231">
        <f t="shared" si="23"/>
        <v>-4.0670857136308754E-2</v>
      </c>
      <c r="I32" s="40"/>
      <c r="W32" s="133">
        <v>42723</v>
      </c>
      <c r="X32" s="10">
        <v>76.62</v>
      </c>
      <c r="Y32" s="10">
        <v>77.11</v>
      </c>
      <c r="Z32" s="10">
        <v>75.88</v>
      </c>
      <c r="AA32" s="10">
        <v>75.95</v>
      </c>
      <c r="AB32" s="95">
        <v>1867300</v>
      </c>
      <c r="AC32" s="10">
        <v>75.95</v>
      </c>
      <c r="AD32" s="2">
        <f t="shared" si="0"/>
        <v>1.230000000000004</v>
      </c>
      <c r="AE32" s="138" t="e">
        <f t="shared" si="1"/>
        <v>#DIV/0!</v>
      </c>
    </row>
    <row r="33" spans="2:31" x14ac:dyDescent="0.25">
      <c r="B33" s="193">
        <v>42649</v>
      </c>
      <c r="C33" s="10">
        <v>65</v>
      </c>
      <c r="D33" s="40">
        <v>69.809200000000004</v>
      </c>
      <c r="E33" s="40">
        <v>69.05</v>
      </c>
      <c r="F33" s="40">
        <f t="shared" ref="F33" si="24">C33*(E33-D33)</f>
        <v>-49.348000000000454</v>
      </c>
      <c r="G33" s="40">
        <f t="shared" ref="G33" si="25">D33*C33</f>
        <v>4537.598</v>
      </c>
      <c r="H33" s="231">
        <f t="shared" ref="H33" si="26">(E33-D33)/D33</f>
        <v>-1.0875357402749307E-2</v>
      </c>
      <c r="I33" s="40"/>
      <c r="W33" s="133">
        <v>42723</v>
      </c>
      <c r="X33" s="10" t="s">
        <v>125</v>
      </c>
      <c r="Y33" s="10"/>
      <c r="Z33" s="10"/>
      <c r="AA33" s="10"/>
      <c r="AB33" s="95"/>
      <c r="AC33" s="10"/>
      <c r="AD33" s="2">
        <f t="shared" si="0"/>
        <v>0</v>
      </c>
      <c r="AE33" s="138">
        <f t="shared" si="1"/>
        <v>-1</v>
      </c>
    </row>
    <row r="34" spans="2:31" x14ac:dyDescent="0.25">
      <c r="B34" s="193">
        <v>42650</v>
      </c>
      <c r="C34" s="10">
        <v>65</v>
      </c>
      <c r="D34" s="40">
        <v>69.809200000000004</v>
      </c>
      <c r="E34" s="40">
        <v>69.66</v>
      </c>
      <c r="F34" s="40">
        <f t="shared" ref="F34" si="27">C34*(E34-D34)</f>
        <v>-9.6980000000004907</v>
      </c>
      <c r="G34" s="40">
        <f t="shared" ref="G34" si="28">D34*C34</f>
        <v>4537.598</v>
      </c>
      <c r="H34" s="231">
        <f t="shared" ref="H34" si="29">(E34-D34)/D34</f>
        <v>-2.1372541155035086E-3</v>
      </c>
      <c r="I34" s="40"/>
      <c r="W34" s="133">
        <v>42720</v>
      </c>
      <c r="X34" s="10">
        <v>77</v>
      </c>
      <c r="Y34" s="10">
        <v>78.010000000000005</v>
      </c>
      <c r="Z34" s="10">
        <v>76.64</v>
      </c>
      <c r="AA34" s="10">
        <v>77.099999999999994</v>
      </c>
      <c r="AB34" s="95">
        <v>4312100</v>
      </c>
      <c r="AC34" s="10">
        <v>76.849999999999994</v>
      </c>
      <c r="AD34" s="2">
        <f t="shared" si="0"/>
        <v>1.3700000000000045</v>
      </c>
      <c r="AE34" s="138">
        <f t="shared" si="1"/>
        <v>-1.3010668748381082E-4</v>
      </c>
    </row>
    <row r="35" spans="2:31" x14ac:dyDescent="0.25">
      <c r="B35" s="193">
        <v>42674</v>
      </c>
      <c r="C35" s="10">
        <v>65</v>
      </c>
      <c r="D35" s="40">
        <v>69.809200000000004</v>
      </c>
      <c r="E35" s="40">
        <v>69.09</v>
      </c>
      <c r="F35" s="40">
        <f t="shared" ref="F35" si="30">C35*(E35-D35)</f>
        <v>-46.748000000000047</v>
      </c>
      <c r="G35" s="40">
        <f t="shared" ref="G35" si="31">D35*C35</f>
        <v>4537.598</v>
      </c>
      <c r="H35" s="231">
        <f t="shared" ref="H35" si="32">(E35-D35)/D35</f>
        <v>-1.0302367023257689E-2</v>
      </c>
      <c r="I35" s="40"/>
      <c r="W35" s="133">
        <v>42719</v>
      </c>
      <c r="X35" s="10">
        <v>76.03</v>
      </c>
      <c r="Y35" s="10">
        <v>77.180000000000007</v>
      </c>
      <c r="Z35" s="10">
        <v>75.989999999999995</v>
      </c>
      <c r="AA35" s="10">
        <v>77.11</v>
      </c>
      <c r="AB35" s="95">
        <v>2280100</v>
      </c>
      <c r="AC35" s="10">
        <v>76.86</v>
      </c>
      <c r="AD35" s="2">
        <f t="shared" si="0"/>
        <v>1.1900000000000119</v>
      </c>
      <c r="AE35" s="138">
        <f t="shared" si="1"/>
        <v>1.6129032258064502E-2</v>
      </c>
    </row>
    <row r="36" spans="2:31" x14ac:dyDescent="0.25">
      <c r="B36" s="193">
        <v>42676</v>
      </c>
      <c r="C36" s="10">
        <v>65</v>
      </c>
      <c r="D36" s="40">
        <v>69.809200000000004</v>
      </c>
      <c r="E36" s="40">
        <v>69.599999999999994</v>
      </c>
      <c r="F36" s="40">
        <f t="shared" ref="F36" si="33">C36*(E36-D36)</f>
        <v>-13.598000000000638</v>
      </c>
      <c r="G36" s="40">
        <f t="shared" ref="G36" si="34">D36*C36</f>
        <v>4537.598</v>
      </c>
      <c r="H36" s="231">
        <f t="shared" ref="H36" si="35">(E36-D36)/D36</f>
        <v>-2.9967396847408339E-3</v>
      </c>
      <c r="I36" s="40"/>
      <c r="W36" s="133">
        <v>42718</v>
      </c>
      <c r="X36" s="10">
        <v>76.11</v>
      </c>
      <c r="Y36" s="10">
        <v>76.55</v>
      </c>
      <c r="Z36" s="10">
        <v>74.73</v>
      </c>
      <c r="AA36" s="10">
        <v>75.89</v>
      </c>
      <c r="AB36" s="95">
        <v>3004100</v>
      </c>
      <c r="AC36" s="10">
        <v>75.64</v>
      </c>
      <c r="AD36" s="2">
        <f t="shared" si="0"/>
        <v>1.8199999999999932</v>
      </c>
      <c r="AE36" s="138">
        <f t="shared" si="1"/>
        <v>-9.2458063663969359E-4</v>
      </c>
    </row>
    <row r="37" spans="2:31" x14ac:dyDescent="0.25">
      <c r="B37" s="193">
        <v>42701</v>
      </c>
      <c r="C37" s="10">
        <v>0</v>
      </c>
      <c r="D37" s="40"/>
      <c r="E37" s="40"/>
      <c r="F37" s="40">
        <v>158.30000000000001</v>
      </c>
      <c r="G37" s="40"/>
      <c r="H37" s="231"/>
      <c r="I37" s="40"/>
      <c r="W37" s="133">
        <v>42717</v>
      </c>
      <c r="X37" s="10">
        <v>76.040000000000006</v>
      </c>
      <c r="Y37" s="10">
        <v>76.92</v>
      </c>
      <c r="Z37" s="10">
        <v>74.62</v>
      </c>
      <c r="AA37" s="10">
        <v>75.959999999999994</v>
      </c>
      <c r="AB37" s="95">
        <v>4332200</v>
      </c>
      <c r="AC37" s="10">
        <v>75.709999999999994</v>
      </c>
      <c r="AD37" s="2">
        <f t="shared" si="0"/>
        <v>2.2999999999999972</v>
      </c>
      <c r="AE37" s="138">
        <f t="shared" si="1"/>
        <v>-3.291205897840932E-3</v>
      </c>
    </row>
    <row r="38" spans="2:31" x14ac:dyDescent="0.25">
      <c r="B38" s="193"/>
      <c r="C38" s="10"/>
      <c r="D38" s="40"/>
      <c r="E38" s="40"/>
      <c r="F38" s="40"/>
      <c r="G38" s="40"/>
      <c r="H38" s="231"/>
      <c r="I38" s="40"/>
      <c r="W38" s="133">
        <v>42716</v>
      </c>
      <c r="X38" s="10">
        <v>76.86</v>
      </c>
      <c r="Y38" s="10">
        <v>77.12</v>
      </c>
      <c r="Z38" s="10">
        <v>75.69</v>
      </c>
      <c r="AA38" s="10">
        <v>76.209999999999994</v>
      </c>
      <c r="AB38" s="95">
        <v>2848000</v>
      </c>
      <c r="AC38" s="10">
        <v>75.959999999999994</v>
      </c>
      <c r="AD38" s="2">
        <f t="shared" si="0"/>
        <v>1.4300000000000068</v>
      </c>
      <c r="AE38" s="138">
        <f t="shared" si="1"/>
        <v>-1.2865497076023469E-2</v>
      </c>
    </row>
    <row r="39" spans="2:31" x14ac:dyDescent="0.25">
      <c r="B39" s="193"/>
      <c r="C39" s="10"/>
      <c r="D39" s="40"/>
      <c r="E39" s="40"/>
      <c r="F39" s="40"/>
      <c r="G39" s="40"/>
      <c r="H39" s="231"/>
      <c r="I39" s="40"/>
      <c r="W39" s="133">
        <v>42713</v>
      </c>
      <c r="X39" s="10">
        <v>76.739999999999995</v>
      </c>
      <c r="Y39" s="10">
        <v>77.53</v>
      </c>
      <c r="Z39" s="10">
        <v>76.66</v>
      </c>
      <c r="AA39" s="10">
        <v>77.2</v>
      </c>
      <c r="AB39" s="95">
        <v>2132600</v>
      </c>
      <c r="AC39" s="10">
        <v>76.95</v>
      </c>
      <c r="AD39" s="2">
        <f t="shared" si="0"/>
        <v>0.87000000000000455</v>
      </c>
      <c r="AE39" s="138">
        <f t="shared" si="1"/>
        <v>3.6520151297769754E-3</v>
      </c>
    </row>
    <row r="40" spans="2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638" t="s">
        <v>78</v>
      </c>
      <c r="P40" s="638"/>
      <c r="W40" s="133">
        <v>42712</v>
      </c>
      <c r="X40" s="10">
        <v>77.040000000000006</v>
      </c>
      <c r="Y40" s="10">
        <v>77.38</v>
      </c>
      <c r="Z40" s="10">
        <v>76.59</v>
      </c>
      <c r="AA40" s="10">
        <v>76.92</v>
      </c>
      <c r="AB40" s="95">
        <v>2191600</v>
      </c>
      <c r="AC40" s="10">
        <v>76.67</v>
      </c>
      <c r="AD40" s="2">
        <f t="shared" si="0"/>
        <v>0.78999999999999204</v>
      </c>
      <c r="AE40" s="138">
        <f t="shared" si="1"/>
        <v>-2.3422251138580652E-3</v>
      </c>
    </row>
    <row r="41" spans="2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80.454000000000008</v>
      </c>
      <c r="Q41" s="2"/>
      <c r="W41" s="133">
        <v>42711</v>
      </c>
      <c r="X41" s="10">
        <v>75.44</v>
      </c>
      <c r="Y41" s="10">
        <v>77.12</v>
      </c>
      <c r="Z41" s="10">
        <v>75.44</v>
      </c>
      <c r="AA41" s="10">
        <v>77.099999999999994</v>
      </c>
      <c r="AB41" s="95">
        <v>3235400</v>
      </c>
      <c r="AC41" s="10">
        <v>76.849999999999994</v>
      </c>
      <c r="AD41" s="2">
        <f t="shared" si="0"/>
        <v>1.6800000000000068</v>
      </c>
      <c r="AE41" s="138">
        <f t="shared" si="1"/>
        <v>1.8690349946977713E-2</v>
      </c>
    </row>
    <row r="42" spans="2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36">O42*$Q$4</f>
        <v>79.7226</v>
      </c>
      <c r="Q42" s="2"/>
      <c r="T42" s="91" t="s">
        <v>113</v>
      </c>
      <c r="W42" s="133">
        <v>42710</v>
      </c>
      <c r="X42" s="10">
        <v>76.62</v>
      </c>
      <c r="Y42" s="10">
        <v>76.62</v>
      </c>
      <c r="Z42" s="10">
        <v>75.22</v>
      </c>
      <c r="AA42" s="10">
        <v>75.69</v>
      </c>
      <c r="AB42" s="95">
        <v>3029800</v>
      </c>
      <c r="AC42" s="10">
        <v>75.44</v>
      </c>
      <c r="AD42" s="2">
        <f t="shared" si="0"/>
        <v>1.4000000000000057</v>
      </c>
      <c r="AE42" s="138">
        <f t="shared" si="1"/>
        <v>-8.9332632685235058E-3</v>
      </c>
    </row>
    <row r="43" spans="2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36"/>
        <v>78.991200000000006</v>
      </c>
      <c r="Q43" s="2"/>
      <c r="T43" s="128" t="s">
        <v>98</v>
      </c>
      <c r="U43" s="129">
        <v>73.39</v>
      </c>
      <c r="W43" s="133">
        <v>42709</v>
      </c>
      <c r="X43" s="10">
        <v>74.94</v>
      </c>
      <c r="Y43" s="10">
        <v>76.45</v>
      </c>
      <c r="Z43" s="10">
        <v>74.650000000000006</v>
      </c>
      <c r="AA43" s="10">
        <v>76.37</v>
      </c>
      <c r="AB43" s="95">
        <v>3648800</v>
      </c>
      <c r="AC43" s="10">
        <v>76.12</v>
      </c>
      <c r="AD43" s="2">
        <f t="shared" si="0"/>
        <v>1.7999999999999972</v>
      </c>
      <c r="AE43" s="138">
        <f t="shared" si="1"/>
        <v>2.4219590958019621E-2</v>
      </c>
    </row>
    <row r="44" spans="2:31" x14ac:dyDescent="0.25">
      <c r="B44" s="193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36"/>
        <v>78.259799999999998</v>
      </c>
      <c r="Q44" s="2"/>
      <c r="T44" s="93" t="s">
        <v>99</v>
      </c>
      <c r="U44" s="130">
        <v>73.59</v>
      </c>
      <c r="W44" s="133">
        <v>42706</v>
      </c>
      <c r="X44" s="10">
        <v>72.98</v>
      </c>
      <c r="Y44" s="10">
        <v>74.790000000000006</v>
      </c>
      <c r="Z44" s="10">
        <v>72.930000000000007</v>
      </c>
      <c r="AA44" s="10">
        <v>74.56</v>
      </c>
      <c r="AB44" s="95">
        <v>5708400</v>
      </c>
      <c r="AC44" s="10">
        <v>74.319999999999993</v>
      </c>
      <c r="AD44" s="2">
        <f t="shared" si="0"/>
        <v>1.8599999999999994</v>
      </c>
      <c r="AE44" s="138">
        <f t="shared" si="1"/>
        <v>1.4746040415073658E-2</v>
      </c>
    </row>
    <row r="45" spans="2:31" x14ac:dyDescent="0.25">
      <c r="B45" s="193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36"/>
        <v>77.528400000000005</v>
      </c>
      <c r="Q45" s="2"/>
      <c r="T45" s="93" t="s">
        <v>100</v>
      </c>
      <c r="U45" s="130" t="s">
        <v>129</v>
      </c>
      <c r="W45" s="133">
        <v>42705</v>
      </c>
      <c r="X45" s="10">
        <v>72.489999999999995</v>
      </c>
      <c r="Y45" s="10">
        <v>74.16</v>
      </c>
      <c r="Z45" s="10">
        <v>70.59</v>
      </c>
      <c r="AA45" s="10">
        <v>73.48</v>
      </c>
      <c r="AB45" s="95">
        <v>13129300</v>
      </c>
      <c r="AC45" s="10">
        <v>73.239999999999995</v>
      </c>
      <c r="AD45" s="2">
        <f t="shared" si="0"/>
        <v>3.5699999999999932</v>
      </c>
      <c r="AE45" s="138">
        <f t="shared" si="1"/>
        <v>-4.9695082392630097E-2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36"/>
        <v>76.796999999999997</v>
      </c>
      <c r="Q46" s="2"/>
      <c r="T46" s="93" t="s">
        <v>101</v>
      </c>
      <c r="U46" s="130" t="s">
        <v>129</v>
      </c>
      <c r="W46" s="133">
        <v>42704</v>
      </c>
      <c r="X46" s="10">
        <v>77.94</v>
      </c>
      <c r="Y46" s="10">
        <v>78.540000000000006</v>
      </c>
      <c r="Z46" s="10">
        <v>77.09</v>
      </c>
      <c r="AA46" s="10">
        <v>77.319999999999993</v>
      </c>
      <c r="AB46" s="95">
        <v>7159200</v>
      </c>
      <c r="AC46" s="10">
        <v>77.069999999999993</v>
      </c>
      <c r="AD46" s="2">
        <f t="shared" si="0"/>
        <v>1.4500000000000028</v>
      </c>
      <c r="AE46" s="138">
        <f t="shared" si="1"/>
        <v>-1.2682551883166915E-2</v>
      </c>
    </row>
    <row r="47" spans="2:31" x14ac:dyDescent="0.25">
      <c r="B47" s="74"/>
      <c r="C47" s="4"/>
      <c r="D47" s="3"/>
      <c r="E47" s="3"/>
      <c r="F47" s="3"/>
      <c r="G47" s="3"/>
      <c r="H47" s="280"/>
      <c r="I47" s="278"/>
      <c r="O47" s="83">
        <v>1.04</v>
      </c>
      <c r="P47" s="83">
        <f t="shared" si="36"/>
        <v>76.065600000000003</v>
      </c>
      <c r="Q47" s="2"/>
      <c r="T47" s="93" t="s">
        <v>102</v>
      </c>
      <c r="U47" s="130">
        <v>79.94</v>
      </c>
      <c r="W47" s="133">
        <v>42703</v>
      </c>
      <c r="X47" s="10">
        <v>78.599999999999994</v>
      </c>
      <c r="Y47" s="10">
        <v>78.83</v>
      </c>
      <c r="Z47" s="10">
        <v>77.42</v>
      </c>
      <c r="AA47" s="10">
        <v>78.31</v>
      </c>
      <c r="AB47" s="95">
        <v>4007300</v>
      </c>
      <c r="AC47" s="10">
        <v>78.06</v>
      </c>
      <c r="AD47" s="2">
        <f t="shared" si="0"/>
        <v>1.4099999999999966</v>
      </c>
      <c r="AE47" s="138">
        <f t="shared" si="1"/>
        <v>-4.3367346938776308E-3</v>
      </c>
    </row>
    <row r="48" spans="2:31" x14ac:dyDescent="0.25">
      <c r="B48" s="74"/>
      <c r="C48" s="4"/>
      <c r="D48" s="3"/>
      <c r="E48" s="3"/>
      <c r="F48" s="3"/>
      <c r="G48" s="3"/>
      <c r="H48" s="280"/>
      <c r="I48" s="3"/>
      <c r="O48" s="83">
        <v>1.03</v>
      </c>
      <c r="P48" s="83">
        <f t="shared" si="36"/>
        <v>75.334199999999996</v>
      </c>
      <c r="Q48" s="2"/>
      <c r="T48" s="93" t="s">
        <v>103</v>
      </c>
      <c r="U48" s="130">
        <v>0.85034100000000001</v>
      </c>
      <c r="W48" s="133">
        <v>42702</v>
      </c>
      <c r="X48" s="10">
        <v>79.77</v>
      </c>
      <c r="Y48" s="10">
        <v>80.52</v>
      </c>
      <c r="Z48" s="10">
        <v>78.38</v>
      </c>
      <c r="AA48" s="10">
        <v>78.66</v>
      </c>
      <c r="AB48" s="95">
        <v>4354100</v>
      </c>
      <c r="AC48" s="10">
        <v>78.400000000000006</v>
      </c>
      <c r="AD48" s="2">
        <f t="shared" si="0"/>
        <v>2.1400000000000006</v>
      </c>
      <c r="AE48" s="138">
        <f t="shared" si="1"/>
        <v>-1.7543859649122751E-2</v>
      </c>
    </row>
    <row r="49" spans="1:31" x14ac:dyDescent="0.25">
      <c r="B49" s="74"/>
      <c r="C49" s="4"/>
      <c r="D49" s="3"/>
      <c r="E49" s="3"/>
      <c r="F49" s="3"/>
      <c r="G49" s="3"/>
      <c r="H49" s="280"/>
      <c r="I49" s="3"/>
      <c r="O49" s="83">
        <v>1.02</v>
      </c>
      <c r="P49" s="83">
        <f t="shared" si="36"/>
        <v>74.602800000000002</v>
      </c>
      <c r="Q49" s="2"/>
      <c r="T49" s="93" t="s">
        <v>122</v>
      </c>
      <c r="U49" s="130" t="s">
        <v>345</v>
      </c>
      <c r="W49" s="133">
        <v>42699</v>
      </c>
      <c r="X49" s="10">
        <v>80.150000000000006</v>
      </c>
      <c r="Y49" s="10">
        <v>80.67</v>
      </c>
      <c r="Z49" s="10">
        <v>79.73</v>
      </c>
      <c r="AA49" s="10">
        <v>80.06</v>
      </c>
      <c r="AB49" s="95">
        <v>1408700</v>
      </c>
      <c r="AC49" s="10">
        <v>79.8</v>
      </c>
      <c r="AD49" s="2">
        <f t="shared" si="0"/>
        <v>0.93999999999999773</v>
      </c>
      <c r="AE49" s="138">
        <f t="shared" si="1"/>
        <v>4.405286343612369E-3</v>
      </c>
    </row>
    <row r="50" spans="1:31" x14ac:dyDescent="0.25">
      <c r="B50" s="74"/>
      <c r="C50" s="4"/>
      <c r="D50" s="3"/>
      <c r="E50" s="3"/>
      <c r="F50" s="3"/>
      <c r="G50" s="3"/>
      <c r="H50" s="280"/>
      <c r="I50" s="3"/>
      <c r="O50" s="83">
        <v>1.01</v>
      </c>
      <c r="P50" s="83">
        <f t="shared" si="36"/>
        <v>73.871399999999994</v>
      </c>
      <c r="Q50" s="2"/>
      <c r="T50" s="93"/>
      <c r="U50" s="130"/>
      <c r="W50" s="133">
        <v>42697</v>
      </c>
      <c r="X50" s="10">
        <v>79.459999999999994</v>
      </c>
      <c r="Y50" s="10">
        <v>80.33</v>
      </c>
      <c r="Z50" s="10">
        <v>79.22</v>
      </c>
      <c r="AA50" s="10">
        <v>79.709999999999994</v>
      </c>
      <c r="AB50" s="95">
        <v>2450600</v>
      </c>
      <c r="AC50" s="10">
        <v>79.45</v>
      </c>
      <c r="AD50" s="2">
        <f t="shared" si="0"/>
        <v>1.1099999999999994</v>
      </c>
      <c r="AE50" s="138">
        <f t="shared" si="1"/>
        <v>5.1872469635627638E-3</v>
      </c>
    </row>
    <row r="51" spans="1:31" x14ac:dyDescent="0.25">
      <c r="B51" s="74"/>
      <c r="C51" s="4"/>
      <c r="D51" s="3"/>
      <c r="E51" s="3"/>
      <c r="F51" s="3"/>
      <c r="G51" s="3"/>
      <c r="H51" s="280"/>
      <c r="I51" s="3"/>
      <c r="O51" s="83">
        <v>1</v>
      </c>
      <c r="P51" s="83">
        <f t="shared" si="36"/>
        <v>73.14</v>
      </c>
      <c r="Q51" s="2"/>
      <c r="T51" s="93" t="s">
        <v>105</v>
      </c>
      <c r="U51" s="130" t="s">
        <v>548</v>
      </c>
      <c r="W51" s="133">
        <v>42696</v>
      </c>
      <c r="X51" s="10">
        <v>77.510000000000005</v>
      </c>
      <c r="Y51" s="10">
        <v>80</v>
      </c>
      <c r="Z51" s="10">
        <v>77.510000000000005</v>
      </c>
      <c r="AA51" s="10">
        <v>79.3</v>
      </c>
      <c r="AB51" s="95">
        <v>4842500</v>
      </c>
      <c r="AC51" s="10">
        <v>79.040000000000006</v>
      </c>
      <c r="AD51" s="2">
        <f t="shared" si="0"/>
        <v>2.4899999999999949</v>
      </c>
      <c r="AE51" s="138">
        <f t="shared" si="1"/>
        <v>3.3337691201464459E-2</v>
      </c>
    </row>
    <row r="52" spans="1:31" x14ac:dyDescent="0.25">
      <c r="B52" s="74"/>
      <c r="C52" s="4"/>
      <c r="D52" s="3"/>
      <c r="E52" s="3"/>
      <c r="F52" s="3"/>
      <c r="G52" s="3"/>
      <c r="H52" s="280"/>
      <c r="I52" s="3"/>
      <c r="O52" s="83">
        <v>0.99</v>
      </c>
      <c r="P52" s="83">
        <f t="shared" si="36"/>
        <v>72.408600000000007</v>
      </c>
      <c r="Q52" s="2"/>
      <c r="T52" s="93" t="s">
        <v>106</v>
      </c>
      <c r="U52" s="130" t="s">
        <v>340</v>
      </c>
      <c r="W52" s="133">
        <v>42695</v>
      </c>
      <c r="X52" s="10">
        <v>76.5</v>
      </c>
      <c r="Y52" s="10">
        <v>76.86</v>
      </c>
      <c r="Z52" s="10">
        <v>76.03</v>
      </c>
      <c r="AA52" s="10">
        <v>76.739999999999995</v>
      </c>
      <c r="AB52" s="95">
        <v>3173600</v>
      </c>
      <c r="AC52" s="10">
        <v>76.489999999999995</v>
      </c>
      <c r="AD52" s="2">
        <f t="shared" si="0"/>
        <v>0.82999999999999829</v>
      </c>
      <c r="AE52" s="138">
        <f t="shared" si="1"/>
        <v>-1.6966849386584881E-3</v>
      </c>
    </row>
    <row r="53" spans="1:31" x14ac:dyDescent="0.25">
      <c r="B53" s="74"/>
      <c r="C53" s="4"/>
      <c r="D53" s="3"/>
      <c r="E53" s="3"/>
      <c r="F53" s="3"/>
      <c r="G53" s="3"/>
      <c r="H53" s="280"/>
      <c r="I53" s="3"/>
      <c r="O53" s="83">
        <v>0.98</v>
      </c>
      <c r="P53" s="83">
        <f t="shared" si="36"/>
        <v>71.677199999999999</v>
      </c>
      <c r="Q53" s="2"/>
      <c r="T53" s="93" t="s">
        <v>107</v>
      </c>
      <c r="U53" s="131">
        <v>1679431</v>
      </c>
      <c r="W53" s="133">
        <v>42692</v>
      </c>
      <c r="X53" s="10">
        <v>76.790000000000006</v>
      </c>
      <c r="Y53" s="10">
        <v>77.11</v>
      </c>
      <c r="Z53" s="10">
        <v>76.180000000000007</v>
      </c>
      <c r="AA53" s="10">
        <v>76.87</v>
      </c>
      <c r="AB53" s="95">
        <v>3002700</v>
      </c>
      <c r="AC53" s="10">
        <v>76.62</v>
      </c>
      <c r="AD53" s="2">
        <f t="shared" si="0"/>
        <v>0.92999999999999261</v>
      </c>
      <c r="AE53" s="138">
        <f t="shared" si="1"/>
        <v>-5.2178450300011114E-4</v>
      </c>
    </row>
    <row r="54" spans="1:31" x14ac:dyDescent="0.25">
      <c r="A54" s="4"/>
      <c r="B54" s="74"/>
      <c r="C54" s="4"/>
      <c r="D54" s="3"/>
      <c r="E54" s="3"/>
      <c r="F54" s="3"/>
      <c r="G54" s="3"/>
      <c r="H54" s="280"/>
      <c r="I54" s="3"/>
      <c r="J54" s="3"/>
      <c r="K54" s="3"/>
      <c r="L54" s="4"/>
      <c r="O54" s="83">
        <v>0.97</v>
      </c>
      <c r="P54" s="83">
        <f t="shared" si="36"/>
        <v>70.945800000000006</v>
      </c>
      <c r="T54" s="93" t="s">
        <v>110</v>
      </c>
      <c r="U54" s="131">
        <v>3139540</v>
      </c>
      <c r="W54" s="133">
        <v>42691</v>
      </c>
      <c r="X54" s="10">
        <v>76.489999999999995</v>
      </c>
      <c r="Y54" s="10">
        <v>76.989999999999995</v>
      </c>
      <c r="Z54" s="10">
        <v>75.94</v>
      </c>
      <c r="AA54" s="10">
        <v>76.91</v>
      </c>
      <c r="AB54" s="95">
        <v>3201100</v>
      </c>
      <c r="AC54" s="10">
        <v>76.66</v>
      </c>
      <c r="AD54" s="2">
        <f t="shared" si="0"/>
        <v>1.0499999999999972</v>
      </c>
      <c r="AE54" s="138">
        <f t="shared" si="1"/>
        <v>3.5344940437229688E-3</v>
      </c>
    </row>
    <row r="55" spans="1:31" x14ac:dyDescent="0.25">
      <c r="A55" s="4"/>
      <c r="B55" s="74"/>
      <c r="C55" s="4"/>
      <c r="D55" s="3"/>
      <c r="E55" s="3"/>
      <c r="F55" s="3"/>
      <c r="G55" s="3"/>
      <c r="H55" s="280"/>
      <c r="I55" s="3"/>
      <c r="J55" s="3"/>
      <c r="K55" s="3"/>
      <c r="L55" s="4"/>
      <c r="O55" s="83">
        <v>0.96</v>
      </c>
      <c r="P55" s="83">
        <f t="shared" si="36"/>
        <v>70.214399999999998</v>
      </c>
      <c r="T55" s="93" t="s">
        <v>108</v>
      </c>
      <c r="U55" s="130" t="s">
        <v>549</v>
      </c>
      <c r="W55" s="133">
        <v>42690</v>
      </c>
      <c r="X55" s="10">
        <v>77.709999999999994</v>
      </c>
      <c r="Y55" s="10">
        <v>77.75</v>
      </c>
      <c r="Z55" s="10">
        <v>76.48</v>
      </c>
      <c r="AA55" s="10">
        <v>76.64</v>
      </c>
      <c r="AB55" s="95">
        <v>2850500</v>
      </c>
      <c r="AC55" s="10">
        <v>76.39</v>
      </c>
      <c r="AD55" s="2">
        <f t="shared" si="0"/>
        <v>1.269999999999996</v>
      </c>
      <c r="AE55" s="138">
        <f t="shared" si="1"/>
        <v>-2.7415143603132242E-3</v>
      </c>
    </row>
    <row r="56" spans="1:31" x14ac:dyDescent="0.25">
      <c r="A56" s="4"/>
      <c r="B56" s="74"/>
      <c r="C56" s="4"/>
      <c r="D56" s="3"/>
      <c r="E56" s="3"/>
      <c r="F56" s="3"/>
      <c r="G56" s="3"/>
      <c r="H56" s="280"/>
      <c r="I56" s="3"/>
      <c r="J56" s="3"/>
      <c r="K56" s="3"/>
      <c r="L56" s="4"/>
      <c r="O56" s="83">
        <v>0.95</v>
      </c>
      <c r="P56" s="83">
        <f t="shared" si="36"/>
        <v>69.483000000000004</v>
      </c>
      <c r="T56" s="93" t="s">
        <v>111</v>
      </c>
      <c r="U56" s="130">
        <v>17.239999999999998</v>
      </c>
      <c r="W56" s="133">
        <v>42689</v>
      </c>
      <c r="X56" s="10">
        <v>76.59</v>
      </c>
      <c r="Y56" s="10">
        <v>77.099999999999994</v>
      </c>
      <c r="Z56" s="10">
        <v>75.75</v>
      </c>
      <c r="AA56" s="10">
        <v>76.849999999999994</v>
      </c>
      <c r="AB56" s="95">
        <v>4336900</v>
      </c>
      <c r="AC56" s="10">
        <v>76.599999999999994</v>
      </c>
      <c r="AD56" s="2">
        <f t="shared" si="0"/>
        <v>1.3499999999999943</v>
      </c>
      <c r="AE56" s="138">
        <f t="shared" si="1"/>
        <v>2.4865855254547764E-3</v>
      </c>
    </row>
    <row r="57" spans="1:31" x14ac:dyDescent="0.25">
      <c r="A57" s="4"/>
      <c r="B57" s="74"/>
      <c r="C57" s="4"/>
      <c r="D57" s="3"/>
      <c r="E57" s="3"/>
      <c r="F57" s="3"/>
      <c r="G57" s="3"/>
      <c r="H57" s="280"/>
      <c r="I57" s="3"/>
      <c r="J57" s="3"/>
      <c r="K57" s="3"/>
      <c r="L57" s="4"/>
      <c r="O57" s="83">
        <v>0.94</v>
      </c>
      <c r="P57" s="83">
        <f t="shared" si="36"/>
        <v>68.751599999999996</v>
      </c>
      <c r="T57" s="93" t="s">
        <v>112</v>
      </c>
      <c r="U57" s="130">
        <v>4.26</v>
      </c>
      <c r="W57" s="133">
        <v>42688</v>
      </c>
      <c r="X57" s="10">
        <v>75</v>
      </c>
      <c r="Y57" s="10">
        <v>76.900000000000006</v>
      </c>
      <c r="Z57" s="10">
        <v>74.98</v>
      </c>
      <c r="AA57" s="10">
        <v>76.66</v>
      </c>
      <c r="AB57" s="95">
        <v>4564100</v>
      </c>
      <c r="AC57" s="10">
        <v>76.41</v>
      </c>
      <c r="AD57" s="2">
        <f t="shared" si="0"/>
        <v>1.9200000000000017</v>
      </c>
      <c r="AE57" s="138">
        <f t="shared" si="1"/>
        <v>2.6188557614826857E-2</v>
      </c>
    </row>
    <row r="58" spans="1:31" x14ac:dyDescent="0.25">
      <c r="A58" s="4"/>
      <c r="B58" s="74"/>
      <c r="C58" s="4"/>
      <c r="D58" s="3"/>
      <c r="E58" s="3"/>
      <c r="F58" s="3"/>
      <c r="G58" s="3"/>
      <c r="H58" s="280"/>
      <c r="I58" s="3"/>
      <c r="J58" s="3"/>
      <c r="K58" s="3"/>
      <c r="L58" s="4"/>
      <c r="O58" s="83">
        <v>0.93</v>
      </c>
      <c r="P58" s="83">
        <f t="shared" si="36"/>
        <v>68.020200000000003</v>
      </c>
      <c r="T58" s="93" t="s">
        <v>109</v>
      </c>
      <c r="U58" s="130" t="s">
        <v>550</v>
      </c>
      <c r="W58" s="133">
        <v>42685</v>
      </c>
      <c r="X58" s="10">
        <v>74.400000000000006</v>
      </c>
      <c r="Y58" s="10">
        <v>75.45</v>
      </c>
      <c r="Z58" s="10">
        <v>73.89</v>
      </c>
      <c r="AA58" s="10">
        <v>74.7</v>
      </c>
      <c r="AB58" s="95">
        <v>4009400</v>
      </c>
      <c r="AC58" s="10">
        <v>74.459999999999994</v>
      </c>
      <c r="AD58" s="2">
        <f t="shared" si="0"/>
        <v>1.5600000000000023</v>
      </c>
      <c r="AE58" s="138">
        <f t="shared" si="1"/>
        <v>4.316158618829169E-3</v>
      </c>
    </row>
    <row r="59" spans="1:31" x14ac:dyDescent="0.25">
      <c r="A59" s="4"/>
      <c r="B59" s="74"/>
      <c r="C59" s="4"/>
      <c r="D59" s="3"/>
      <c r="E59" s="3"/>
      <c r="F59" s="3"/>
      <c r="G59" s="3"/>
      <c r="H59" s="280"/>
      <c r="I59" s="3"/>
      <c r="J59" s="3"/>
      <c r="K59" s="3"/>
      <c r="L59" s="4"/>
      <c r="O59" s="83">
        <v>0.92</v>
      </c>
      <c r="P59" s="83">
        <f t="shared" si="36"/>
        <v>67.288800000000009</v>
      </c>
      <c r="W59" s="133">
        <v>42684</v>
      </c>
      <c r="X59" s="10">
        <v>71.75</v>
      </c>
      <c r="Y59" s="10">
        <v>74.599999999999994</v>
      </c>
      <c r="Z59" s="10">
        <v>71.73</v>
      </c>
      <c r="AA59" s="10">
        <v>74.38</v>
      </c>
      <c r="AB59" s="95">
        <v>6958600</v>
      </c>
      <c r="AC59" s="10">
        <v>74.14</v>
      </c>
      <c r="AD59" s="2">
        <f t="shared" si="0"/>
        <v>2.8699999999999903</v>
      </c>
      <c r="AE59" s="138">
        <f t="shared" si="1"/>
        <v>4.0269398063701445E-2</v>
      </c>
    </row>
    <row r="60" spans="1:31" x14ac:dyDescent="0.25">
      <c r="A60" s="4"/>
      <c r="B60" s="74"/>
      <c r="C60" s="4"/>
      <c r="D60" s="3"/>
      <c r="E60" s="3"/>
      <c r="F60" s="3"/>
      <c r="G60" s="3"/>
      <c r="H60" s="280"/>
      <c r="I60" s="3"/>
      <c r="J60" s="3"/>
      <c r="K60" s="3"/>
      <c r="L60" s="4"/>
      <c r="O60" s="83">
        <v>0.91</v>
      </c>
      <c r="P60" s="83">
        <f t="shared" si="36"/>
        <v>66.557400000000001</v>
      </c>
      <c r="W60" s="133">
        <v>42683</v>
      </c>
      <c r="X60" s="10">
        <v>68.64</v>
      </c>
      <c r="Y60" s="10">
        <v>71.510000000000005</v>
      </c>
      <c r="Z60" s="10">
        <v>68.38</v>
      </c>
      <c r="AA60" s="10">
        <v>71.5</v>
      </c>
      <c r="AB60" s="95">
        <v>3273600</v>
      </c>
      <c r="AC60" s="10">
        <v>71.27</v>
      </c>
      <c r="AD60" s="2">
        <f t="shared" si="0"/>
        <v>3.1300000000000097</v>
      </c>
      <c r="AE60" s="138">
        <f t="shared" si="1"/>
        <v>2.5615196431141296E-2</v>
      </c>
    </row>
    <row r="61" spans="1:31" x14ac:dyDescent="0.25">
      <c r="A61" s="4"/>
      <c r="B61" s="74"/>
      <c r="C61" s="4"/>
      <c r="D61" s="3"/>
      <c r="E61" s="3"/>
      <c r="F61" s="3"/>
      <c r="G61" s="3"/>
      <c r="H61" s="280"/>
      <c r="I61" s="3"/>
      <c r="J61" s="3"/>
      <c r="K61" s="3"/>
      <c r="L61" s="4"/>
      <c r="O61" s="83">
        <v>0.9</v>
      </c>
      <c r="P61" s="83">
        <f t="shared" si="36"/>
        <v>65.826000000000008</v>
      </c>
      <c r="W61" s="133">
        <v>42682</v>
      </c>
      <c r="X61" s="10">
        <v>69.83</v>
      </c>
      <c r="Y61" s="10">
        <v>70.08</v>
      </c>
      <c r="Z61" s="10">
        <v>68.92</v>
      </c>
      <c r="AA61" s="10">
        <v>69.72</v>
      </c>
      <c r="AB61" s="95">
        <v>1978000</v>
      </c>
      <c r="AC61" s="10">
        <v>69.489999999999995</v>
      </c>
      <c r="AD61" s="2">
        <f t="shared" si="0"/>
        <v>1.1599999999999966</v>
      </c>
      <c r="AE61" s="138">
        <f t="shared" si="1"/>
        <v>-7.1901064135770909E-4</v>
      </c>
    </row>
    <row r="62" spans="1:31" x14ac:dyDescent="0.25">
      <c r="A62" s="4"/>
      <c r="B62" s="74"/>
      <c r="C62" s="4"/>
      <c r="D62" s="3"/>
      <c r="E62" s="3"/>
      <c r="F62" s="3"/>
      <c r="G62" s="3"/>
      <c r="H62" s="280"/>
      <c r="I62" s="3"/>
      <c r="J62" s="3"/>
      <c r="K62" s="3"/>
      <c r="L62" s="4"/>
      <c r="W62" s="133">
        <v>42681</v>
      </c>
      <c r="X62" s="10">
        <v>69.13</v>
      </c>
      <c r="Y62" s="10">
        <v>70.010000000000005</v>
      </c>
      <c r="Z62" s="10">
        <v>69</v>
      </c>
      <c r="AA62" s="10">
        <v>69.77</v>
      </c>
      <c r="AB62" s="95">
        <v>2142500</v>
      </c>
      <c r="AC62" s="10">
        <v>69.540000000000006</v>
      </c>
      <c r="AD62" s="2">
        <f t="shared" si="0"/>
        <v>1.0100000000000051</v>
      </c>
      <c r="AE62" s="138">
        <f t="shared" si="1"/>
        <v>1.8006148440931069E-2</v>
      </c>
    </row>
    <row r="63" spans="1:31" x14ac:dyDescent="0.25">
      <c r="A63" s="4"/>
      <c r="B63" s="74"/>
      <c r="C63" s="4"/>
      <c r="D63" s="3"/>
      <c r="E63" s="3"/>
      <c r="F63" s="3"/>
      <c r="G63" s="3"/>
      <c r="H63" s="280"/>
      <c r="I63" s="3"/>
      <c r="J63" s="3"/>
      <c r="K63" s="3"/>
      <c r="L63" s="4"/>
      <c r="W63" s="133">
        <v>42678</v>
      </c>
      <c r="X63" s="10">
        <v>68.569999999999993</v>
      </c>
      <c r="Y63" s="10">
        <v>69.150000000000006</v>
      </c>
      <c r="Z63" s="10">
        <v>68.040000000000006</v>
      </c>
      <c r="AA63" s="10">
        <v>68.53</v>
      </c>
      <c r="AB63" s="95">
        <v>2350400</v>
      </c>
      <c r="AC63" s="10">
        <v>68.31</v>
      </c>
      <c r="AD63" s="2">
        <f t="shared" si="0"/>
        <v>1.1099999999999994</v>
      </c>
      <c r="AE63" s="138">
        <f t="shared" si="1"/>
        <v>0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3">
        <v>42677</v>
      </c>
      <c r="X64" s="10">
        <v>69.790000000000006</v>
      </c>
      <c r="Y64" s="10">
        <v>69.91</v>
      </c>
      <c r="Z64" s="10">
        <v>68.36</v>
      </c>
      <c r="AA64" s="10">
        <v>68.53</v>
      </c>
      <c r="AB64" s="95">
        <v>2979500</v>
      </c>
      <c r="AC64" s="10">
        <v>68.31</v>
      </c>
      <c r="AD64" s="2">
        <f t="shared" si="0"/>
        <v>1.5499999999999972</v>
      </c>
      <c r="AE64" s="138">
        <f t="shared" si="1"/>
        <v>-1.5280380567968876E-2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3">
        <v>42676</v>
      </c>
      <c r="X65" s="10">
        <v>68.849999999999994</v>
      </c>
      <c r="Y65" s="10">
        <v>69.790000000000006</v>
      </c>
      <c r="Z65" s="10">
        <v>68.849999999999994</v>
      </c>
      <c r="AA65" s="10">
        <v>69.599999999999994</v>
      </c>
      <c r="AB65" s="95">
        <v>2647900</v>
      </c>
      <c r="AC65" s="10">
        <v>69.37</v>
      </c>
      <c r="AD65" s="2">
        <f t="shared" si="0"/>
        <v>0.94000000000001194</v>
      </c>
      <c r="AE65" s="138">
        <f t="shared" si="1"/>
        <v>7.8454162429173468E-3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158.29999999999927</v>
      </c>
      <c r="W66" s="133">
        <v>42675</v>
      </c>
      <c r="X66" s="10">
        <v>69.040000000000006</v>
      </c>
      <c r="Y66" s="10">
        <v>69.290000000000006</v>
      </c>
      <c r="Z66" s="10">
        <v>68.650000000000006</v>
      </c>
      <c r="AA66" s="10">
        <v>69.05</v>
      </c>
      <c r="AB66" s="95">
        <v>2738300</v>
      </c>
      <c r="AC66" s="10">
        <v>68.83</v>
      </c>
      <c r="AD66" s="2">
        <f t="shared" si="0"/>
        <v>0.64000000000000057</v>
      </c>
      <c r="AE66" s="138">
        <f t="shared" si="1"/>
        <v>-5.8080441411367811E-4</v>
      </c>
    </row>
    <row r="67" spans="1:31" x14ac:dyDescent="0.25">
      <c r="A67" s="554" t="s">
        <v>1</v>
      </c>
      <c r="B67" s="554" t="s">
        <v>2</v>
      </c>
      <c r="C67" s="554" t="s">
        <v>4</v>
      </c>
      <c r="D67" s="555" t="s">
        <v>5</v>
      </c>
      <c r="E67" s="555" t="s">
        <v>94</v>
      </c>
      <c r="F67" s="555" t="s">
        <v>60</v>
      </c>
      <c r="G67" s="554" t="s">
        <v>3</v>
      </c>
      <c r="H67" s="554" t="s">
        <v>6</v>
      </c>
      <c r="I67" s="555" t="s">
        <v>7</v>
      </c>
      <c r="J67" s="555" t="s">
        <v>95</v>
      </c>
      <c r="K67" s="555" t="s">
        <v>61</v>
      </c>
      <c r="L67" s="554" t="s">
        <v>37</v>
      </c>
      <c r="M67" s="554" t="s">
        <v>38</v>
      </c>
      <c r="W67" s="133">
        <v>42674</v>
      </c>
      <c r="X67" s="10">
        <v>68.41</v>
      </c>
      <c r="Y67" s="10">
        <v>69.22</v>
      </c>
      <c r="Z67" s="10">
        <v>68.34</v>
      </c>
      <c r="AA67" s="10">
        <v>69.09</v>
      </c>
      <c r="AB67" s="95">
        <v>2876200</v>
      </c>
      <c r="AC67" s="10">
        <v>68.87</v>
      </c>
      <c r="AD67" s="2">
        <f>Y67-Z67</f>
        <v>0.87999999999999545</v>
      </c>
      <c r="AE67" s="138" t="e">
        <f>AC67/#REF!-1</f>
        <v>#REF!</v>
      </c>
    </row>
    <row r="68" spans="1:31" x14ac:dyDescent="0.25">
      <c r="A68" s="556" t="s">
        <v>284</v>
      </c>
      <c r="B68" s="537">
        <v>42619</v>
      </c>
      <c r="C68" s="538">
        <v>20</v>
      </c>
      <c r="D68" s="540">
        <v>72.08</v>
      </c>
      <c r="E68" s="540">
        <v>0</v>
      </c>
      <c r="F68" s="540">
        <f>C68*D68+E68</f>
        <v>1441.6</v>
      </c>
      <c r="G68" s="537">
        <v>42683</v>
      </c>
      <c r="H68" s="557">
        <v>35</v>
      </c>
      <c r="I68" s="540">
        <v>71.36</v>
      </c>
      <c r="J68" s="540">
        <v>0.05</v>
      </c>
      <c r="K68" s="540">
        <f>H68*I68-J68</f>
        <v>2497.5499999999997</v>
      </c>
      <c r="L68" s="537">
        <v>42642</v>
      </c>
      <c r="M68" s="540">
        <v>10</v>
      </c>
      <c r="W68" s="133">
        <v>42671</v>
      </c>
      <c r="X68" s="10">
        <v>67.569999999999993</v>
      </c>
      <c r="Y68" s="10">
        <v>68.66</v>
      </c>
      <c r="Z68" s="10">
        <v>67.44</v>
      </c>
      <c r="AA68" s="10">
        <v>68.34</v>
      </c>
      <c r="AB68" s="95">
        <v>2089700</v>
      </c>
      <c r="AC68" s="10">
        <v>68.12</v>
      </c>
      <c r="AD68" s="2" t="e">
        <f>#REF!-#REF!</f>
        <v>#REF!</v>
      </c>
      <c r="AE68" s="138" t="e">
        <f>#REF!/AC69-1</f>
        <v>#REF!</v>
      </c>
    </row>
    <row r="69" spans="1:31" x14ac:dyDescent="0.25">
      <c r="A69" s="558" t="s">
        <v>71</v>
      </c>
      <c r="B69" s="537">
        <v>42621</v>
      </c>
      <c r="C69" s="538">
        <v>20</v>
      </c>
      <c r="D69" s="540">
        <v>70.45</v>
      </c>
      <c r="E69" s="540">
        <v>0</v>
      </c>
      <c r="F69" s="540">
        <f>C69*D69+E69</f>
        <v>1409</v>
      </c>
      <c r="G69" s="537">
        <v>42684</v>
      </c>
      <c r="H69" s="557">
        <v>30</v>
      </c>
      <c r="I69" s="540">
        <v>73.28</v>
      </c>
      <c r="J69" s="540">
        <v>0.05</v>
      </c>
      <c r="K69" s="540">
        <f>H69*I69-J69</f>
        <v>2198.35</v>
      </c>
      <c r="L69" s="538"/>
      <c r="M69" s="538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1:31" x14ac:dyDescent="0.25">
      <c r="A70" s="538"/>
      <c r="B70" s="537">
        <v>42648</v>
      </c>
      <c r="C70" s="538">
        <v>25</v>
      </c>
      <c r="D70" s="540">
        <v>67.88</v>
      </c>
      <c r="E70" s="540">
        <v>0</v>
      </c>
      <c r="F70" s="540">
        <f>C70*D70+E70</f>
        <v>1697</v>
      </c>
      <c r="G70" s="537"/>
      <c r="H70" s="557"/>
      <c r="I70" s="540"/>
      <c r="J70" s="540"/>
      <c r="K70" s="540"/>
      <c r="L70" s="538"/>
      <c r="M70" s="538"/>
    </row>
    <row r="71" spans="1:31" x14ac:dyDescent="0.25">
      <c r="A71" s="538"/>
      <c r="B71" s="537"/>
      <c r="C71" s="538"/>
      <c r="D71" s="540"/>
      <c r="E71" s="540"/>
      <c r="F71" s="540"/>
      <c r="G71" s="538"/>
      <c r="H71" s="557"/>
      <c r="I71" s="540"/>
      <c r="J71" s="540"/>
      <c r="K71" s="540"/>
      <c r="L71" s="538"/>
      <c r="M71" s="538"/>
    </row>
    <row r="72" spans="1:31" x14ac:dyDescent="0.25">
      <c r="A72" s="538"/>
      <c r="B72" s="537"/>
      <c r="C72" s="538"/>
      <c r="D72" s="540"/>
      <c r="E72" s="540"/>
      <c r="F72" s="540"/>
      <c r="G72" s="538"/>
      <c r="H72" s="557"/>
      <c r="I72" s="540"/>
      <c r="J72" s="540"/>
      <c r="K72" s="540"/>
      <c r="L72" s="538"/>
      <c r="M72" s="538"/>
    </row>
    <row r="73" spans="1:31" x14ac:dyDescent="0.25">
      <c r="A73" s="538"/>
      <c r="B73" s="538"/>
      <c r="C73" s="538"/>
      <c r="D73" s="540"/>
      <c r="E73" s="540"/>
      <c r="F73" s="540"/>
      <c r="G73" s="538"/>
      <c r="H73" s="557"/>
      <c r="I73" s="540"/>
      <c r="J73" s="540"/>
      <c r="K73" s="540"/>
      <c r="L73" s="538"/>
      <c r="M73" s="538"/>
    </row>
    <row r="74" spans="1:31" x14ac:dyDescent="0.25">
      <c r="A74" s="538"/>
      <c r="B74" s="538"/>
      <c r="C74" s="538"/>
      <c r="D74" s="540"/>
      <c r="E74" s="540"/>
      <c r="F74" s="540"/>
      <c r="G74" s="538"/>
      <c r="H74" s="557"/>
      <c r="I74" s="540"/>
      <c r="J74" s="540"/>
      <c r="K74" s="540"/>
      <c r="L74" s="538"/>
      <c r="M74" s="538"/>
    </row>
    <row r="75" spans="1:31" x14ac:dyDescent="0.25">
      <c r="A75" s="538"/>
      <c r="B75" s="538"/>
      <c r="C75" s="538"/>
      <c r="D75" s="540"/>
      <c r="E75" s="540"/>
      <c r="F75" s="540"/>
      <c r="G75" s="538"/>
      <c r="H75" s="557"/>
      <c r="I75" s="540"/>
      <c r="J75" s="540"/>
      <c r="K75" s="540"/>
      <c r="L75" s="538"/>
      <c r="M75" s="538"/>
    </row>
    <row r="76" spans="1:31" x14ac:dyDescent="0.25">
      <c r="A76" s="538"/>
      <c r="B76" s="538"/>
      <c r="C76" s="538"/>
      <c r="D76" s="540"/>
      <c r="E76" s="540"/>
      <c r="F76" s="540"/>
      <c r="G76" s="538"/>
      <c r="H76" s="557"/>
      <c r="I76" s="540"/>
      <c r="J76" s="540"/>
      <c r="K76" s="540"/>
      <c r="L76" s="538"/>
      <c r="M76" s="538"/>
    </row>
    <row r="77" spans="1:31" x14ac:dyDescent="0.25">
      <c r="A77" s="538"/>
      <c r="B77" s="538"/>
      <c r="C77" s="538"/>
      <c r="D77" s="540"/>
      <c r="E77" s="540"/>
      <c r="F77" s="540"/>
      <c r="G77" s="538"/>
      <c r="H77" s="557"/>
      <c r="I77" s="540"/>
      <c r="J77" s="540"/>
      <c r="K77" s="540"/>
      <c r="L77" s="538"/>
      <c r="M77" s="538"/>
    </row>
    <row r="78" spans="1:31" x14ac:dyDescent="0.25">
      <c r="A78" s="538"/>
      <c r="B78" s="538"/>
      <c r="C78" s="538"/>
      <c r="D78" s="540"/>
      <c r="E78" s="540"/>
      <c r="F78" s="540"/>
      <c r="G78" s="538"/>
      <c r="H78" s="557"/>
      <c r="I78" s="540"/>
      <c r="J78" s="540"/>
      <c r="K78" s="540"/>
      <c r="L78" s="538"/>
      <c r="M78" s="538"/>
    </row>
    <row r="79" spans="1:31" x14ac:dyDescent="0.25">
      <c r="A79" s="538"/>
      <c r="B79" s="538"/>
      <c r="C79" s="538"/>
      <c r="D79" s="540"/>
      <c r="E79" s="540"/>
      <c r="F79" s="540"/>
      <c r="G79" s="538"/>
      <c r="H79" s="557"/>
      <c r="I79" s="540"/>
      <c r="J79" s="540"/>
      <c r="K79" s="540"/>
      <c r="L79" s="538"/>
      <c r="M79" s="538"/>
    </row>
    <row r="80" spans="1:31" x14ac:dyDescent="0.25">
      <c r="A80" s="538"/>
      <c r="B80" s="538"/>
      <c r="C80" s="538"/>
      <c r="D80" s="540"/>
      <c r="E80" s="540"/>
      <c r="F80" s="540"/>
      <c r="G80" s="538"/>
      <c r="H80" s="557"/>
      <c r="I80" s="540"/>
      <c r="J80" s="540"/>
      <c r="K80" s="540"/>
      <c r="L80" s="538"/>
      <c r="M80" s="538"/>
    </row>
    <row r="81" spans="1:13" x14ac:dyDescent="0.25">
      <c r="A81" s="538"/>
      <c r="B81" s="538"/>
      <c r="C81" s="538"/>
      <c r="D81" s="540"/>
      <c r="E81" s="540"/>
      <c r="F81" s="540"/>
      <c r="G81" s="538"/>
      <c r="H81" s="557"/>
      <c r="I81" s="540"/>
      <c r="J81" s="540"/>
      <c r="K81" s="540"/>
      <c r="L81" s="538"/>
      <c r="M81" s="538"/>
    </row>
    <row r="82" spans="1:13" x14ac:dyDescent="0.25">
      <c r="A82" s="538"/>
      <c r="B82" s="538"/>
      <c r="C82" s="538"/>
      <c r="D82" s="540"/>
      <c r="E82" s="540"/>
      <c r="F82" s="540"/>
      <c r="G82" s="538"/>
      <c r="H82" s="557"/>
      <c r="I82" s="540"/>
      <c r="J82" s="540"/>
      <c r="K82" s="540"/>
      <c r="L82" s="538"/>
      <c r="M82" s="538"/>
    </row>
    <row r="83" spans="1:13" x14ac:dyDescent="0.25">
      <c r="A83" s="538"/>
      <c r="B83" s="538"/>
      <c r="C83" s="538"/>
      <c r="D83" s="540"/>
      <c r="E83" s="540"/>
      <c r="F83" s="540"/>
      <c r="G83" s="538"/>
      <c r="H83" s="538"/>
      <c r="I83" s="540"/>
      <c r="J83" s="540"/>
      <c r="K83" s="540"/>
      <c r="L83" s="538"/>
      <c r="M83" s="538"/>
    </row>
    <row r="84" spans="1:13" x14ac:dyDescent="0.25">
      <c r="A84" s="559" t="s">
        <v>81</v>
      </c>
      <c r="B84" s="560"/>
      <c r="C84" s="560">
        <f>SUM(C68:C72)</f>
        <v>65</v>
      </c>
      <c r="D84" s="561"/>
      <c r="E84" s="561"/>
      <c r="F84" s="561">
        <f>SUM(F68:F72)</f>
        <v>4547.6000000000004</v>
      </c>
      <c r="G84" s="560"/>
      <c r="H84" s="583">
        <f>SUM(H68:H71)</f>
        <v>65</v>
      </c>
      <c r="I84" s="561"/>
      <c r="J84" s="561"/>
      <c r="K84" s="561">
        <f>SUM(K68:K71)</f>
        <v>4695.8999999999996</v>
      </c>
      <c r="L84" s="560"/>
      <c r="M84" s="561">
        <f>SUM(M68:M76)</f>
        <v>10</v>
      </c>
    </row>
    <row r="85" spans="1:13" ht="15.75" thickBot="1" x14ac:dyDescent="0.3">
      <c r="A85" s="562" t="s">
        <v>198</v>
      </c>
      <c r="B85" s="563"/>
      <c r="C85" s="564">
        <f>SumByColor($A$19,C68:C83)</f>
        <v>0</v>
      </c>
      <c r="D85" s="564"/>
      <c r="E85" s="564"/>
      <c r="F85" s="565">
        <f>SumByColor($A$19,F68:F83)</f>
        <v>0</v>
      </c>
      <c r="G85" s="564"/>
      <c r="H85" s="564">
        <f>SumByColor($A$19,H68:H83)</f>
        <v>0</v>
      </c>
      <c r="I85" s="564"/>
      <c r="J85" s="564"/>
      <c r="K85" s="565">
        <f>SumByColor($A$19,K69:K83)</f>
        <v>0</v>
      </c>
      <c r="L85" s="564"/>
      <c r="M85" s="565">
        <f t="shared" ref="M85" si="37">SumByColor($A$19,M68:M83)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{1AE72D23-52AB-4307-B6B4-42755F09E750}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971" priority="9">
      <formula>F47&gt;0</formula>
    </cfRule>
    <cfRule type="expression" dxfId="970" priority="10">
      <formula>F47&lt;0</formula>
    </cfRule>
  </conditionalFormatting>
  <conditionalFormatting sqref="Q7">
    <cfRule type="expression" dxfId="969" priority="7">
      <formula>Q7&gt;0</formula>
    </cfRule>
    <cfRule type="expression" dxfId="968" priority="8">
      <formula>Q7&lt;0</formula>
    </cfRule>
  </conditionalFormatting>
  <conditionalFormatting sqref="Q8">
    <cfRule type="expression" dxfId="967" priority="5">
      <formula>Q8&gt;0</formula>
    </cfRule>
    <cfRule type="expression" dxfId="966" priority="6">
      <formula>Q8&lt;0</formula>
    </cfRule>
  </conditionalFormatting>
  <conditionalFormatting sqref="F25:F46">
    <cfRule type="expression" dxfId="965" priority="3">
      <formula>F25&gt;0</formula>
    </cfRule>
    <cfRule type="expression" dxfId="964" priority="4">
      <formula>F25&lt;0</formula>
    </cfRule>
  </conditionalFormatting>
  <conditionalFormatting sqref="H25:H46">
    <cfRule type="expression" dxfId="963" priority="1">
      <formula>H25&gt;0</formula>
    </cfRule>
    <cfRule type="expression" dxfId="962" priority="2">
      <formula>H25&lt;0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AE72D23-52AB-4307-B6B4-42755F09E75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8.5703125" style="86" customWidth="1"/>
    <col min="21" max="21" width="35.5703125" customWidth="1"/>
    <col min="23" max="23" width="17.85546875" style="34" customWidth="1"/>
    <col min="24" max="24" width="5.85546875" customWidth="1"/>
    <col min="25" max="26" width="5.5703125" style="2" customWidth="1"/>
    <col min="27" max="27" width="5.85546875" customWidth="1"/>
    <col min="28" max="28" width="9.140625" customWidth="1"/>
    <col min="29" max="29" width="10.28515625" style="196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/>
      <c r="W1" s="92" t="s">
        <v>114</v>
      </c>
      <c r="X1" s="93" t="s">
        <v>115</v>
      </c>
      <c r="Y1" s="102" t="s">
        <v>116</v>
      </c>
      <c r="Z1" s="102" t="s">
        <v>117</v>
      </c>
      <c r="AA1" s="93" t="s">
        <v>118</v>
      </c>
      <c r="AB1" s="93" t="s">
        <v>119</v>
      </c>
      <c r="AC1" s="244" t="s">
        <v>120</v>
      </c>
      <c r="AD1" s="11" t="s">
        <v>126</v>
      </c>
      <c r="AE1" s="11" t="s">
        <v>128</v>
      </c>
    </row>
    <row r="2" spans="1:40" ht="14.25" customHeight="1" x14ac:dyDescent="0.25">
      <c r="A2" s="6" t="s">
        <v>23</v>
      </c>
      <c r="L2" s="1"/>
      <c r="M2" s="3"/>
      <c r="O2" s="11" t="s">
        <v>57</v>
      </c>
      <c r="Q2">
        <f>C18-H18</f>
        <v>0</v>
      </c>
      <c r="T2" s="85"/>
      <c r="W2" s="94">
        <v>42768</v>
      </c>
      <c r="X2" s="365">
        <v>31.7</v>
      </c>
      <c r="Y2" s="40">
        <v>31.83</v>
      </c>
      <c r="Z2" s="40">
        <v>31.37</v>
      </c>
      <c r="AA2" s="365">
        <v>31.48</v>
      </c>
      <c r="AB2" s="95">
        <v>417200</v>
      </c>
      <c r="AC2" s="243">
        <v>31.48</v>
      </c>
      <c r="AD2" s="2">
        <f>Y2-Z2</f>
        <v>0.4599999999999973</v>
      </c>
      <c r="AE2" s="138">
        <f>AC2/AC3-1</f>
        <v>-5.3712480252764427E-3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O3" s="11" t="s">
        <v>58</v>
      </c>
      <c r="Q3" s="80">
        <f>IF(Q2=0, Q4, (F18-K18-M18)/Q2)</f>
        <v>31.84</v>
      </c>
      <c r="T3" s="121"/>
      <c r="W3" s="94">
        <v>42767</v>
      </c>
      <c r="X3" s="365">
        <v>31.89</v>
      </c>
      <c r="Y3" s="40">
        <v>32.17</v>
      </c>
      <c r="Z3" s="40">
        <v>31.47</v>
      </c>
      <c r="AA3" s="365">
        <v>31.65</v>
      </c>
      <c r="AB3" s="95">
        <v>357500</v>
      </c>
      <c r="AC3" s="243">
        <v>31.65</v>
      </c>
      <c r="AD3" s="2">
        <f>Y3-Z3</f>
        <v>0.70000000000000284</v>
      </c>
      <c r="AE3" s="138">
        <f>AC3/AC4-1</f>
        <v>-6.5913370998117449E-3</v>
      </c>
      <c r="AN3" s="234"/>
    </row>
    <row r="4" spans="1:40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O4" s="11" t="s">
        <v>66</v>
      </c>
      <c r="Q4" s="55">
        <v>31.84</v>
      </c>
      <c r="R4" s="505">
        <v>1.14E-2</v>
      </c>
      <c r="T4" s="121"/>
      <c r="W4" s="94">
        <v>42766</v>
      </c>
      <c r="X4" s="365">
        <v>31.04</v>
      </c>
      <c r="Y4" s="40">
        <v>31.87</v>
      </c>
      <c r="Z4" s="40">
        <v>30.97</v>
      </c>
      <c r="AA4" s="365">
        <v>31.86</v>
      </c>
      <c r="AB4" s="95">
        <v>623000</v>
      </c>
      <c r="AC4" s="243">
        <v>31.86</v>
      </c>
      <c r="AD4" s="2">
        <f t="shared" ref="AD4:AD67" si="0">Y4-Z4</f>
        <v>0.90000000000000213</v>
      </c>
      <c r="AE4" s="138">
        <f t="shared" ref="AE4:AE67" si="1">AC4/AC5-1</f>
        <v>2.774193548387105E-2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O5" s="11" t="s">
        <v>67</v>
      </c>
      <c r="Q5" s="3">
        <f>Q4*Q2</f>
        <v>0</v>
      </c>
      <c r="W5" s="94">
        <v>42765</v>
      </c>
      <c r="X5" s="365">
        <v>31.05</v>
      </c>
      <c r="Y5" s="40">
        <v>31.15</v>
      </c>
      <c r="Z5" s="40">
        <v>30.82</v>
      </c>
      <c r="AA5" s="365">
        <v>31</v>
      </c>
      <c r="AB5" s="95">
        <v>453200</v>
      </c>
      <c r="AC5" s="243">
        <v>31</v>
      </c>
      <c r="AD5" s="2">
        <f t="shared" si="0"/>
        <v>0.32999999999999829</v>
      </c>
      <c r="AE5" s="138">
        <f t="shared" si="1"/>
        <v>-7.0467648942984518E-3</v>
      </c>
      <c r="AK5" s="234"/>
      <c r="AN5" s="234"/>
    </row>
    <row r="6" spans="1:40" x14ac:dyDescent="0.25">
      <c r="B6" s="4"/>
      <c r="C6" s="4"/>
      <c r="D6" s="3"/>
      <c r="E6" s="3"/>
      <c r="F6" s="3"/>
      <c r="G6" s="4"/>
      <c r="H6" s="185"/>
      <c r="I6" s="3"/>
      <c r="J6" s="3"/>
      <c r="K6" s="3"/>
      <c r="O6" s="11" t="s">
        <v>64</v>
      </c>
      <c r="Q6" s="2">
        <f>Q3*Q2</f>
        <v>0</v>
      </c>
      <c r="W6" s="94">
        <v>42762</v>
      </c>
      <c r="X6" s="365">
        <v>31.63</v>
      </c>
      <c r="Y6" s="40">
        <v>31.63</v>
      </c>
      <c r="Z6" s="40">
        <v>31.03</v>
      </c>
      <c r="AA6" s="365">
        <v>31.22</v>
      </c>
      <c r="AB6" s="95">
        <v>809200</v>
      </c>
      <c r="AC6" s="243">
        <v>31.22</v>
      </c>
      <c r="AD6" s="2">
        <f t="shared" si="0"/>
        <v>0.59999999999999787</v>
      </c>
      <c r="AE6" s="138">
        <f t="shared" si="1"/>
        <v>-9.2034274833386887E-3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181</v>
      </c>
      <c r="P7"/>
      <c r="Q7" s="2">
        <f>Q10+Q8</f>
        <v>21.970000000000027</v>
      </c>
      <c r="R7">
        <v>0</v>
      </c>
      <c r="T7" s="85"/>
      <c r="W7" s="94">
        <v>42761</v>
      </c>
      <c r="X7" s="365">
        <v>31.42</v>
      </c>
      <c r="Y7" s="40">
        <v>31.8</v>
      </c>
      <c r="Z7" s="40">
        <v>31.27</v>
      </c>
      <c r="AA7" s="365">
        <v>31.51</v>
      </c>
      <c r="AB7" s="95">
        <v>839400</v>
      </c>
      <c r="AC7" s="243">
        <v>31.51</v>
      </c>
      <c r="AD7" s="2">
        <f t="shared" si="0"/>
        <v>0.53000000000000114</v>
      </c>
      <c r="AE7" s="138">
        <f t="shared" si="1"/>
        <v>3.5031847133759619E-3</v>
      </c>
      <c r="AK7" s="234"/>
      <c r="AN7" s="234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184</v>
      </c>
      <c r="Q8" s="2">
        <f>K18+M18-F18+Q2*Q4</f>
        <v>0</v>
      </c>
      <c r="W8" s="94">
        <v>42760</v>
      </c>
      <c r="X8" s="365">
        <v>31.65</v>
      </c>
      <c r="Y8" s="40">
        <v>31.83</v>
      </c>
      <c r="Z8" s="40">
        <v>31.38</v>
      </c>
      <c r="AA8" s="365">
        <v>31.4</v>
      </c>
      <c r="AB8" s="95">
        <v>807700</v>
      </c>
      <c r="AC8" s="243">
        <v>31.4</v>
      </c>
      <c r="AD8" s="2">
        <f t="shared" si="0"/>
        <v>0.44999999999999929</v>
      </c>
      <c r="AE8" s="138">
        <f t="shared" si="1"/>
        <v>-8.5254183770130387E-3</v>
      </c>
    </row>
    <row r="9" spans="1:40" x14ac:dyDescent="0.25">
      <c r="O9" s="11" t="s">
        <v>214</v>
      </c>
      <c r="P9"/>
      <c r="Q9" s="138">
        <f>IF(Q2=0, 0, Q8/Q6)</f>
        <v>0</v>
      </c>
      <c r="W9" s="94">
        <v>42759</v>
      </c>
      <c r="X9" s="365">
        <v>31.76</v>
      </c>
      <c r="Y9" s="40">
        <v>31.84</v>
      </c>
      <c r="Z9" s="40">
        <v>31.32</v>
      </c>
      <c r="AA9" s="365">
        <v>31.67</v>
      </c>
      <c r="AB9" s="95">
        <v>1254600</v>
      </c>
      <c r="AC9" s="243">
        <v>31.67</v>
      </c>
      <c r="AD9" s="2">
        <f t="shared" si="0"/>
        <v>0.51999999999999957</v>
      </c>
      <c r="AE9" s="138">
        <f t="shared" si="1"/>
        <v>-4.0880503144653524E-3</v>
      </c>
      <c r="AK9" s="234"/>
      <c r="AN9" s="234"/>
    </row>
    <row r="10" spans="1:40" ht="12.75" customHeight="1" x14ac:dyDescent="0.25">
      <c r="O10" s="11" t="s">
        <v>213</v>
      </c>
      <c r="Q10" s="2">
        <f>M37</f>
        <v>21.970000000000027</v>
      </c>
      <c r="W10" s="94">
        <v>42758</v>
      </c>
      <c r="X10" s="365">
        <v>32.340000000000003</v>
      </c>
      <c r="Y10" s="40">
        <v>32.340000000000003</v>
      </c>
      <c r="Z10" s="40">
        <v>31.79</v>
      </c>
      <c r="AA10" s="365">
        <v>31.8</v>
      </c>
      <c r="AB10" s="95">
        <v>430400</v>
      </c>
      <c r="AC10" s="243">
        <v>31.8</v>
      </c>
      <c r="AD10" s="2">
        <f t="shared" si="0"/>
        <v>0.55000000000000426</v>
      </c>
      <c r="AE10" s="138">
        <f t="shared" si="1"/>
        <v>-1.8215498610682279E-2</v>
      </c>
    </row>
    <row r="11" spans="1:40" x14ac:dyDescent="0.25">
      <c r="O11" s="11" t="s">
        <v>178</v>
      </c>
      <c r="Q11" s="138">
        <v>0</v>
      </c>
      <c r="W11" s="94">
        <v>42755</v>
      </c>
      <c r="X11" s="365">
        <v>32.5</v>
      </c>
      <c r="Y11" s="40">
        <v>32.56</v>
      </c>
      <c r="Z11" s="40">
        <v>32.29</v>
      </c>
      <c r="AA11" s="365">
        <v>32.39</v>
      </c>
      <c r="AB11" s="95">
        <v>214600</v>
      </c>
      <c r="AC11" s="243">
        <v>32.39</v>
      </c>
      <c r="AD11" s="2">
        <f t="shared" si="0"/>
        <v>0.27000000000000313</v>
      </c>
      <c r="AE11" s="138">
        <f t="shared" si="1"/>
        <v>1.2364760432765909E-3</v>
      </c>
      <c r="AK11" s="234"/>
      <c r="AN11" s="234"/>
    </row>
    <row r="12" spans="1:40" x14ac:dyDescent="0.25">
      <c r="W12" s="94">
        <v>42754</v>
      </c>
      <c r="X12" s="365">
        <v>32.69</v>
      </c>
      <c r="Y12" s="40">
        <v>32.79</v>
      </c>
      <c r="Z12" s="40">
        <v>32.33</v>
      </c>
      <c r="AA12" s="365">
        <v>32.35</v>
      </c>
      <c r="AB12" s="95">
        <v>347500</v>
      </c>
      <c r="AC12" s="243">
        <v>32.35</v>
      </c>
      <c r="AD12" s="2">
        <f t="shared" si="0"/>
        <v>0.46000000000000085</v>
      </c>
      <c r="AE12" s="138">
        <f t="shared" si="1"/>
        <v>-1.2816600549282908E-2</v>
      </c>
    </row>
    <row r="13" spans="1:40" x14ac:dyDescent="0.25">
      <c r="W13" s="94">
        <v>42753</v>
      </c>
      <c r="X13" s="365">
        <v>32.75</v>
      </c>
      <c r="Y13" s="40">
        <v>32.86</v>
      </c>
      <c r="Z13" s="40">
        <v>32.4</v>
      </c>
      <c r="AA13" s="365">
        <v>32.770000000000003</v>
      </c>
      <c r="AB13" s="95">
        <v>353000</v>
      </c>
      <c r="AC13" s="243">
        <v>32.770000000000003</v>
      </c>
      <c r="AD13" s="2">
        <f t="shared" si="0"/>
        <v>0.46000000000000085</v>
      </c>
      <c r="AE13" s="138">
        <f t="shared" si="1"/>
        <v>3.9828431372550543E-3</v>
      </c>
      <c r="AK13" s="234"/>
      <c r="AN13" s="234"/>
    </row>
    <row r="14" spans="1:40" x14ac:dyDescent="0.25">
      <c r="T14" s="84"/>
      <c r="U14" s="11"/>
      <c r="W14" s="94">
        <v>42752</v>
      </c>
      <c r="X14" s="365">
        <v>32.46</v>
      </c>
      <c r="Y14" s="40">
        <v>32.67</v>
      </c>
      <c r="Z14" s="40">
        <v>32.159999999999997</v>
      </c>
      <c r="AA14" s="365">
        <v>32.64</v>
      </c>
      <c r="AB14" s="95">
        <v>283300</v>
      </c>
      <c r="AC14" s="243">
        <v>32.64</v>
      </c>
      <c r="AD14" s="2">
        <f t="shared" si="0"/>
        <v>0.51000000000000512</v>
      </c>
      <c r="AE14" s="138">
        <f t="shared" si="1"/>
        <v>3.6900369003689537E-3</v>
      </c>
    </row>
    <row r="15" spans="1:40" x14ac:dyDescent="0.25">
      <c r="W15" s="94">
        <v>42748</v>
      </c>
      <c r="X15" s="365">
        <v>32.15</v>
      </c>
      <c r="Y15" s="40">
        <v>32.54</v>
      </c>
      <c r="Z15" s="40">
        <v>32.04</v>
      </c>
      <c r="AA15" s="365">
        <v>32.520000000000003</v>
      </c>
      <c r="AB15" s="95">
        <v>257000</v>
      </c>
      <c r="AC15" s="243">
        <v>32.520000000000003</v>
      </c>
      <c r="AD15" s="2">
        <f t="shared" si="0"/>
        <v>0.5</v>
      </c>
      <c r="AE15" s="138">
        <f t="shared" si="1"/>
        <v>1.2768607910308427E-2</v>
      </c>
      <c r="AK15" s="234"/>
      <c r="AN15" s="234"/>
    </row>
    <row r="16" spans="1:40" x14ac:dyDescent="0.25">
      <c r="W16" s="94">
        <v>42747</v>
      </c>
      <c r="X16" s="365">
        <v>31.7</v>
      </c>
      <c r="Y16" s="40">
        <v>32.15</v>
      </c>
      <c r="Z16" s="40">
        <v>31.61</v>
      </c>
      <c r="AA16" s="365">
        <v>32.11</v>
      </c>
      <c r="AB16" s="95">
        <v>244700</v>
      </c>
      <c r="AC16" s="243">
        <v>32.11</v>
      </c>
      <c r="AD16" s="2">
        <f t="shared" si="0"/>
        <v>0.53999999999999915</v>
      </c>
      <c r="AE16" s="138">
        <f t="shared" si="1"/>
        <v>8.1632653061223248E-3</v>
      </c>
    </row>
    <row r="17" spans="1:40" x14ac:dyDescent="0.25">
      <c r="W17" s="94">
        <v>42746</v>
      </c>
      <c r="X17" s="365">
        <v>32.090000000000003</v>
      </c>
      <c r="Y17" s="40">
        <v>32.24</v>
      </c>
      <c r="Z17" s="40">
        <v>31.69</v>
      </c>
      <c r="AA17" s="365">
        <v>31.85</v>
      </c>
      <c r="AB17" s="95">
        <v>292300</v>
      </c>
      <c r="AC17" s="243">
        <v>31.85</v>
      </c>
      <c r="AD17" s="2">
        <f t="shared" si="0"/>
        <v>0.55000000000000071</v>
      </c>
      <c r="AE17" s="138">
        <f t="shared" si="1"/>
        <v>-7.7881619937694158E-3</v>
      </c>
      <c r="AK17" s="234"/>
      <c r="AN17" s="234"/>
    </row>
    <row r="18" spans="1:40" x14ac:dyDescent="0.25">
      <c r="A18" s="32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3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4">
        <v>42745</v>
      </c>
      <c r="X18" s="365">
        <v>31.82</v>
      </c>
      <c r="Y18" s="40">
        <v>32.340000000000003</v>
      </c>
      <c r="Z18" s="40">
        <v>31.66</v>
      </c>
      <c r="AA18" s="365">
        <v>32.1</v>
      </c>
      <c r="AB18" s="95">
        <v>581000</v>
      </c>
      <c r="AC18" s="243">
        <v>32.1</v>
      </c>
      <c r="AD18" s="2">
        <f t="shared" si="0"/>
        <v>0.68000000000000327</v>
      </c>
      <c r="AE18" s="138">
        <f t="shared" si="1"/>
        <v>9.7514941805600941E-3</v>
      </c>
    </row>
    <row r="19" spans="1:40" x14ac:dyDescent="0.25">
      <c r="W19" s="94">
        <v>42744</v>
      </c>
      <c r="X19" s="365">
        <v>31.86</v>
      </c>
      <c r="Y19" s="40">
        <v>31.97</v>
      </c>
      <c r="Z19" s="40">
        <v>31.62</v>
      </c>
      <c r="AA19" s="365">
        <v>31.79</v>
      </c>
      <c r="AB19" s="95">
        <v>678600</v>
      </c>
      <c r="AC19" s="243">
        <v>31.79</v>
      </c>
      <c r="AD19" s="2">
        <f t="shared" si="0"/>
        <v>0.34999999999999787</v>
      </c>
      <c r="AE19" s="138">
        <f t="shared" si="1"/>
        <v>-6.2873310279787376E-4</v>
      </c>
      <c r="AK19" s="234"/>
      <c r="AN19" s="234"/>
    </row>
    <row r="20" spans="1:40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4" t="s">
        <v>65</v>
      </c>
      <c r="G20" s="229" t="s">
        <v>152</v>
      </c>
      <c r="H20" s="229" t="s">
        <v>88</v>
      </c>
      <c r="I20" s="229" t="s">
        <v>155</v>
      </c>
      <c r="W20" s="94">
        <v>42741</v>
      </c>
      <c r="X20" s="365">
        <v>31.12</v>
      </c>
      <c r="Y20" s="40">
        <v>31.82</v>
      </c>
      <c r="Z20" s="40">
        <v>31</v>
      </c>
      <c r="AA20" s="365">
        <v>31.81</v>
      </c>
      <c r="AB20" s="95">
        <v>376900</v>
      </c>
      <c r="AC20" s="243">
        <v>31.81</v>
      </c>
      <c r="AD20" s="2">
        <f t="shared" si="0"/>
        <v>0.82000000000000028</v>
      </c>
      <c r="AE20" s="138">
        <f t="shared" si="1"/>
        <v>2.2172236503855913E-2</v>
      </c>
    </row>
    <row r="21" spans="1:40" x14ac:dyDescent="0.25">
      <c r="B21" s="193">
        <v>42619</v>
      </c>
      <c r="C21" s="10">
        <v>50</v>
      </c>
      <c r="D21" s="40">
        <v>31.18</v>
      </c>
      <c r="E21" s="40">
        <v>31.29</v>
      </c>
      <c r="F21" s="40">
        <f t="shared" ref="F21:F26" si="2">C21*(E21-D21)</f>
        <v>5.4999999999999716</v>
      </c>
      <c r="G21" s="40">
        <f t="shared" ref="G21:G26" si="3">D21*C21</f>
        <v>1559</v>
      </c>
      <c r="H21" s="231">
        <f t="shared" ref="H21:H26" si="4">(E21-D21)/D21</f>
        <v>3.5279025016035736E-3</v>
      </c>
      <c r="I21" s="40"/>
      <c r="W21" s="94">
        <v>42740</v>
      </c>
      <c r="X21" s="365">
        <v>31.12</v>
      </c>
      <c r="Y21" s="40">
        <v>31.55</v>
      </c>
      <c r="Z21" s="40">
        <v>31.03</v>
      </c>
      <c r="AA21" s="365">
        <v>31.12</v>
      </c>
      <c r="AB21" s="95">
        <v>871500</v>
      </c>
      <c r="AC21" s="243">
        <v>31.12</v>
      </c>
      <c r="AD21" s="2">
        <f t="shared" si="0"/>
        <v>0.51999999999999957</v>
      </c>
      <c r="AE21" s="138">
        <f t="shared" si="1"/>
        <v>3.2144005143042165E-4</v>
      </c>
      <c r="AK21" s="234"/>
      <c r="AN21" s="234"/>
    </row>
    <row r="22" spans="1:40" x14ac:dyDescent="0.25">
      <c r="B22" s="193">
        <v>42620</v>
      </c>
      <c r="C22" s="10">
        <v>50</v>
      </c>
      <c r="D22" s="40">
        <v>31.18</v>
      </c>
      <c r="E22" s="40">
        <v>31.51</v>
      </c>
      <c r="F22" s="40">
        <f t="shared" si="2"/>
        <v>16.500000000000092</v>
      </c>
      <c r="G22" s="40">
        <f t="shared" si="3"/>
        <v>1559</v>
      </c>
      <c r="H22" s="231">
        <f t="shared" si="4"/>
        <v>1.0583707504810835E-2</v>
      </c>
      <c r="I22" s="40"/>
      <c r="W22" s="94">
        <v>42739</v>
      </c>
      <c r="X22" s="365">
        <v>31.05</v>
      </c>
      <c r="Y22" s="40">
        <v>31.65</v>
      </c>
      <c r="Z22" s="40">
        <v>30.96</v>
      </c>
      <c r="AA22" s="365">
        <v>31.11</v>
      </c>
      <c r="AB22" s="95">
        <v>895800</v>
      </c>
      <c r="AC22" s="243">
        <v>31.11</v>
      </c>
      <c r="AD22" s="2">
        <f t="shared" si="0"/>
        <v>0.68999999999999773</v>
      </c>
      <c r="AE22" s="138">
        <f t="shared" si="1"/>
        <v>9.6525096525090781E-4</v>
      </c>
    </row>
    <row r="23" spans="1:40" x14ac:dyDescent="0.25">
      <c r="B23" s="193">
        <v>42621</v>
      </c>
      <c r="C23" s="10">
        <v>50</v>
      </c>
      <c r="D23" s="40">
        <v>31.18</v>
      </c>
      <c r="E23" s="40">
        <v>31.65</v>
      </c>
      <c r="F23" s="40">
        <f t="shared" si="2"/>
        <v>23.499999999999943</v>
      </c>
      <c r="G23" s="40">
        <f t="shared" si="3"/>
        <v>1559</v>
      </c>
      <c r="H23" s="231">
        <f t="shared" si="4"/>
        <v>1.5073765234124403E-2</v>
      </c>
      <c r="I23" s="40"/>
      <c r="W23" s="94">
        <v>42738</v>
      </c>
      <c r="X23" s="365">
        <v>30.41</v>
      </c>
      <c r="Y23" s="40">
        <v>31.08</v>
      </c>
      <c r="Z23" s="40">
        <v>30.26</v>
      </c>
      <c r="AA23" s="365">
        <v>31.08</v>
      </c>
      <c r="AB23" s="95">
        <v>572200</v>
      </c>
      <c r="AC23" s="243">
        <v>31.08</v>
      </c>
      <c r="AD23" s="2">
        <f t="shared" si="0"/>
        <v>0.81999999999999673</v>
      </c>
      <c r="AE23" s="138">
        <f t="shared" si="1"/>
        <v>2.3715415019762709E-2</v>
      </c>
      <c r="AK23" s="234"/>
    </row>
    <row r="24" spans="1:40" x14ac:dyDescent="0.25">
      <c r="B24" s="193">
        <v>42622</v>
      </c>
      <c r="C24" s="10">
        <v>50</v>
      </c>
      <c r="D24" s="40">
        <v>31.18</v>
      </c>
      <c r="E24" s="40">
        <v>31.5</v>
      </c>
      <c r="F24" s="40">
        <f t="shared" si="2"/>
        <v>16.000000000000014</v>
      </c>
      <c r="G24" s="40">
        <f t="shared" si="3"/>
        <v>1559</v>
      </c>
      <c r="H24" s="231">
        <f t="shared" si="4"/>
        <v>1.0262989095574096E-2</v>
      </c>
      <c r="I24" s="40"/>
      <c r="W24" s="94">
        <v>42734</v>
      </c>
      <c r="X24" s="365">
        <v>30.42</v>
      </c>
      <c r="Y24" s="40">
        <v>30.48</v>
      </c>
      <c r="Z24" s="40">
        <v>30.21</v>
      </c>
      <c r="AA24" s="365">
        <v>30.36</v>
      </c>
      <c r="AB24" s="95">
        <v>304700</v>
      </c>
      <c r="AC24" s="243">
        <v>30.36</v>
      </c>
      <c r="AD24" s="2">
        <f t="shared" si="0"/>
        <v>0.26999999999999957</v>
      </c>
      <c r="AE24" s="138">
        <f t="shared" si="1"/>
        <v>-2.3003614853762677E-3</v>
      </c>
    </row>
    <row r="25" spans="1:40" x14ac:dyDescent="0.25">
      <c r="B25" s="193">
        <v>42634</v>
      </c>
      <c r="C25" s="10">
        <v>50</v>
      </c>
      <c r="D25" s="40">
        <v>31.18</v>
      </c>
      <c r="E25" s="40">
        <v>32.049999999999997</v>
      </c>
      <c r="F25" s="40">
        <f t="shared" si="2"/>
        <v>43.499999999999872</v>
      </c>
      <c r="G25" s="40">
        <f t="shared" si="3"/>
        <v>1559</v>
      </c>
      <c r="H25" s="231">
        <f t="shared" si="4"/>
        <v>2.7902501603591964E-2</v>
      </c>
      <c r="I25" s="40"/>
      <c r="W25" s="94">
        <v>42733</v>
      </c>
      <c r="X25" s="365">
        <v>30.22</v>
      </c>
      <c r="Y25" s="40">
        <v>30.62</v>
      </c>
      <c r="Z25" s="40">
        <v>30.22</v>
      </c>
      <c r="AA25" s="365">
        <v>30.43</v>
      </c>
      <c r="AB25" s="95">
        <v>182900</v>
      </c>
      <c r="AC25" s="243">
        <v>30.43</v>
      </c>
      <c r="AD25" s="2">
        <f t="shared" si="0"/>
        <v>0.40000000000000213</v>
      </c>
      <c r="AE25" s="138">
        <f t="shared" si="1"/>
        <v>4.6219874546054029E-3</v>
      </c>
    </row>
    <row r="26" spans="1:40" x14ac:dyDescent="0.25">
      <c r="B26" s="193">
        <v>42648</v>
      </c>
      <c r="C26" s="10">
        <v>50</v>
      </c>
      <c r="D26" s="40">
        <v>31.18</v>
      </c>
      <c r="E26" s="40">
        <v>31.87</v>
      </c>
      <c r="F26" s="40">
        <f t="shared" si="2"/>
        <v>34.500000000000064</v>
      </c>
      <c r="G26" s="40">
        <f t="shared" si="3"/>
        <v>1559</v>
      </c>
      <c r="H26" s="231">
        <f t="shared" si="4"/>
        <v>2.2129570237331662E-2</v>
      </c>
      <c r="I26" s="40"/>
      <c r="W26" s="94">
        <v>42732</v>
      </c>
      <c r="X26" s="365">
        <v>30.73</v>
      </c>
      <c r="Y26" s="40">
        <v>30.81</v>
      </c>
      <c r="Z26" s="40">
        <v>30.21</v>
      </c>
      <c r="AA26" s="365">
        <v>30.29</v>
      </c>
      <c r="AB26" s="95">
        <v>239500</v>
      </c>
      <c r="AC26" s="243">
        <v>30.29</v>
      </c>
      <c r="AD26" s="2">
        <f t="shared" si="0"/>
        <v>0.59999999999999787</v>
      </c>
      <c r="AE26" s="138">
        <f t="shared" si="1"/>
        <v>-1.1422976501305526E-2</v>
      </c>
    </row>
    <row r="27" spans="1:40" x14ac:dyDescent="0.25">
      <c r="B27" s="193">
        <v>42649</v>
      </c>
      <c r="C27" s="10">
        <v>50</v>
      </c>
      <c r="D27" s="40">
        <v>31.18</v>
      </c>
      <c r="E27" s="40">
        <v>31.61</v>
      </c>
      <c r="F27" s="40">
        <f t="shared" ref="F27" si="5">C27*(E27-D27)</f>
        <v>21.499999999999986</v>
      </c>
      <c r="G27" s="40">
        <f t="shared" ref="G27" si="6">D27*C27</f>
        <v>1559</v>
      </c>
      <c r="H27" s="231">
        <f t="shared" ref="H27" si="7">(E27-D27)/D27</f>
        <v>1.379089159717767E-2</v>
      </c>
      <c r="I27" s="40"/>
      <c r="W27" s="94">
        <v>42731</v>
      </c>
      <c r="X27" s="365">
        <v>30.47</v>
      </c>
      <c r="Y27" s="40">
        <v>30.85</v>
      </c>
      <c r="Z27" s="40">
        <v>30.32</v>
      </c>
      <c r="AA27" s="365">
        <v>30.64</v>
      </c>
      <c r="AB27" s="95">
        <v>319600</v>
      </c>
      <c r="AC27" s="243">
        <v>30.64</v>
      </c>
      <c r="AD27" s="2">
        <f t="shared" si="0"/>
        <v>0.53000000000000114</v>
      </c>
      <c r="AE27" s="138">
        <f t="shared" si="1"/>
        <v>1.1221122112211157E-2</v>
      </c>
    </row>
    <row r="28" spans="1:40" x14ac:dyDescent="0.25">
      <c r="B28" s="193">
        <v>42701</v>
      </c>
      <c r="C28" s="10">
        <v>50</v>
      </c>
      <c r="D28" s="40">
        <v>31.18</v>
      </c>
      <c r="E28" s="40">
        <v>29.98</v>
      </c>
      <c r="F28" s="40">
        <f t="shared" ref="F28" si="8">C28*(E28-D28)</f>
        <v>-59.999999999999964</v>
      </c>
      <c r="G28" s="40">
        <f t="shared" ref="G28" si="9">D28*C28</f>
        <v>1559</v>
      </c>
      <c r="H28" s="231">
        <f t="shared" ref="H28" si="10">(E28-D28)/D28</f>
        <v>-3.8486209108402801E-2</v>
      </c>
      <c r="I28" s="40"/>
      <c r="W28" s="94">
        <v>42727</v>
      </c>
      <c r="X28" s="365">
        <v>30.55</v>
      </c>
      <c r="Y28" s="40">
        <v>30.58</v>
      </c>
      <c r="Z28" s="40">
        <v>30.09</v>
      </c>
      <c r="AA28" s="365">
        <v>30.3</v>
      </c>
      <c r="AB28" s="95">
        <v>352300</v>
      </c>
      <c r="AC28" s="243">
        <v>30.3</v>
      </c>
      <c r="AD28" s="2">
        <f t="shared" si="0"/>
        <v>0.48999999999999844</v>
      </c>
      <c r="AE28" s="138">
        <f t="shared" si="1"/>
        <v>-4.5992115637319975E-3</v>
      </c>
    </row>
    <row r="29" spans="1:40" x14ac:dyDescent="0.25">
      <c r="B29" s="193">
        <v>42741</v>
      </c>
      <c r="C29" s="10">
        <v>0</v>
      </c>
      <c r="D29" s="40"/>
      <c r="E29" s="40">
        <v>21.97</v>
      </c>
      <c r="F29" s="40"/>
      <c r="G29" s="40"/>
      <c r="H29" s="231"/>
      <c r="I29" s="40"/>
      <c r="W29" s="94">
        <v>42726</v>
      </c>
      <c r="X29" s="365">
        <v>30.35</v>
      </c>
      <c r="Y29" s="40">
        <v>30.5</v>
      </c>
      <c r="Z29" s="40">
        <v>30.14</v>
      </c>
      <c r="AA29" s="365">
        <v>30.44</v>
      </c>
      <c r="AB29" s="95">
        <v>489600</v>
      </c>
      <c r="AC29" s="243">
        <v>30.44</v>
      </c>
      <c r="AD29" s="2">
        <f t="shared" si="0"/>
        <v>0.35999999999999943</v>
      </c>
      <c r="AE29" s="138">
        <f t="shared" si="1"/>
        <v>0</v>
      </c>
    </row>
    <row r="30" spans="1:40" x14ac:dyDescent="0.25">
      <c r="B30" s="193"/>
      <c r="C30" s="10"/>
      <c r="D30" s="40"/>
      <c r="E30" s="40"/>
      <c r="F30" s="40"/>
      <c r="G30" s="40"/>
      <c r="H30" s="231"/>
      <c r="I30" s="40"/>
      <c r="W30" s="94">
        <v>42725</v>
      </c>
      <c r="X30" s="365">
        <v>30.31</v>
      </c>
      <c r="Y30" s="40">
        <v>30.62</v>
      </c>
      <c r="Z30" s="40">
        <v>30.08</v>
      </c>
      <c r="AA30" s="365">
        <v>30.44</v>
      </c>
      <c r="AB30" s="95">
        <v>338700</v>
      </c>
      <c r="AC30" s="243">
        <v>30.44</v>
      </c>
      <c r="AD30" s="2">
        <f t="shared" si="0"/>
        <v>0.5400000000000027</v>
      </c>
      <c r="AE30" s="138">
        <f t="shared" si="1"/>
        <v>5.94844679444817E-3</v>
      </c>
    </row>
    <row r="31" spans="1:40" x14ac:dyDescent="0.25">
      <c r="B31" s="193"/>
      <c r="C31" s="10"/>
      <c r="D31" s="40"/>
      <c r="E31" s="40"/>
      <c r="F31" s="40"/>
      <c r="G31" s="40"/>
      <c r="H31" s="231"/>
      <c r="I31" s="40"/>
      <c r="W31" s="94">
        <v>42724</v>
      </c>
      <c r="X31" s="365">
        <v>30.54</v>
      </c>
      <c r="Y31" s="40">
        <v>30.84</v>
      </c>
      <c r="Z31" s="40">
        <v>30.09</v>
      </c>
      <c r="AA31" s="365">
        <v>30.26</v>
      </c>
      <c r="AB31" s="95">
        <v>289800</v>
      </c>
      <c r="AC31" s="243">
        <v>30.26</v>
      </c>
      <c r="AD31" s="2">
        <f t="shared" si="0"/>
        <v>0.75</v>
      </c>
      <c r="AE31" s="138">
        <f t="shared" si="1"/>
        <v>-9.1683038637850878E-3</v>
      </c>
    </row>
    <row r="32" spans="1:40" x14ac:dyDescent="0.25">
      <c r="B32" s="193"/>
      <c r="C32" s="10"/>
      <c r="D32" s="40"/>
      <c r="E32" s="40"/>
      <c r="F32" s="40"/>
      <c r="G32" s="40"/>
      <c r="H32" s="231"/>
      <c r="I32" s="40"/>
      <c r="W32" s="94">
        <v>42723</v>
      </c>
      <c r="X32" s="365">
        <v>30.76</v>
      </c>
      <c r="Y32" s="40">
        <v>30.93</v>
      </c>
      <c r="Z32" s="40">
        <v>30.47</v>
      </c>
      <c r="AA32" s="365">
        <v>30.54</v>
      </c>
      <c r="AB32" s="95">
        <v>549700</v>
      </c>
      <c r="AC32" s="243">
        <v>30.54</v>
      </c>
      <c r="AD32" s="2">
        <f t="shared" si="0"/>
        <v>0.46000000000000085</v>
      </c>
      <c r="AE32" s="138">
        <f t="shared" si="1"/>
        <v>-8.7633885102239573E-3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40"/>
      <c r="W33" s="94">
        <v>42720</v>
      </c>
      <c r="X33" s="365">
        <v>30.76</v>
      </c>
      <c r="Y33" s="40">
        <v>31.15</v>
      </c>
      <c r="Z33" s="40">
        <v>30.69</v>
      </c>
      <c r="AA33" s="365">
        <v>30.81</v>
      </c>
      <c r="AB33" s="95">
        <v>814100</v>
      </c>
      <c r="AC33" s="243">
        <v>30.81</v>
      </c>
      <c r="AD33" s="2">
        <f t="shared" si="0"/>
        <v>0.4599999999999973</v>
      </c>
      <c r="AE33" s="138">
        <f t="shared" si="1"/>
        <v>-1.6202203499676715E-3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94">
        <v>42719</v>
      </c>
      <c r="X34" s="365">
        <v>31.01</v>
      </c>
      <c r="Y34" s="40">
        <v>31.2</v>
      </c>
      <c r="Z34" s="40">
        <v>30.8</v>
      </c>
      <c r="AA34" s="365">
        <v>30.86</v>
      </c>
      <c r="AB34" s="95">
        <v>657500</v>
      </c>
      <c r="AC34" s="243">
        <v>30.86</v>
      </c>
      <c r="AD34" s="2">
        <f t="shared" si="0"/>
        <v>0.39999999999999858</v>
      </c>
      <c r="AE34" s="138">
        <f t="shared" si="1"/>
        <v>-6.4766839378238572E-4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94">
        <v>42718</v>
      </c>
      <c r="X35" s="365">
        <v>31.26</v>
      </c>
      <c r="Y35" s="40">
        <v>31.26</v>
      </c>
      <c r="Z35" s="40">
        <v>30.83</v>
      </c>
      <c r="AA35" s="365">
        <v>30.88</v>
      </c>
      <c r="AB35" s="95">
        <v>523200</v>
      </c>
      <c r="AC35" s="243">
        <v>30.88</v>
      </c>
      <c r="AD35" s="2">
        <f t="shared" si="0"/>
        <v>0.43000000000000327</v>
      </c>
      <c r="AE35" s="138">
        <f t="shared" si="1"/>
        <v>-1.2156110044785784E-2</v>
      </c>
    </row>
    <row r="36" spans="1:31" x14ac:dyDescent="0.25">
      <c r="W36" s="94">
        <v>42717</v>
      </c>
      <c r="X36" s="365">
        <v>31.31</v>
      </c>
      <c r="Y36" s="40">
        <v>31.47</v>
      </c>
      <c r="Z36" s="40">
        <v>31.09</v>
      </c>
      <c r="AA36" s="365">
        <v>31.26</v>
      </c>
      <c r="AB36" s="95">
        <v>642300</v>
      </c>
      <c r="AC36" s="243">
        <v>31.26</v>
      </c>
      <c r="AD36" s="2">
        <f t="shared" si="0"/>
        <v>0.37999999999999901</v>
      </c>
      <c r="AE36" s="138">
        <f t="shared" si="1"/>
        <v>-1.9157088122604415E-3</v>
      </c>
    </row>
    <row r="37" spans="1:31" x14ac:dyDescent="0.25">
      <c r="L37" t="s">
        <v>213</v>
      </c>
      <c r="M37" s="2">
        <f>M55+K55-F55</f>
        <v>21.970000000000027</v>
      </c>
      <c r="W37" s="94">
        <v>42716</v>
      </c>
      <c r="X37" s="365">
        <v>31.25</v>
      </c>
      <c r="Y37" s="40">
        <v>31.48</v>
      </c>
      <c r="Z37" s="40">
        <v>31.23</v>
      </c>
      <c r="AA37" s="365">
        <v>31.32</v>
      </c>
      <c r="AB37" s="95">
        <v>279000</v>
      </c>
      <c r="AC37" s="243">
        <v>31.32</v>
      </c>
      <c r="AD37" s="2">
        <f t="shared" si="0"/>
        <v>0.25</v>
      </c>
      <c r="AE37" s="138">
        <f t="shared" si="1"/>
        <v>1.9193857965451588E-3</v>
      </c>
    </row>
    <row r="38" spans="1:31" x14ac:dyDescent="0.25">
      <c r="A38" s="263" t="s">
        <v>1</v>
      </c>
      <c r="B38" s="263" t="s">
        <v>2</v>
      </c>
      <c r="C38" s="263" t="s">
        <v>4</v>
      </c>
      <c r="D38" s="264" t="s">
        <v>5</v>
      </c>
      <c r="E38" s="264" t="s">
        <v>90</v>
      </c>
      <c r="F38" s="264" t="s">
        <v>60</v>
      </c>
      <c r="G38" s="263" t="s">
        <v>3</v>
      </c>
      <c r="H38" s="263" t="s">
        <v>6</v>
      </c>
      <c r="I38" s="264" t="s">
        <v>7</v>
      </c>
      <c r="J38" s="264" t="s">
        <v>89</v>
      </c>
      <c r="K38" s="264" t="s">
        <v>61</v>
      </c>
      <c r="L38" s="263" t="s">
        <v>77</v>
      </c>
      <c r="M38" s="263" t="s">
        <v>38</v>
      </c>
      <c r="W38" s="94">
        <v>42713</v>
      </c>
      <c r="X38" s="365">
        <v>30.8</v>
      </c>
      <c r="Y38" s="40">
        <v>31.43</v>
      </c>
      <c r="Z38" s="40">
        <v>30.75</v>
      </c>
      <c r="AA38" s="365">
        <v>31.26</v>
      </c>
      <c r="AB38" s="95">
        <v>561600</v>
      </c>
      <c r="AC38" s="243">
        <v>31.26</v>
      </c>
      <c r="AD38" s="2">
        <f t="shared" si="0"/>
        <v>0.67999999999999972</v>
      </c>
      <c r="AE38" s="138">
        <f t="shared" si="1"/>
        <v>1.5264696329977401E-2</v>
      </c>
    </row>
    <row r="39" spans="1:31" ht="20.25" thickBot="1" x14ac:dyDescent="0.35">
      <c r="A39" s="265" t="s">
        <v>23</v>
      </c>
      <c r="B39" s="266">
        <v>42619</v>
      </c>
      <c r="C39" s="261">
        <v>50</v>
      </c>
      <c r="D39" s="262">
        <v>31.18</v>
      </c>
      <c r="E39" s="262">
        <v>0</v>
      </c>
      <c r="F39" s="262">
        <f>D39*C39+E39</f>
        <v>1559</v>
      </c>
      <c r="G39" s="266">
        <v>42741</v>
      </c>
      <c r="H39" s="261">
        <v>50</v>
      </c>
      <c r="I39" s="262">
        <v>31.62</v>
      </c>
      <c r="J39" s="262">
        <v>0.03</v>
      </c>
      <c r="K39" s="262">
        <f>I39*H39-J39</f>
        <v>1580.97</v>
      </c>
      <c r="L39" s="266"/>
      <c r="M39" s="262"/>
      <c r="O39" s="11"/>
      <c r="P39" s="638" t="s">
        <v>78</v>
      </c>
      <c r="Q39" s="638"/>
      <c r="R39" s="34"/>
      <c r="T39" s="91" t="s">
        <v>113</v>
      </c>
      <c r="W39" s="94">
        <v>42712</v>
      </c>
      <c r="X39" s="365">
        <v>30.22</v>
      </c>
      <c r="Y39" s="40">
        <v>30.97</v>
      </c>
      <c r="Z39" s="40">
        <v>30.13</v>
      </c>
      <c r="AA39" s="365">
        <v>30.79</v>
      </c>
      <c r="AB39" s="95">
        <v>496600</v>
      </c>
      <c r="AC39" s="243">
        <v>30.79</v>
      </c>
      <c r="AD39" s="2">
        <f t="shared" si="0"/>
        <v>0.83999999999999986</v>
      </c>
      <c r="AE39" s="138">
        <f t="shared" si="1"/>
        <v>2.1905077995353572E-2</v>
      </c>
    </row>
    <row r="40" spans="1:31" ht="15.75" thickTop="1" x14ac:dyDescent="0.25">
      <c r="A40" s="268" t="s">
        <v>71</v>
      </c>
      <c r="B40" s="266"/>
      <c r="C40" s="261"/>
      <c r="D40" s="262"/>
      <c r="E40" s="262"/>
      <c r="F40" s="262"/>
      <c r="G40" s="266"/>
      <c r="H40" s="267"/>
      <c r="I40" s="262"/>
      <c r="J40" s="262"/>
      <c r="K40" s="262"/>
      <c r="L40" s="261"/>
      <c r="M40" s="261"/>
      <c r="O40" s="2"/>
      <c r="P40" s="83">
        <v>1.1000000000000001</v>
      </c>
      <c r="Q40" s="83">
        <f>P40*$Q$4</f>
        <v>35.024000000000001</v>
      </c>
      <c r="R40" s="34"/>
      <c r="T40" s="97" t="s">
        <v>98</v>
      </c>
      <c r="U40" s="129">
        <v>31.65</v>
      </c>
      <c r="W40" s="94">
        <v>42711</v>
      </c>
      <c r="X40" s="365">
        <v>30.2</v>
      </c>
      <c r="Y40" s="40">
        <v>30.31</v>
      </c>
      <c r="Z40" s="40">
        <v>29.89</v>
      </c>
      <c r="AA40" s="365">
        <v>30.13</v>
      </c>
      <c r="AB40" s="95">
        <v>468500</v>
      </c>
      <c r="AC40" s="243">
        <v>30.13</v>
      </c>
      <c r="AD40" s="2">
        <f t="shared" si="0"/>
        <v>0.41999999999999815</v>
      </c>
      <c r="AE40" s="138">
        <f t="shared" si="1"/>
        <v>-3.3079722130334721E-3</v>
      </c>
    </row>
    <row r="41" spans="1:31" x14ac:dyDescent="0.25">
      <c r="A41" s="261"/>
      <c r="B41" s="266"/>
      <c r="C41" s="261"/>
      <c r="D41" s="262"/>
      <c r="E41" s="262"/>
      <c r="F41" s="262"/>
      <c r="G41" s="266"/>
      <c r="H41" s="267"/>
      <c r="I41" s="262"/>
      <c r="J41" s="262"/>
      <c r="K41" s="262"/>
      <c r="L41" s="261"/>
      <c r="M41" s="261"/>
      <c r="O41" s="2"/>
      <c r="P41" s="83">
        <v>1.0900000000000001</v>
      </c>
      <c r="Q41" s="83">
        <f t="shared" ref="Q41:Q60" si="11">P41*$Q$4</f>
        <v>34.705600000000004</v>
      </c>
      <c r="R41" s="34"/>
      <c r="T41" s="87" t="s">
        <v>99</v>
      </c>
      <c r="U41" s="130">
        <v>31.7</v>
      </c>
      <c r="W41" s="94">
        <v>42710</v>
      </c>
      <c r="X41" s="365">
        <v>29.94</v>
      </c>
      <c r="Y41" s="40">
        <v>30.43</v>
      </c>
      <c r="Z41" s="40">
        <v>29.91</v>
      </c>
      <c r="AA41" s="365">
        <v>30.23</v>
      </c>
      <c r="AB41" s="95">
        <v>457900</v>
      </c>
      <c r="AC41" s="243">
        <v>30.23</v>
      </c>
      <c r="AD41" s="2">
        <f t="shared" si="0"/>
        <v>0.51999999999999957</v>
      </c>
      <c r="AE41" s="138">
        <f t="shared" si="1"/>
        <v>1.4429530201342189E-2</v>
      </c>
    </row>
    <row r="42" spans="1:31" x14ac:dyDescent="0.25">
      <c r="A42" s="261"/>
      <c r="B42" s="266"/>
      <c r="C42" s="261"/>
      <c r="D42" s="262"/>
      <c r="E42" s="262"/>
      <c r="F42" s="262"/>
      <c r="G42" s="266"/>
      <c r="H42" s="267"/>
      <c r="I42" s="262"/>
      <c r="J42" s="262"/>
      <c r="K42" s="262"/>
      <c r="L42" s="261"/>
      <c r="M42" s="261"/>
      <c r="O42" s="2"/>
      <c r="P42" s="83">
        <v>1.08</v>
      </c>
      <c r="Q42" s="83">
        <f t="shared" si="11"/>
        <v>34.3872</v>
      </c>
      <c r="R42" s="34"/>
      <c r="T42" s="87" t="s">
        <v>100</v>
      </c>
      <c r="U42" s="130" t="s">
        <v>551</v>
      </c>
      <c r="W42" s="94">
        <v>42709</v>
      </c>
      <c r="X42" s="365">
        <v>29.55</v>
      </c>
      <c r="Y42" s="40">
        <v>29.96</v>
      </c>
      <c r="Z42" s="40">
        <v>29.38</v>
      </c>
      <c r="AA42" s="365">
        <v>29.8</v>
      </c>
      <c r="AB42" s="95">
        <v>523600</v>
      </c>
      <c r="AC42" s="243">
        <v>29.8</v>
      </c>
      <c r="AD42" s="2">
        <f t="shared" si="0"/>
        <v>0.58000000000000185</v>
      </c>
      <c r="AE42" s="138">
        <f t="shared" si="1"/>
        <v>1.4295439074200278E-2</v>
      </c>
    </row>
    <row r="43" spans="1:31" x14ac:dyDescent="0.25">
      <c r="A43" s="261"/>
      <c r="B43" s="261"/>
      <c r="C43" s="261"/>
      <c r="D43" s="262"/>
      <c r="E43" s="262"/>
      <c r="F43" s="262"/>
      <c r="G43" s="261"/>
      <c r="H43" s="267"/>
      <c r="I43" s="262"/>
      <c r="J43" s="262"/>
      <c r="K43" s="262"/>
      <c r="L43" s="261"/>
      <c r="M43" s="261"/>
      <c r="O43" s="2"/>
      <c r="P43" s="83">
        <v>1.07</v>
      </c>
      <c r="Q43" s="83">
        <f t="shared" si="11"/>
        <v>34.068800000000003</v>
      </c>
      <c r="R43" s="83"/>
      <c r="T43" s="87" t="s">
        <v>101</v>
      </c>
      <c r="U43" s="130" t="s">
        <v>407</v>
      </c>
      <c r="W43" s="94">
        <v>42706</v>
      </c>
      <c r="X43" s="365">
        <v>29.66</v>
      </c>
      <c r="Y43" s="40">
        <v>29.73</v>
      </c>
      <c r="Z43" s="40">
        <v>29.3</v>
      </c>
      <c r="AA43" s="365">
        <v>29.38</v>
      </c>
      <c r="AB43" s="95">
        <v>358400</v>
      </c>
      <c r="AC43" s="243">
        <v>29.38</v>
      </c>
      <c r="AD43" s="2">
        <f t="shared" si="0"/>
        <v>0.42999999999999972</v>
      </c>
      <c r="AE43" s="138">
        <f t="shared" si="1"/>
        <v>-9.7741826761038597E-3</v>
      </c>
    </row>
    <row r="44" spans="1:31" x14ac:dyDescent="0.25">
      <c r="A44" s="261"/>
      <c r="B44" s="261"/>
      <c r="C44" s="261"/>
      <c r="D44" s="262"/>
      <c r="E44" s="262"/>
      <c r="F44" s="262"/>
      <c r="G44" s="261"/>
      <c r="H44" s="261"/>
      <c r="I44" s="262"/>
      <c r="J44" s="262"/>
      <c r="K44" s="262"/>
      <c r="L44" s="261"/>
      <c r="M44" s="261"/>
      <c r="O44" s="2"/>
      <c r="P44" s="83">
        <v>1.06</v>
      </c>
      <c r="Q44" s="83">
        <f t="shared" si="11"/>
        <v>33.750399999999999</v>
      </c>
      <c r="R44" s="83"/>
      <c r="T44" s="87" t="s">
        <v>102</v>
      </c>
      <c r="U44" s="130">
        <v>37.31</v>
      </c>
      <c r="W44" s="94">
        <v>42705</v>
      </c>
      <c r="X44" s="365">
        <v>30.02</v>
      </c>
      <c r="Y44" s="40">
        <v>30.17</v>
      </c>
      <c r="Z44" s="40">
        <v>29.4</v>
      </c>
      <c r="AA44" s="365">
        <v>29.67</v>
      </c>
      <c r="AB44" s="95">
        <v>496200</v>
      </c>
      <c r="AC44" s="243">
        <v>29.67</v>
      </c>
      <c r="AD44" s="2">
        <f t="shared" si="0"/>
        <v>0.77000000000000313</v>
      </c>
      <c r="AE44" s="138">
        <f t="shared" si="1"/>
        <v>-1.5593895155938897E-2</v>
      </c>
    </row>
    <row r="45" spans="1:31" x14ac:dyDescent="0.25">
      <c r="A45" s="261"/>
      <c r="B45" s="261"/>
      <c r="C45" s="261"/>
      <c r="D45" s="262"/>
      <c r="E45" s="262"/>
      <c r="F45" s="262"/>
      <c r="G45" s="261"/>
      <c r="H45" s="261"/>
      <c r="I45" s="262"/>
      <c r="J45" s="262"/>
      <c r="K45" s="262"/>
      <c r="L45" s="261"/>
      <c r="M45" s="261"/>
      <c r="O45" s="2"/>
      <c r="P45" s="83">
        <v>1.05</v>
      </c>
      <c r="Q45" s="83">
        <f t="shared" si="11"/>
        <v>33.432000000000002</v>
      </c>
      <c r="R45" s="83"/>
      <c r="T45" s="87" t="s">
        <v>103</v>
      </c>
      <c r="U45" s="130">
        <v>0.445324</v>
      </c>
      <c r="W45" s="94">
        <v>42704</v>
      </c>
      <c r="X45" s="365">
        <v>30.53</v>
      </c>
      <c r="Y45" s="40">
        <v>30.79</v>
      </c>
      <c r="Z45" s="40">
        <v>30.1</v>
      </c>
      <c r="AA45" s="365">
        <v>30.14</v>
      </c>
      <c r="AB45" s="95">
        <v>552900</v>
      </c>
      <c r="AC45" s="243">
        <v>30.14</v>
      </c>
      <c r="AD45" s="2">
        <f t="shared" si="0"/>
        <v>0.68999999999999773</v>
      </c>
      <c r="AE45" s="138">
        <f t="shared" si="1"/>
        <v>-1.1479173499508E-2</v>
      </c>
    </row>
    <row r="46" spans="1:31" x14ac:dyDescent="0.25">
      <c r="A46" s="261"/>
      <c r="B46" s="261"/>
      <c r="C46" s="261"/>
      <c r="D46" s="262"/>
      <c r="E46" s="262"/>
      <c r="F46" s="262"/>
      <c r="G46" s="261"/>
      <c r="H46" s="261"/>
      <c r="I46" s="262"/>
      <c r="J46" s="262"/>
      <c r="K46" s="262"/>
      <c r="L46" s="261"/>
      <c r="M46" s="261"/>
      <c r="O46" s="2"/>
      <c r="P46" s="83">
        <v>1.04</v>
      </c>
      <c r="Q46" s="83">
        <f t="shared" si="11"/>
        <v>33.113599999999998</v>
      </c>
      <c r="R46" s="83"/>
      <c r="T46" s="87" t="s">
        <v>104</v>
      </c>
      <c r="U46" s="232" t="s">
        <v>449</v>
      </c>
      <c r="W46" s="94">
        <v>42703</v>
      </c>
      <c r="X46" s="365">
        <v>30.34</v>
      </c>
      <c r="Y46" s="40">
        <v>31.37</v>
      </c>
      <c r="Z46" s="40">
        <v>30.31</v>
      </c>
      <c r="AA46" s="365">
        <v>30.49</v>
      </c>
      <c r="AB46" s="95">
        <v>844600</v>
      </c>
      <c r="AC46" s="243">
        <v>30.49</v>
      </c>
      <c r="AD46" s="2">
        <f t="shared" si="0"/>
        <v>1.0600000000000023</v>
      </c>
      <c r="AE46" s="138">
        <f t="shared" si="1"/>
        <v>2.2468142186451878E-2</v>
      </c>
    </row>
    <row r="47" spans="1:31" x14ac:dyDescent="0.25">
      <c r="A47" s="261"/>
      <c r="B47" s="261"/>
      <c r="C47" s="261"/>
      <c r="D47" s="262"/>
      <c r="E47" s="262"/>
      <c r="F47" s="262"/>
      <c r="G47" s="261"/>
      <c r="H47" s="261"/>
      <c r="I47" s="262"/>
      <c r="J47" s="262"/>
      <c r="K47" s="262"/>
      <c r="L47" s="261"/>
      <c r="M47" s="261"/>
      <c r="O47" s="2"/>
      <c r="P47" s="83">
        <v>1.03</v>
      </c>
      <c r="Q47" s="83">
        <f t="shared" si="11"/>
        <v>32.795200000000001</v>
      </c>
      <c r="R47" s="83"/>
      <c r="T47" s="87"/>
      <c r="U47" s="130"/>
      <c r="W47" s="94">
        <v>42702</v>
      </c>
      <c r="X47" s="365">
        <v>29.97</v>
      </c>
      <c r="Y47" s="40">
        <v>30.26</v>
      </c>
      <c r="Z47" s="40">
        <v>29.66</v>
      </c>
      <c r="AA47" s="365">
        <v>29.82</v>
      </c>
      <c r="AB47" s="95">
        <v>472600</v>
      </c>
      <c r="AC47" s="243">
        <v>29.82</v>
      </c>
      <c r="AD47" s="2">
        <f t="shared" si="0"/>
        <v>0.60000000000000142</v>
      </c>
      <c r="AE47" s="138">
        <f t="shared" si="1"/>
        <v>-5.3368912608405816E-3</v>
      </c>
    </row>
    <row r="48" spans="1:31" x14ac:dyDescent="0.25">
      <c r="A48" s="261"/>
      <c r="B48" s="261"/>
      <c r="C48" s="261"/>
      <c r="D48" s="262"/>
      <c r="E48" s="262"/>
      <c r="F48" s="262"/>
      <c r="G48" s="261"/>
      <c r="H48" s="261"/>
      <c r="I48" s="262"/>
      <c r="J48" s="262"/>
      <c r="K48" s="262"/>
      <c r="L48" s="261"/>
      <c r="M48" s="261"/>
      <c r="O48" s="2"/>
      <c r="P48" s="83">
        <v>1.02</v>
      </c>
      <c r="Q48" s="83">
        <f t="shared" si="11"/>
        <v>32.476799999999997</v>
      </c>
      <c r="R48" s="83"/>
      <c r="T48" s="87" t="s">
        <v>105</v>
      </c>
      <c r="U48" s="130" t="s">
        <v>552</v>
      </c>
      <c r="W48" s="94">
        <v>42699</v>
      </c>
      <c r="X48" s="365">
        <v>30.05</v>
      </c>
      <c r="Y48" s="40">
        <v>30.16</v>
      </c>
      <c r="Z48" s="40">
        <v>29.76</v>
      </c>
      <c r="AA48" s="365">
        <v>29.98</v>
      </c>
      <c r="AB48" s="95">
        <v>286900</v>
      </c>
      <c r="AC48" s="243">
        <v>29.98</v>
      </c>
      <c r="AD48" s="2">
        <f t="shared" si="0"/>
        <v>0.39999999999999858</v>
      </c>
      <c r="AE48" s="138">
        <f t="shared" si="1"/>
        <v>-1.997336884154377E-3</v>
      </c>
    </row>
    <row r="49" spans="1:31" x14ac:dyDescent="0.25">
      <c r="A49" s="261"/>
      <c r="B49" s="261"/>
      <c r="C49" s="261"/>
      <c r="D49" s="262"/>
      <c r="E49" s="262"/>
      <c r="F49" s="262"/>
      <c r="G49" s="261"/>
      <c r="H49" s="261"/>
      <c r="I49" s="262"/>
      <c r="J49" s="262"/>
      <c r="K49" s="262"/>
      <c r="L49" s="261"/>
      <c r="M49" s="261"/>
      <c r="O49" s="2"/>
      <c r="P49" s="83">
        <v>1.01</v>
      </c>
      <c r="Q49" s="83">
        <f t="shared" si="11"/>
        <v>32.1584</v>
      </c>
      <c r="R49" s="83"/>
      <c r="T49" s="87" t="s">
        <v>106</v>
      </c>
      <c r="U49" s="130" t="s">
        <v>394</v>
      </c>
      <c r="W49" s="94">
        <v>42697</v>
      </c>
      <c r="X49" s="365">
        <v>29.84</v>
      </c>
      <c r="Y49" s="40">
        <v>30.16</v>
      </c>
      <c r="Z49" s="40">
        <v>29.72</v>
      </c>
      <c r="AA49" s="365">
        <v>30.04</v>
      </c>
      <c r="AB49" s="95">
        <v>449300</v>
      </c>
      <c r="AC49" s="243">
        <v>30.04</v>
      </c>
      <c r="AD49" s="2">
        <f t="shared" si="0"/>
        <v>0.44000000000000128</v>
      </c>
      <c r="AE49" s="138">
        <f t="shared" si="1"/>
        <v>5.6913290927351756E-3</v>
      </c>
    </row>
    <row r="50" spans="1:31" x14ac:dyDescent="0.25">
      <c r="A50" s="261"/>
      <c r="B50" s="261"/>
      <c r="C50" s="261"/>
      <c r="D50" s="262"/>
      <c r="E50" s="262"/>
      <c r="F50" s="262"/>
      <c r="G50" s="261"/>
      <c r="H50" s="261"/>
      <c r="I50" s="262"/>
      <c r="J50" s="262"/>
      <c r="K50" s="262"/>
      <c r="L50" s="261"/>
      <c r="M50" s="261"/>
      <c r="O50" s="2"/>
      <c r="P50" s="83">
        <v>1</v>
      </c>
      <c r="Q50" s="83">
        <f t="shared" si="11"/>
        <v>31.84</v>
      </c>
      <c r="R50" s="83"/>
      <c r="T50" s="87" t="s">
        <v>107</v>
      </c>
      <c r="U50" s="131">
        <v>417237</v>
      </c>
      <c r="W50" s="94">
        <v>42696</v>
      </c>
      <c r="X50" s="365">
        <v>29.71</v>
      </c>
      <c r="Y50" s="40">
        <v>30.01</v>
      </c>
      <c r="Z50" s="40">
        <v>29.44</v>
      </c>
      <c r="AA50" s="365">
        <v>29.87</v>
      </c>
      <c r="AB50" s="95">
        <v>524400</v>
      </c>
      <c r="AC50" s="243">
        <v>29.87</v>
      </c>
      <c r="AD50" s="2">
        <f t="shared" si="0"/>
        <v>0.57000000000000028</v>
      </c>
      <c r="AE50" s="138">
        <f t="shared" si="1"/>
        <v>8.0998987512657106E-3</v>
      </c>
    </row>
    <row r="51" spans="1:31" x14ac:dyDescent="0.25">
      <c r="A51" s="261"/>
      <c r="B51" s="261"/>
      <c r="C51" s="261"/>
      <c r="D51" s="262"/>
      <c r="E51" s="262"/>
      <c r="F51" s="262"/>
      <c r="G51" s="261"/>
      <c r="H51" s="261"/>
      <c r="I51" s="262"/>
      <c r="J51" s="262"/>
      <c r="K51" s="262"/>
      <c r="L51" s="261"/>
      <c r="M51" s="261"/>
      <c r="O51" s="2"/>
      <c r="P51" s="83">
        <v>0.99</v>
      </c>
      <c r="Q51" s="83">
        <f t="shared" si="11"/>
        <v>31.521599999999999</v>
      </c>
      <c r="R51" s="83"/>
      <c r="T51" s="87" t="s">
        <v>110</v>
      </c>
      <c r="U51" s="131">
        <v>629782</v>
      </c>
      <c r="W51" s="94">
        <v>42695</v>
      </c>
      <c r="X51" s="365">
        <v>29.46</v>
      </c>
      <c r="Y51" s="40">
        <v>29.8</v>
      </c>
      <c r="Z51" s="40">
        <v>29.07</v>
      </c>
      <c r="AA51" s="365">
        <v>29.63</v>
      </c>
      <c r="AB51" s="95">
        <v>500100</v>
      </c>
      <c r="AC51" s="243">
        <v>29.63</v>
      </c>
      <c r="AD51" s="2">
        <f t="shared" si="0"/>
        <v>0.73000000000000043</v>
      </c>
      <c r="AE51" s="138">
        <f t="shared" si="1"/>
        <v>4.0664181633343066E-3</v>
      </c>
    </row>
    <row r="52" spans="1:31" x14ac:dyDescent="0.25">
      <c r="A52" s="261"/>
      <c r="B52" s="261"/>
      <c r="C52" s="261"/>
      <c r="D52" s="262"/>
      <c r="E52" s="262"/>
      <c r="F52" s="262"/>
      <c r="G52" s="261"/>
      <c r="H52" s="261"/>
      <c r="I52" s="262"/>
      <c r="J52" s="262"/>
      <c r="K52" s="262"/>
      <c r="L52" s="261"/>
      <c r="M52" s="261"/>
      <c r="O52" s="2"/>
      <c r="P52" s="83">
        <v>0.98</v>
      </c>
      <c r="Q52" s="83">
        <f t="shared" si="11"/>
        <v>31.203199999999999</v>
      </c>
      <c r="R52" s="83"/>
      <c r="T52" s="87" t="s">
        <v>108</v>
      </c>
      <c r="U52" s="130" t="s">
        <v>553</v>
      </c>
      <c r="W52" s="94">
        <v>42692</v>
      </c>
      <c r="X52" s="365">
        <v>30</v>
      </c>
      <c r="Y52" s="40">
        <v>30.16</v>
      </c>
      <c r="Z52" s="40">
        <v>29.44</v>
      </c>
      <c r="AA52" s="365">
        <v>29.51</v>
      </c>
      <c r="AB52" s="95">
        <v>489500</v>
      </c>
      <c r="AC52" s="243">
        <v>29.51</v>
      </c>
      <c r="AD52" s="2">
        <f t="shared" si="0"/>
        <v>0.71999999999999886</v>
      </c>
      <c r="AE52" s="138">
        <f t="shared" si="1"/>
        <v>-1.205222631402747E-2</v>
      </c>
    </row>
    <row r="53" spans="1:31" x14ac:dyDescent="0.25">
      <c r="A53" s="261"/>
      <c r="B53" s="261"/>
      <c r="C53" s="261"/>
      <c r="D53" s="262"/>
      <c r="E53" s="262"/>
      <c r="F53" s="262"/>
      <c r="G53" s="261"/>
      <c r="H53" s="261"/>
      <c r="I53" s="262"/>
      <c r="J53" s="262"/>
      <c r="K53" s="262"/>
      <c r="L53" s="261"/>
      <c r="M53" s="261"/>
      <c r="O53" s="2"/>
      <c r="P53" s="83">
        <v>0.97</v>
      </c>
      <c r="Q53" s="83">
        <f t="shared" si="11"/>
        <v>30.884799999999998</v>
      </c>
      <c r="R53" s="83"/>
      <c r="T53" s="87" t="s">
        <v>111</v>
      </c>
      <c r="U53" s="130">
        <v>23.34</v>
      </c>
      <c r="W53" s="94">
        <v>42691</v>
      </c>
      <c r="X53" s="365">
        <v>29.83</v>
      </c>
      <c r="Y53" s="40">
        <v>30.18</v>
      </c>
      <c r="Z53" s="40">
        <v>29.65</v>
      </c>
      <c r="AA53" s="365">
        <v>29.87</v>
      </c>
      <c r="AB53" s="95">
        <v>412000</v>
      </c>
      <c r="AC53" s="243">
        <v>29.87</v>
      </c>
      <c r="AD53" s="2">
        <f t="shared" si="0"/>
        <v>0.53000000000000114</v>
      </c>
      <c r="AE53" s="138">
        <f t="shared" si="1"/>
        <v>4.3712172158709706E-3</v>
      </c>
    </row>
    <row r="54" spans="1:31" x14ac:dyDescent="0.25">
      <c r="A54" s="261"/>
      <c r="B54" s="261"/>
      <c r="C54" s="261"/>
      <c r="D54" s="262"/>
      <c r="E54" s="262"/>
      <c r="F54" s="262"/>
      <c r="G54" s="261"/>
      <c r="H54" s="261"/>
      <c r="I54" s="262"/>
      <c r="J54" s="262"/>
      <c r="K54" s="262"/>
      <c r="L54" s="261"/>
      <c r="M54" s="261"/>
      <c r="O54" s="2"/>
      <c r="P54" s="83">
        <v>0.96</v>
      </c>
      <c r="Q54" s="83">
        <f t="shared" si="11"/>
        <v>30.566399999999998</v>
      </c>
      <c r="R54" s="83"/>
      <c r="T54" s="87" t="s">
        <v>112</v>
      </c>
      <c r="U54" s="130">
        <v>1.35</v>
      </c>
      <c r="W54" s="94">
        <v>42690</v>
      </c>
      <c r="X54" s="365">
        <v>29.47</v>
      </c>
      <c r="Y54" s="40">
        <v>29.88</v>
      </c>
      <c r="Z54" s="40">
        <v>29.41</v>
      </c>
      <c r="AA54" s="365">
        <v>29.74</v>
      </c>
      <c r="AB54" s="95">
        <v>690700</v>
      </c>
      <c r="AC54" s="243">
        <v>29.74</v>
      </c>
      <c r="AD54" s="2">
        <f t="shared" si="0"/>
        <v>0.46999999999999886</v>
      </c>
      <c r="AE54" s="138">
        <f t="shared" si="1"/>
        <v>1.0190217391304213E-2</v>
      </c>
    </row>
    <row r="55" spans="1:31" x14ac:dyDescent="0.25">
      <c r="A55" s="32" t="s">
        <v>81</v>
      </c>
      <c r="B55" s="14"/>
      <c r="C55" s="14">
        <f>SUM(C39:C43)</f>
        <v>50</v>
      </c>
      <c r="D55" s="14"/>
      <c r="E55" s="14"/>
      <c r="F55" s="18">
        <f>SUM(F39:F43)</f>
        <v>1559</v>
      </c>
      <c r="G55" s="18"/>
      <c r="H55" s="73">
        <f>SUM(H39:H43)</f>
        <v>50</v>
      </c>
      <c r="I55" s="18"/>
      <c r="J55" s="18"/>
      <c r="K55" s="18">
        <f>SUM(K39:K43)</f>
        <v>1580.97</v>
      </c>
      <c r="L55" s="18"/>
      <c r="M55" s="18">
        <f>SUM(M39:M43)</f>
        <v>0</v>
      </c>
      <c r="O55" s="2"/>
      <c r="P55" s="83">
        <v>0.95</v>
      </c>
      <c r="Q55" s="83">
        <f t="shared" si="11"/>
        <v>30.247999999999998</v>
      </c>
      <c r="R55" s="83"/>
      <c r="T55" s="87" t="s">
        <v>109</v>
      </c>
      <c r="U55" s="130" t="s">
        <v>123</v>
      </c>
      <c r="W55" s="94">
        <v>42689</v>
      </c>
      <c r="X55" s="365">
        <v>29.89</v>
      </c>
      <c r="Y55" s="40">
        <v>30.22</v>
      </c>
      <c r="Z55" s="40">
        <v>29.38</v>
      </c>
      <c r="AA55" s="365">
        <v>29.44</v>
      </c>
      <c r="AB55" s="95">
        <v>679600</v>
      </c>
      <c r="AC55" s="243">
        <v>29.44</v>
      </c>
      <c r="AD55" s="2">
        <f t="shared" si="0"/>
        <v>0.83999999999999986</v>
      </c>
      <c r="AE55" s="138">
        <f t="shared" si="1"/>
        <v>-1.0420168067226898E-2</v>
      </c>
    </row>
    <row r="56" spans="1:31" x14ac:dyDescent="0.25">
      <c r="O56" s="2"/>
      <c r="P56" s="83">
        <v>0.94</v>
      </c>
      <c r="Q56" s="83">
        <f t="shared" si="11"/>
        <v>29.929599999999997</v>
      </c>
      <c r="R56" s="83"/>
      <c r="W56" s="94">
        <v>42688</v>
      </c>
      <c r="X56" s="365">
        <v>29.22</v>
      </c>
      <c r="Y56" s="40">
        <v>29.89</v>
      </c>
      <c r="Z56" s="40">
        <v>29.07</v>
      </c>
      <c r="AA56" s="365">
        <v>29.75</v>
      </c>
      <c r="AB56" s="95">
        <v>1502100</v>
      </c>
      <c r="AC56" s="243">
        <v>29.75</v>
      </c>
      <c r="AD56" s="2">
        <f t="shared" si="0"/>
        <v>0.82000000000000028</v>
      </c>
      <c r="AE56" s="138">
        <f t="shared" si="1"/>
        <v>1.744186046511631E-2</v>
      </c>
    </row>
    <row r="57" spans="1:31" x14ac:dyDescent="0.25">
      <c r="O57" s="2"/>
      <c r="P57" s="83">
        <v>0.93</v>
      </c>
      <c r="Q57" s="83">
        <f t="shared" si="11"/>
        <v>29.6112</v>
      </c>
      <c r="R57" s="83"/>
      <c r="W57" s="94">
        <v>42685</v>
      </c>
      <c r="X57" s="365">
        <v>29.47</v>
      </c>
      <c r="Y57" s="40">
        <v>29.65</v>
      </c>
      <c r="Z57" s="40">
        <v>29.08</v>
      </c>
      <c r="AA57" s="365">
        <v>29.24</v>
      </c>
      <c r="AB57" s="95">
        <v>574200</v>
      </c>
      <c r="AC57" s="243">
        <v>29.24</v>
      </c>
      <c r="AD57" s="2">
        <f t="shared" si="0"/>
        <v>0.57000000000000028</v>
      </c>
      <c r="AE57" s="138">
        <f t="shared" si="1"/>
        <v>-9.1494408675026895E-3</v>
      </c>
    </row>
    <row r="58" spans="1:31" x14ac:dyDescent="0.25">
      <c r="O58" s="2"/>
      <c r="P58" s="83">
        <v>0.92</v>
      </c>
      <c r="Q58" s="83">
        <f t="shared" si="11"/>
        <v>29.2928</v>
      </c>
      <c r="R58" s="83"/>
      <c r="W58" s="94">
        <v>42684</v>
      </c>
      <c r="X58" s="365">
        <v>29.52</v>
      </c>
      <c r="Y58" s="40">
        <v>29.7</v>
      </c>
      <c r="Z58" s="40">
        <v>29.21</v>
      </c>
      <c r="AA58" s="365">
        <v>29.51</v>
      </c>
      <c r="AB58" s="95">
        <v>750300</v>
      </c>
      <c r="AC58" s="243">
        <v>29.51</v>
      </c>
      <c r="AD58" s="2">
        <f t="shared" si="0"/>
        <v>0.48999999999999844</v>
      </c>
      <c r="AE58" s="138">
        <f t="shared" si="1"/>
        <v>5.1089918256130851E-3</v>
      </c>
    </row>
    <row r="59" spans="1:31" x14ac:dyDescent="0.25">
      <c r="O59" s="2"/>
      <c r="P59" s="83">
        <v>0.91</v>
      </c>
      <c r="Q59" s="83">
        <f t="shared" si="11"/>
        <v>28.974399999999999</v>
      </c>
      <c r="R59" s="83"/>
      <c r="W59" s="94">
        <v>42683</v>
      </c>
      <c r="X59" s="365">
        <v>28.7</v>
      </c>
      <c r="Y59" s="40">
        <v>29.59</v>
      </c>
      <c r="Z59" s="40">
        <v>28.27</v>
      </c>
      <c r="AA59" s="365">
        <v>29.36</v>
      </c>
      <c r="AB59" s="95">
        <v>738100</v>
      </c>
      <c r="AC59" s="243">
        <v>29.36</v>
      </c>
      <c r="AD59" s="2">
        <f t="shared" si="0"/>
        <v>1.3200000000000003</v>
      </c>
      <c r="AE59" s="138">
        <f t="shared" si="1"/>
        <v>-2.7173913043478937E-3</v>
      </c>
    </row>
    <row r="60" spans="1:31" x14ac:dyDescent="0.25">
      <c r="O60" s="2"/>
      <c r="P60" s="83">
        <v>0.9</v>
      </c>
      <c r="Q60" s="83">
        <f t="shared" si="11"/>
        <v>28.655999999999999</v>
      </c>
      <c r="R60" s="83"/>
      <c r="W60" s="94">
        <v>42682</v>
      </c>
      <c r="X60" s="365">
        <v>30.02</v>
      </c>
      <c r="Y60" s="40">
        <v>31.72</v>
      </c>
      <c r="Z60" s="40">
        <v>29.35</v>
      </c>
      <c r="AA60" s="365">
        <v>29.44</v>
      </c>
      <c r="AB60" s="95">
        <v>3219600</v>
      </c>
      <c r="AC60" s="243">
        <v>29.44</v>
      </c>
      <c r="AD60" s="2">
        <f t="shared" si="0"/>
        <v>2.3699999999999974</v>
      </c>
      <c r="AE60" s="138">
        <f t="shared" si="1"/>
        <v>3.26201332865661E-2</v>
      </c>
    </row>
    <row r="61" spans="1:31" x14ac:dyDescent="0.25">
      <c r="W61" s="94">
        <v>42681</v>
      </c>
      <c r="X61" s="365">
        <v>30.04</v>
      </c>
      <c r="Y61" s="40">
        <v>30.26</v>
      </c>
      <c r="Z61" s="40">
        <v>28.32</v>
      </c>
      <c r="AA61" s="365">
        <v>28.51</v>
      </c>
      <c r="AB61" s="95">
        <v>1914800</v>
      </c>
      <c r="AC61" s="243">
        <v>28.51</v>
      </c>
      <c r="AD61" s="2">
        <f t="shared" si="0"/>
        <v>1.9400000000000013</v>
      </c>
      <c r="AE61" s="138">
        <f t="shared" si="1"/>
        <v>-5.7208994708994654E-2</v>
      </c>
    </row>
    <row r="62" spans="1:31" x14ac:dyDescent="0.25">
      <c r="W62" s="94">
        <v>42678</v>
      </c>
      <c r="X62" s="365">
        <v>30.18</v>
      </c>
      <c r="Y62" s="40">
        <v>30.76</v>
      </c>
      <c r="Z62" s="40">
        <v>29.95</v>
      </c>
      <c r="AA62" s="365">
        <v>30.24</v>
      </c>
      <c r="AB62" s="95">
        <v>651000</v>
      </c>
      <c r="AC62" s="243">
        <v>30.24</v>
      </c>
      <c r="AD62" s="2">
        <f t="shared" si="0"/>
        <v>0.81000000000000227</v>
      </c>
      <c r="AE62" s="138">
        <f t="shared" si="1"/>
        <v>0</v>
      </c>
    </row>
    <row r="63" spans="1:31" x14ac:dyDescent="0.25">
      <c r="W63" s="94">
        <v>42677</v>
      </c>
      <c r="X63" s="365">
        <v>31.67</v>
      </c>
      <c r="Y63" s="40">
        <v>31.89</v>
      </c>
      <c r="Z63" s="40">
        <v>30.1</v>
      </c>
      <c r="AA63" s="365">
        <v>30.24</v>
      </c>
      <c r="AB63" s="95">
        <v>2059400</v>
      </c>
      <c r="AC63" s="243">
        <v>30.24</v>
      </c>
      <c r="AD63" s="2">
        <f t="shared" si="0"/>
        <v>1.7899999999999991</v>
      </c>
      <c r="AE63" s="138">
        <f t="shared" si="1"/>
        <v>-4.0913415794481489E-2</v>
      </c>
    </row>
    <row r="64" spans="1:31" x14ac:dyDescent="0.25">
      <c r="W64" s="94">
        <v>42676</v>
      </c>
      <c r="X64" s="365">
        <v>31.2</v>
      </c>
      <c r="Y64" s="40">
        <v>31.89</v>
      </c>
      <c r="Z64" s="40">
        <v>31.2</v>
      </c>
      <c r="AA64" s="365">
        <v>31.53</v>
      </c>
      <c r="AB64" s="95">
        <v>653700</v>
      </c>
      <c r="AC64" s="243">
        <v>31.53</v>
      </c>
      <c r="AD64" s="2">
        <f t="shared" si="0"/>
        <v>0.69000000000000128</v>
      </c>
      <c r="AE64" s="138">
        <f t="shared" si="1"/>
        <v>1.2849341471249609E-2</v>
      </c>
    </row>
    <row r="65" spans="23:31" x14ac:dyDescent="0.25">
      <c r="W65" s="94">
        <v>42675</v>
      </c>
      <c r="X65" s="365">
        <v>31.74</v>
      </c>
      <c r="Y65" s="40">
        <v>31.74</v>
      </c>
      <c r="Z65" s="40">
        <v>30.78</v>
      </c>
      <c r="AA65" s="365">
        <v>31.13</v>
      </c>
      <c r="AB65" s="95">
        <v>896800</v>
      </c>
      <c r="AC65" s="243">
        <v>31.13</v>
      </c>
      <c r="AD65" s="2">
        <f t="shared" si="0"/>
        <v>0.9599999999999973</v>
      </c>
      <c r="AE65" s="138">
        <f t="shared" si="1"/>
        <v>-2.229899497487442E-2</v>
      </c>
    </row>
    <row r="66" spans="23:31" x14ac:dyDescent="0.25">
      <c r="W66" s="94">
        <v>42674</v>
      </c>
      <c r="X66" s="365">
        <v>31.85</v>
      </c>
      <c r="Y66" s="40">
        <v>32.130000000000003</v>
      </c>
      <c r="Z66" s="40">
        <v>31.79</v>
      </c>
      <c r="AA66" s="365">
        <v>31.84</v>
      </c>
      <c r="AB66" s="95">
        <v>564700</v>
      </c>
      <c r="AC66" s="243">
        <v>31.84</v>
      </c>
      <c r="AD66" s="2">
        <f t="shared" si="0"/>
        <v>0.34000000000000341</v>
      </c>
      <c r="AE66" s="138">
        <f t="shared" si="1"/>
        <v>1.2578616352201255E-3</v>
      </c>
    </row>
    <row r="67" spans="23:31" x14ac:dyDescent="0.25">
      <c r="W67" s="94">
        <v>42671</v>
      </c>
      <c r="X67" s="365">
        <v>32.07</v>
      </c>
      <c r="Y67" s="40">
        <v>32.24</v>
      </c>
      <c r="Z67" s="40">
        <v>31.67</v>
      </c>
      <c r="AA67" s="365">
        <v>31.8</v>
      </c>
      <c r="AB67" s="95">
        <v>400000</v>
      </c>
      <c r="AC67" s="243">
        <v>31.8</v>
      </c>
      <c r="AD67" s="2">
        <f t="shared" si="0"/>
        <v>0.57000000000000028</v>
      </c>
      <c r="AE67" s="138" t="e">
        <f t="shared" si="1"/>
        <v>#DIV/0!</v>
      </c>
    </row>
    <row r="68" spans="23:31" x14ac:dyDescent="0.25">
      <c r="W68" s="94" t="s">
        <v>121</v>
      </c>
      <c r="X68" s="10"/>
      <c r="Y68" s="40"/>
      <c r="Z68" s="40"/>
      <c r="AA68" s="10"/>
      <c r="AB68" s="95"/>
      <c r="AC68" s="243"/>
      <c r="AD68" s="2">
        <f>Y68-Z68</f>
        <v>0</v>
      </c>
      <c r="AE68" s="138" t="e">
        <f>AC68/AC69-1</f>
        <v>#DIV/0!</v>
      </c>
    </row>
    <row r="69" spans="23:31" x14ac:dyDescent="0.25">
      <c r="W69" s="215"/>
      <c r="X69" s="96"/>
      <c r="Y69" s="243"/>
      <c r="Z69" s="243"/>
      <c r="AA69" s="96"/>
      <c r="AB69" s="216"/>
      <c r="AC69" s="243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P40:P60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{37E1C477-5BBA-4531-A326-6B5B896DB9B2}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9:F35">
    <cfRule type="expression" dxfId="961" priority="11">
      <formula>F29&gt;0</formula>
    </cfRule>
    <cfRule type="expression" dxfId="960" priority="12">
      <formula>F29&lt;0</formula>
    </cfRule>
  </conditionalFormatting>
  <conditionalFormatting sqref="F29:F35">
    <cfRule type="expression" dxfId="959" priority="13">
      <formula>F29&gt;0</formula>
    </cfRule>
    <cfRule type="expression" dxfId="958" priority="14">
      <formula>F29&lt;0</formula>
    </cfRule>
  </conditionalFormatting>
  <conditionalFormatting sqref="H29:H35">
    <cfRule type="expression" dxfId="957" priority="9">
      <formula>H29&gt;0</formula>
    </cfRule>
    <cfRule type="expression" dxfId="956" priority="10">
      <formula>H29&lt;0</formula>
    </cfRule>
  </conditionalFormatting>
  <conditionalFormatting sqref="F21:F28">
    <cfRule type="expression" dxfId="955" priority="7">
      <formula>F21&gt;0</formula>
    </cfRule>
    <cfRule type="expression" dxfId="954" priority="8">
      <formula>F21&lt;0</formula>
    </cfRule>
  </conditionalFormatting>
  <conditionalFormatting sqref="H21:H28">
    <cfRule type="expression" dxfId="953" priority="5">
      <formula>H21&gt;0</formula>
    </cfRule>
    <cfRule type="expression" dxfId="952" priority="6">
      <formula>H21&lt;0</formula>
    </cfRule>
  </conditionalFormatting>
  <conditionalFormatting sqref="Q8">
    <cfRule type="expression" dxfId="951" priority="1">
      <formula>Q8&gt;0</formula>
    </cfRule>
    <cfRule type="expression" dxfId="950" priority="2">
      <formula>Q8&lt;0</formula>
    </cfRule>
  </conditionalFormatting>
  <conditionalFormatting sqref="Q7">
    <cfRule type="expression" dxfId="949" priority="3">
      <formula>Q7&gt;0</formula>
    </cfRule>
    <cfRule type="expression" dxfId="948" priority="4">
      <formula>Q7&lt;0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7E1C477-5BBA-4531-A326-6B5B896DB9B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6.140625" customWidth="1"/>
    <col min="23" max="23" width="14.42578125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285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0</v>
      </c>
      <c r="T2" s="1"/>
      <c r="W2" s="133">
        <v>42768</v>
      </c>
      <c r="X2" s="10">
        <v>31.53</v>
      </c>
      <c r="Y2" s="10">
        <v>31.59</v>
      </c>
      <c r="Z2" s="10">
        <v>31.29</v>
      </c>
      <c r="AA2" s="10">
        <v>31.46</v>
      </c>
      <c r="AB2" s="95">
        <v>4701000</v>
      </c>
      <c r="AC2" s="10">
        <v>31.46</v>
      </c>
      <c r="AD2" s="2">
        <f>Y2-Z2</f>
        <v>0.30000000000000071</v>
      </c>
      <c r="AE2" s="138">
        <f>AC2/AC3-1</f>
        <v>-5.0600885515496019E-3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31.4</v>
      </c>
      <c r="T3" s="1"/>
      <c r="W3" s="133">
        <v>42767</v>
      </c>
      <c r="X3" s="10">
        <v>31.32</v>
      </c>
      <c r="Y3" s="10">
        <v>31.75</v>
      </c>
      <c r="Z3" s="10">
        <v>31.32</v>
      </c>
      <c r="AA3" s="10">
        <v>31.62</v>
      </c>
      <c r="AB3" s="95">
        <v>7399600</v>
      </c>
      <c r="AC3" s="10">
        <v>31.62</v>
      </c>
      <c r="AD3" s="2">
        <f t="shared" ref="AD3:AD66" si="0">Y3-Z3</f>
        <v>0.42999999999999972</v>
      </c>
      <c r="AE3" s="138">
        <f t="shared" ref="AE3:AE66" si="1">AC3/AC4-1</f>
        <v>7.6481835564055078E-3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31.4</v>
      </c>
      <c r="R4" s="505">
        <v>-1.9E-3</v>
      </c>
      <c r="T4" s="163"/>
      <c r="U4" s="1"/>
      <c r="W4" s="133">
        <v>42766</v>
      </c>
      <c r="X4" s="10">
        <v>31.2</v>
      </c>
      <c r="Y4" s="10">
        <v>31.44</v>
      </c>
      <c r="Z4" s="10">
        <v>31.05</v>
      </c>
      <c r="AA4" s="10">
        <v>31.38</v>
      </c>
      <c r="AB4" s="95">
        <v>5161700</v>
      </c>
      <c r="AC4" s="10">
        <v>31.38</v>
      </c>
      <c r="AD4" s="2">
        <f t="shared" si="0"/>
        <v>0.39000000000000057</v>
      </c>
      <c r="AE4" s="138">
        <f t="shared" si="1"/>
        <v>3.1877590054185667E-4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42765</v>
      </c>
      <c r="X5" s="10">
        <v>31.28</v>
      </c>
      <c r="Y5" s="10">
        <v>31.4</v>
      </c>
      <c r="Z5" s="10">
        <v>31</v>
      </c>
      <c r="AA5" s="10">
        <v>31.37</v>
      </c>
      <c r="AB5" s="95">
        <v>4269900</v>
      </c>
      <c r="AC5" s="10">
        <v>31.37</v>
      </c>
      <c r="AD5" s="2">
        <f t="shared" si="0"/>
        <v>0.39999999999999858</v>
      </c>
      <c r="AE5" s="138">
        <f t="shared" si="1"/>
        <v>2.5567273889421926E-3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42762</v>
      </c>
      <c r="X6" s="10">
        <v>31.14</v>
      </c>
      <c r="Y6" s="10">
        <v>31.52</v>
      </c>
      <c r="Z6" s="10">
        <v>30.88</v>
      </c>
      <c r="AA6" s="10">
        <v>31.29</v>
      </c>
      <c r="AB6" s="95">
        <v>8259000</v>
      </c>
      <c r="AC6" s="10">
        <v>31.29</v>
      </c>
      <c r="AD6" s="2">
        <f t="shared" si="0"/>
        <v>0.64000000000000057</v>
      </c>
      <c r="AE6" s="138">
        <f t="shared" si="1"/>
        <v>9.3548387096773489E-3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181</v>
      </c>
      <c r="Q7" s="2">
        <f>Q10+Q8</f>
        <v>98.449999999999818</v>
      </c>
      <c r="R7">
        <v>0</v>
      </c>
      <c r="W7" s="133">
        <v>42761</v>
      </c>
      <c r="X7" s="10">
        <v>30.43</v>
      </c>
      <c r="Y7" s="10">
        <v>31.61</v>
      </c>
      <c r="Z7" s="10">
        <v>30.31</v>
      </c>
      <c r="AA7" s="10">
        <v>31</v>
      </c>
      <c r="AB7" s="95">
        <v>12695500</v>
      </c>
      <c r="AC7" s="10">
        <v>31</v>
      </c>
      <c r="AD7" s="2">
        <f t="shared" si="0"/>
        <v>1.3000000000000007</v>
      </c>
      <c r="AE7" s="138">
        <f t="shared" si="1"/>
        <v>2.3102310231023049E-2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184</v>
      </c>
      <c r="P8" s="34"/>
      <c r="Q8" s="2">
        <f>K18+M18-F18+Q2*Q4</f>
        <v>0</v>
      </c>
      <c r="W8" s="133">
        <v>42760</v>
      </c>
      <c r="X8" s="10">
        <v>30.37</v>
      </c>
      <c r="Y8" s="10">
        <v>30.44</v>
      </c>
      <c r="Z8" s="10">
        <v>30.17</v>
      </c>
      <c r="AA8" s="10">
        <v>30.3</v>
      </c>
      <c r="AB8" s="95">
        <v>5237500</v>
      </c>
      <c r="AC8" s="10">
        <v>30.3</v>
      </c>
      <c r="AD8" s="2">
        <f t="shared" si="0"/>
        <v>0.26999999999999957</v>
      </c>
      <c r="AE8" s="138">
        <f t="shared" si="1"/>
        <v>6.6050198150602313E-4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214</v>
      </c>
      <c r="Q9" s="138">
        <f>IF(Q2=0, 0, Q8/Q6)</f>
        <v>0</v>
      </c>
      <c r="W9" s="133">
        <v>42759</v>
      </c>
      <c r="X9" s="10">
        <v>30.11</v>
      </c>
      <c r="Y9" s="10">
        <v>30.3</v>
      </c>
      <c r="Z9" s="10">
        <v>29.89</v>
      </c>
      <c r="AA9" s="10">
        <v>30.28</v>
      </c>
      <c r="AB9" s="95">
        <v>4743000</v>
      </c>
      <c r="AC9" s="10">
        <v>30.28</v>
      </c>
      <c r="AD9" s="2">
        <f t="shared" si="0"/>
        <v>0.41000000000000014</v>
      </c>
      <c r="AE9" s="138">
        <f t="shared" si="1"/>
        <v>9.3333333333334156E-3</v>
      </c>
    </row>
    <row r="10" spans="1:31" x14ac:dyDescent="0.25">
      <c r="H10" s="72"/>
      <c r="O10" s="11" t="s">
        <v>213</v>
      </c>
      <c r="P10" s="34"/>
      <c r="Q10" s="2">
        <f>M44</f>
        <v>98.449999999999818</v>
      </c>
      <c r="W10" s="133">
        <v>42758</v>
      </c>
      <c r="X10" s="10">
        <v>30.06</v>
      </c>
      <c r="Y10" s="10">
        <v>30.17</v>
      </c>
      <c r="Z10" s="10">
        <v>29.82</v>
      </c>
      <c r="AA10" s="10">
        <v>30</v>
      </c>
      <c r="AB10" s="95">
        <v>5222500</v>
      </c>
      <c r="AC10" s="10">
        <v>30</v>
      </c>
      <c r="AD10" s="2">
        <f t="shared" si="0"/>
        <v>0.35000000000000142</v>
      </c>
      <c r="AE10" s="138">
        <f t="shared" si="1"/>
        <v>-1.6638935108153063E-3</v>
      </c>
    </row>
    <row r="11" spans="1:31" x14ac:dyDescent="0.25">
      <c r="H11" s="72"/>
      <c r="O11" s="11" t="s">
        <v>178</v>
      </c>
      <c r="P11" s="34"/>
      <c r="Q11" s="138">
        <f>IF(U58="N/A (N/A)", 0, VALUE(TRIM(CLEAN(MID(U58, FIND("(", U58)+1, 5)))))</f>
        <v>1.15E-2</v>
      </c>
      <c r="W11" s="133">
        <v>42755</v>
      </c>
      <c r="X11" s="10">
        <v>29.88</v>
      </c>
      <c r="Y11" s="10">
        <v>30.13</v>
      </c>
      <c r="Z11" s="10">
        <v>29.84</v>
      </c>
      <c r="AA11" s="10">
        <v>30.05</v>
      </c>
      <c r="AB11" s="95">
        <v>6619800</v>
      </c>
      <c r="AC11" s="10">
        <v>30.05</v>
      </c>
      <c r="AD11" s="2">
        <f t="shared" si="0"/>
        <v>0.28999999999999915</v>
      </c>
      <c r="AE11" s="138">
        <f t="shared" si="1"/>
        <v>8.3892617449663476E-3</v>
      </c>
    </row>
    <row r="12" spans="1:31" x14ac:dyDescent="0.25">
      <c r="H12" s="72"/>
      <c r="W12" s="133">
        <v>42754</v>
      </c>
      <c r="X12" s="10">
        <v>30.16</v>
      </c>
      <c r="Y12" s="10">
        <v>30.37</v>
      </c>
      <c r="Z12" s="10">
        <v>29.71</v>
      </c>
      <c r="AA12" s="10">
        <v>29.8</v>
      </c>
      <c r="AB12" s="95">
        <v>9174400</v>
      </c>
      <c r="AC12" s="10">
        <v>29.8</v>
      </c>
      <c r="AD12" s="2">
        <f t="shared" si="0"/>
        <v>0.66000000000000014</v>
      </c>
      <c r="AE12" s="138">
        <f t="shared" si="1"/>
        <v>-1.5526924347538773E-2</v>
      </c>
    </row>
    <row r="13" spans="1:31" x14ac:dyDescent="0.25">
      <c r="H13" s="72"/>
      <c r="W13" s="133">
        <v>42753</v>
      </c>
      <c r="X13" s="10">
        <v>30.01</v>
      </c>
      <c r="Y13" s="10">
        <v>30.33</v>
      </c>
      <c r="Z13" s="10">
        <v>29.92</v>
      </c>
      <c r="AA13" s="10">
        <v>30.27</v>
      </c>
      <c r="AB13" s="95">
        <v>7185800</v>
      </c>
      <c r="AC13" s="10">
        <v>30.27</v>
      </c>
      <c r="AD13" s="2">
        <f t="shared" si="0"/>
        <v>0.40999999999999659</v>
      </c>
      <c r="AE13" s="138">
        <f t="shared" si="1"/>
        <v>1.1359839625793455E-2</v>
      </c>
    </row>
    <row r="14" spans="1:31" x14ac:dyDescent="0.25">
      <c r="H14" s="72"/>
      <c r="W14" s="133">
        <v>42752</v>
      </c>
      <c r="X14" s="10">
        <v>29.89</v>
      </c>
      <c r="Y14" s="10">
        <v>30.11</v>
      </c>
      <c r="Z14" s="10">
        <v>29.86</v>
      </c>
      <c r="AA14" s="10">
        <v>29.93</v>
      </c>
      <c r="AB14" s="95">
        <v>4848100</v>
      </c>
      <c r="AC14" s="10">
        <v>29.93</v>
      </c>
      <c r="AD14" s="2">
        <f t="shared" si="0"/>
        <v>0.25</v>
      </c>
      <c r="AE14" s="138">
        <f t="shared" si="1"/>
        <v>-3.3300033300033283E-3</v>
      </c>
    </row>
    <row r="15" spans="1:31" x14ac:dyDescent="0.25">
      <c r="H15" s="72"/>
      <c r="W15" s="133">
        <v>42748</v>
      </c>
      <c r="X15" s="10">
        <v>29.77</v>
      </c>
      <c r="Y15" s="10">
        <v>30.09</v>
      </c>
      <c r="Z15" s="10">
        <v>29.62</v>
      </c>
      <c r="AA15" s="10">
        <v>30.03</v>
      </c>
      <c r="AB15" s="95">
        <v>5403900</v>
      </c>
      <c r="AC15" s="10">
        <v>30.03</v>
      </c>
      <c r="AD15" s="2">
        <f t="shared" si="0"/>
        <v>0.46999999999999886</v>
      </c>
      <c r="AE15" s="138">
        <f t="shared" si="1"/>
        <v>7.3800738007381295E-3</v>
      </c>
    </row>
    <row r="16" spans="1:31" x14ac:dyDescent="0.25">
      <c r="H16" s="72"/>
      <c r="W16" s="133">
        <v>42747</v>
      </c>
      <c r="X16" s="10">
        <v>30.05</v>
      </c>
      <c r="Y16" s="10">
        <v>30.07</v>
      </c>
      <c r="Z16" s="10">
        <v>29.67</v>
      </c>
      <c r="AA16" s="10">
        <v>29.81</v>
      </c>
      <c r="AB16" s="95">
        <v>5935800</v>
      </c>
      <c r="AC16" s="10">
        <v>29.81</v>
      </c>
      <c r="AD16" s="2">
        <f t="shared" si="0"/>
        <v>0.39999999999999858</v>
      </c>
      <c r="AE16" s="138">
        <f t="shared" si="1"/>
        <v>-8.9760638297872175E-3</v>
      </c>
    </row>
    <row r="17" spans="1:31" x14ac:dyDescent="0.25">
      <c r="W17" s="133">
        <v>42746</v>
      </c>
      <c r="X17" s="10">
        <v>29.72</v>
      </c>
      <c r="Y17" s="10">
        <v>30.1</v>
      </c>
      <c r="Z17" s="10">
        <v>29.59</v>
      </c>
      <c r="AA17" s="10">
        <v>30.08</v>
      </c>
      <c r="AB17" s="95">
        <v>8088000</v>
      </c>
      <c r="AC17" s="10">
        <v>30.08</v>
      </c>
      <c r="AD17" s="2">
        <f t="shared" si="0"/>
        <v>0.51000000000000156</v>
      </c>
      <c r="AE17" s="138">
        <f t="shared" si="1"/>
        <v>1.381867205931897E-2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42745</v>
      </c>
      <c r="X18" s="10">
        <v>29.58</v>
      </c>
      <c r="Y18" s="10">
        <v>30.08</v>
      </c>
      <c r="Z18" s="10">
        <v>29.25</v>
      </c>
      <c r="AA18" s="10">
        <v>29.67</v>
      </c>
      <c r="AB18" s="95">
        <v>8403200</v>
      </c>
      <c r="AC18" s="10">
        <v>29.67</v>
      </c>
      <c r="AD18" s="2">
        <f t="shared" si="0"/>
        <v>0.82999999999999829</v>
      </c>
      <c r="AE18" s="138">
        <f t="shared" si="1"/>
        <v>6.7865626060401585E-3</v>
      </c>
    </row>
    <row r="19" spans="1:31" ht="15.75" thickBot="1" x14ac:dyDescent="0.3">
      <c r="A19" s="356" t="s">
        <v>198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 t="shared" ref="M19" si="2">SumByColor($A$19,M2:M17)</f>
        <v>0</v>
      </c>
      <c r="W19" s="133">
        <v>42744</v>
      </c>
      <c r="X19" s="10">
        <v>29.58</v>
      </c>
      <c r="Y19" s="10">
        <v>29.66</v>
      </c>
      <c r="Z19" s="10">
        <v>29.25</v>
      </c>
      <c r="AA19" s="10">
        <v>29.47</v>
      </c>
      <c r="AB19" s="95">
        <v>6543300</v>
      </c>
      <c r="AC19" s="10">
        <v>29.47</v>
      </c>
      <c r="AD19" s="2">
        <f t="shared" si="0"/>
        <v>0.41000000000000014</v>
      </c>
      <c r="AE19" s="138">
        <f t="shared" si="1"/>
        <v>-1.6937669376694275E-3</v>
      </c>
    </row>
    <row r="20" spans="1:31" x14ac:dyDescent="0.25">
      <c r="W20" s="133">
        <v>42741</v>
      </c>
      <c r="X20" s="10">
        <v>29.03</v>
      </c>
      <c r="Y20" s="10">
        <v>29.6</v>
      </c>
      <c r="Z20" s="10">
        <v>28.85</v>
      </c>
      <c r="AA20" s="10">
        <v>29.52</v>
      </c>
      <c r="AB20" s="95">
        <v>8221800</v>
      </c>
      <c r="AC20" s="10">
        <v>29.52</v>
      </c>
      <c r="AD20" s="2">
        <f t="shared" si="0"/>
        <v>0.75</v>
      </c>
      <c r="AE20" s="138">
        <f t="shared" si="1"/>
        <v>1.7931034482758568E-2</v>
      </c>
    </row>
    <row r="21" spans="1:31" x14ac:dyDescent="0.25">
      <c r="W21" s="133">
        <v>42740</v>
      </c>
      <c r="X21" s="10">
        <v>28.83</v>
      </c>
      <c r="Y21" s="10">
        <v>29.17</v>
      </c>
      <c r="Z21" s="10">
        <v>28.65</v>
      </c>
      <c r="AA21" s="10">
        <v>29</v>
      </c>
      <c r="AB21" s="95">
        <v>6325400</v>
      </c>
      <c r="AC21" s="10">
        <v>29</v>
      </c>
      <c r="AD21" s="2">
        <f t="shared" si="0"/>
        <v>0.52000000000000313</v>
      </c>
      <c r="AE21" s="138">
        <f t="shared" si="1"/>
        <v>-6.8917987594763197E-4</v>
      </c>
    </row>
    <row r="22" spans="1:31" x14ac:dyDescent="0.25">
      <c r="W22" s="133">
        <v>42739</v>
      </c>
      <c r="X22" s="10">
        <v>28.88</v>
      </c>
      <c r="Y22" s="10">
        <v>29.19</v>
      </c>
      <c r="Z22" s="10">
        <v>28.76</v>
      </c>
      <c r="AA22" s="10">
        <v>29.02</v>
      </c>
      <c r="AB22" s="95">
        <v>8398700</v>
      </c>
      <c r="AC22" s="10">
        <v>29.02</v>
      </c>
      <c r="AD22" s="2">
        <f t="shared" si="0"/>
        <v>0.42999999999999972</v>
      </c>
      <c r="AE22" s="138">
        <f t="shared" si="1"/>
        <v>1.0445682451253546E-2</v>
      </c>
    </row>
    <row r="23" spans="1:31" x14ac:dyDescent="0.25">
      <c r="W23" s="133">
        <v>42738</v>
      </c>
      <c r="X23" s="10">
        <v>28.42</v>
      </c>
      <c r="Y23" s="10">
        <v>29.04</v>
      </c>
      <c r="Z23" s="10">
        <v>28.27</v>
      </c>
      <c r="AA23" s="10">
        <v>28.72</v>
      </c>
      <c r="AB23" s="95">
        <v>10597900</v>
      </c>
      <c r="AC23" s="10">
        <v>28.72</v>
      </c>
      <c r="AD23" s="2">
        <f t="shared" si="0"/>
        <v>0.76999999999999957</v>
      </c>
      <c r="AE23" s="138">
        <f t="shared" si="1"/>
        <v>2.4251069900142586E-2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155</v>
      </c>
      <c r="W24" s="133">
        <v>42734</v>
      </c>
      <c r="X24" s="10">
        <v>28.29</v>
      </c>
      <c r="Y24" s="10">
        <v>28.37</v>
      </c>
      <c r="Z24" s="10">
        <v>27.92</v>
      </c>
      <c r="AA24" s="10">
        <v>28.04</v>
      </c>
      <c r="AB24" s="95">
        <v>6161200</v>
      </c>
      <c r="AC24" s="10">
        <v>28.04</v>
      </c>
      <c r="AD24" s="2">
        <f t="shared" si="0"/>
        <v>0.44999999999999929</v>
      </c>
      <c r="AE24" s="138">
        <f t="shared" si="1"/>
        <v>-8.4865629420085575E-3</v>
      </c>
    </row>
    <row r="25" spans="1:31" x14ac:dyDescent="0.25">
      <c r="B25" s="193">
        <v>42619</v>
      </c>
      <c r="C25" s="10">
        <v>100</v>
      </c>
      <c r="D25" s="40">
        <v>24.28</v>
      </c>
      <c r="E25" s="40">
        <v>24.42</v>
      </c>
      <c r="F25" s="40">
        <f t="shared" ref="F25" si="3">C25*(E25-D25)</f>
        <v>14.000000000000057</v>
      </c>
      <c r="G25" s="40">
        <f t="shared" ref="G25" si="4">D25*C25</f>
        <v>2428</v>
      </c>
      <c r="H25" s="231">
        <f t="shared" ref="H25" si="5">(E25-D25)/D25</f>
        <v>5.7660626029654265E-3</v>
      </c>
      <c r="I25" s="40"/>
      <c r="W25" s="133">
        <v>42733</v>
      </c>
      <c r="X25" s="10">
        <v>28.6</v>
      </c>
      <c r="Y25" s="10">
        <v>28.61</v>
      </c>
      <c r="Z25" s="10">
        <v>28.21</v>
      </c>
      <c r="AA25" s="10">
        <v>28.28</v>
      </c>
      <c r="AB25" s="95">
        <v>5199900</v>
      </c>
      <c r="AC25" s="10">
        <v>28.28</v>
      </c>
      <c r="AD25" s="2">
        <f t="shared" si="0"/>
        <v>0.39999999999999858</v>
      </c>
      <c r="AE25" s="138">
        <f t="shared" si="1"/>
        <v>-5.9753954305798995E-3</v>
      </c>
    </row>
    <row r="26" spans="1:31" x14ac:dyDescent="0.25">
      <c r="B26" s="193">
        <v>42620</v>
      </c>
      <c r="C26" s="10">
        <v>100</v>
      </c>
      <c r="D26" s="40">
        <v>24.28</v>
      </c>
      <c r="E26" s="40">
        <v>24.38</v>
      </c>
      <c r="F26" s="40">
        <f t="shared" ref="F26" si="6">C26*(E26-D26)</f>
        <v>9.9999999999997868</v>
      </c>
      <c r="G26" s="40">
        <f t="shared" ref="G26" si="7">D26*C26</f>
        <v>2428</v>
      </c>
      <c r="H26" s="231">
        <f t="shared" ref="H26" si="8">(E26-D26)/D26</f>
        <v>4.1186161449752005E-3</v>
      </c>
      <c r="I26" s="40"/>
      <c r="W26" s="133">
        <v>42732</v>
      </c>
      <c r="X26" s="10">
        <v>28.52</v>
      </c>
      <c r="Y26" s="10">
        <v>28.62</v>
      </c>
      <c r="Z26" s="10">
        <v>28.33</v>
      </c>
      <c r="AA26" s="10">
        <v>28.45</v>
      </c>
      <c r="AB26" s="95">
        <v>6137900</v>
      </c>
      <c r="AC26" s="10">
        <v>28.45</v>
      </c>
      <c r="AD26" s="2">
        <f t="shared" si="0"/>
        <v>0.2900000000000027</v>
      </c>
      <c r="AE26" s="138">
        <f t="shared" si="1"/>
        <v>-3.1534688156972246E-3</v>
      </c>
    </row>
    <row r="27" spans="1:31" x14ac:dyDescent="0.25">
      <c r="B27" s="193">
        <v>42621</v>
      </c>
      <c r="C27" s="10">
        <v>100</v>
      </c>
      <c r="D27" s="40">
        <v>24.28</v>
      </c>
      <c r="E27" s="40">
        <v>24.75</v>
      </c>
      <c r="F27" s="40">
        <f t="shared" ref="F27" si="9">C27*(E27-D27)</f>
        <v>46.999999999999886</v>
      </c>
      <c r="G27" s="40">
        <f t="shared" ref="G27" si="10">D27*C27</f>
        <v>2428</v>
      </c>
      <c r="H27" s="231">
        <f t="shared" ref="H27" si="11">(E27-D27)/D27</f>
        <v>1.9357495881383809E-2</v>
      </c>
      <c r="I27" s="40"/>
      <c r="W27" s="133">
        <v>42731</v>
      </c>
      <c r="X27" s="10">
        <v>28.45</v>
      </c>
      <c r="Y27" s="10">
        <v>28.65</v>
      </c>
      <c r="Z27" s="10">
        <v>28.32</v>
      </c>
      <c r="AA27" s="10">
        <v>28.54</v>
      </c>
      <c r="AB27" s="95">
        <v>4924000</v>
      </c>
      <c r="AC27" s="10">
        <v>28.54</v>
      </c>
      <c r="AD27" s="2">
        <f t="shared" si="0"/>
        <v>0.32999999999999829</v>
      </c>
      <c r="AE27" s="138">
        <f t="shared" si="1"/>
        <v>5.6377730796335346E-3</v>
      </c>
    </row>
    <row r="28" spans="1:31" x14ac:dyDescent="0.25">
      <c r="B28" s="193">
        <v>42622</v>
      </c>
      <c r="C28" s="10">
        <v>100</v>
      </c>
      <c r="D28" s="40">
        <v>24.28</v>
      </c>
      <c r="E28" s="40">
        <v>23.57</v>
      </c>
      <c r="F28" s="40">
        <f t="shared" ref="F28" si="12">C28*(E28-D28)</f>
        <v>-71.000000000000085</v>
      </c>
      <c r="G28" s="40">
        <f t="shared" ref="G28" si="13">D28*C28</f>
        <v>2428</v>
      </c>
      <c r="H28" s="231">
        <f t="shared" ref="H28" si="14">(E28-D28)/D28</f>
        <v>-2.9242174629324581E-2</v>
      </c>
      <c r="I28" s="40"/>
      <c r="W28" s="133">
        <v>42727</v>
      </c>
      <c r="X28" s="10">
        <v>28.35</v>
      </c>
      <c r="Y28" s="10">
        <v>28.48</v>
      </c>
      <c r="Z28" s="10">
        <v>28.24</v>
      </c>
      <c r="AA28" s="10">
        <v>28.38</v>
      </c>
      <c r="AB28" s="95">
        <v>4032000</v>
      </c>
      <c r="AC28" s="10">
        <v>28.38</v>
      </c>
      <c r="AD28" s="2">
        <f t="shared" si="0"/>
        <v>0.24000000000000199</v>
      </c>
      <c r="AE28" s="138">
        <f t="shared" si="1"/>
        <v>-1.7587055926837625E-3</v>
      </c>
    </row>
    <row r="29" spans="1:31" x14ac:dyDescent="0.25">
      <c r="B29" s="193">
        <v>42635</v>
      </c>
      <c r="C29" s="10">
        <v>100</v>
      </c>
      <c r="D29" s="40">
        <v>24.28</v>
      </c>
      <c r="E29" s="40">
        <v>24.3</v>
      </c>
      <c r="F29" s="40">
        <f>C29*(E29-D29)</f>
        <v>1.9999999999999574</v>
      </c>
      <c r="G29" s="40">
        <f>D29*C29</f>
        <v>2428</v>
      </c>
      <c r="H29" s="231">
        <f>(E29-D29)/D29</f>
        <v>8.2372322899504011E-4</v>
      </c>
      <c r="I29" s="40"/>
      <c r="W29" s="133">
        <v>42726</v>
      </c>
      <c r="X29" s="10">
        <v>26.53</v>
      </c>
      <c r="Y29" s="10">
        <v>28.47</v>
      </c>
      <c r="Z29" s="10">
        <v>26.53</v>
      </c>
      <c r="AA29" s="10">
        <v>28.43</v>
      </c>
      <c r="AB29" s="95">
        <v>7453800</v>
      </c>
      <c r="AC29" s="10">
        <v>28.43</v>
      </c>
      <c r="AD29" s="2">
        <f t="shared" si="0"/>
        <v>1.9399999999999977</v>
      </c>
      <c r="AE29" s="138">
        <f t="shared" si="1"/>
        <v>-7.029876977152627E-4</v>
      </c>
    </row>
    <row r="30" spans="1:31" x14ac:dyDescent="0.25">
      <c r="B30" s="193">
        <v>42640</v>
      </c>
      <c r="C30" s="10">
        <v>100</v>
      </c>
      <c r="D30" s="40">
        <v>24.28</v>
      </c>
      <c r="E30" s="40">
        <v>24.2</v>
      </c>
      <c r="F30" s="40">
        <f>C30*(E30-D30)</f>
        <v>-8.0000000000001847</v>
      </c>
      <c r="G30" s="40">
        <f>D30*C30</f>
        <v>2428</v>
      </c>
      <c r="H30" s="231">
        <f>(E30-D30)/D30</f>
        <v>-3.2948929159803066E-3</v>
      </c>
      <c r="I30" s="40"/>
      <c r="W30" s="133">
        <v>42725</v>
      </c>
      <c r="X30" s="10">
        <v>28.16</v>
      </c>
      <c r="Y30" s="10">
        <v>28.46</v>
      </c>
      <c r="Z30" s="10">
        <v>27.9</v>
      </c>
      <c r="AA30" s="10">
        <v>28.45</v>
      </c>
      <c r="AB30" s="95">
        <v>5902500</v>
      </c>
      <c r="AC30" s="10">
        <v>28.45</v>
      </c>
      <c r="AD30" s="2">
        <f t="shared" si="0"/>
        <v>0.56000000000000227</v>
      </c>
      <c r="AE30" s="138">
        <f t="shared" si="1"/>
        <v>9.5812633073102393E-3</v>
      </c>
    </row>
    <row r="31" spans="1:31" x14ac:dyDescent="0.25">
      <c r="B31" s="193">
        <v>42646</v>
      </c>
      <c r="C31" s="10">
        <v>100</v>
      </c>
      <c r="D31" s="40">
        <v>24.28</v>
      </c>
      <c r="E31" s="40">
        <v>24.73</v>
      </c>
      <c r="F31" s="40">
        <f>C31*(E31-D31)</f>
        <v>44.999999999999929</v>
      </c>
      <c r="G31" s="40">
        <f>D31*C31</f>
        <v>2428</v>
      </c>
      <c r="H31" s="231">
        <f>(E31-D31)/D31</f>
        <v>1.8533772652388768E-2</v>
      </c>
      <c r="I31" s="40"/>
      <c r="W31" s="133">
        <v>42724</v>
      </c>
      <c r="X31" s="10">
        <v>28.28</v>
      </c>
      <c r="Y31" s="10">
        <v>28.48</v>
      </c>
      <c r="Z31" s="10">
        <v>28.05</v>
      </c>
      <c r="AA31" s="10">
        <v>28.18</v>
      </c>
      <c r="AB31" s="95">
        <v>5098700</v>
      </c>
      <c r="AC31" s="10">
        <v>28.18</v>
      </c>
      <c r="AD31" s="2">
        <f t="shared" si="0"/>
        <v>0.42999999999999972</v>
      </c>
      <c r="AE31" s="138">
        <f t="shared" si="1"/>
        <v>2.1337126600284861E-3</v>
      </c>
    </row>
    <row r="32" spans="1:31" x14ac:dyDescent="0.25">
      <c r="B32" s="193">
        <v>42663</v>
      </c>
      <c r="C32" s="10">
        <v>0</v>
      </c>
      <c r="D32" s="40"/>
      <c r="E32" s="40"/>
      <c r="F32" s="40">
        <v>98.45</v>
      </c>
      <c r="G32" s="40"/>
      <c r="H32" s="231"/>
      <c r="I32" s="40"/>
      <c r="W32" s="133">
        <v>42723</v>
      </c>
      <c r="X32" s="10">
        <v>28.1</v>
      </c>
      <c r="Y32" s="10">
        <v>28.3</v>
      </c>
      <c r="Z32" s="10">
        <v>27.94</v>
      </c>
      <c r="AA32" s="10">
        <v>28.12</v>
      </c>
      <c r="AB32" s="95">
        <v>5815000</v>
      </c>
      <c r="AC32" s="10">
        <v>28.12</v>
      </c>
      <c r="AD32" s="2">
        <f t="shared" si="0"/>
        <v>0.35999999999999943</v>
      </c>
      <c r="AE32" s="138">
        <f t="shared" si="1"/>
        <v>3.2108455226542709E-3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236"/>
      <c r="W33" s="133">
        <v>42720</v>
      </c>
      <c r="X33" s="10">
        <v>28.05</v>
      </c>
      <c r="Y33" s="10">
        <v>28.49</v>
      </c>
      <c r="Z33" s="10">
        <v>27.87</v>
      </c>
      <c r="AA33" s="10">
        <v>28.03</v>
      </c>
      <c r="AB33" s="95">
        <v>11736200</v>
      </c>
      <c r="AC33" s="10">
        <v>28.03</v>
      </c>
      <c r="AD33" s="2">
        <f t="shared" si="0"/>
        <v>0.61999999999999744</v>
      </c>
      <c r="AE33" s="138">
        <f t="shared" si="1"/>
        <v>1.4290818149340634E-3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133">
        <v>42719</v>
      </c>
      <c r="X34" s="10">
        <v>28.2</v>
      </c>
      <c r="Y34" s="10">
        <v>28.32</v>
      </c>
      <c r="Z34" s="10">
        <v>27.67</v>
      </c>
      <c r="AA34" s="10">
        <v>27.99</v>
      </c>
      <c r="AB34" s="95">
        <v>15057400</v>
      </c>
      <c r="AC34" s="10">
        <v>27.99</v>
      </c>
      <c r="AD34" s="2">
        <f t="shared" si="0"/>
        <v>0.64999999999999858</v>
      </c>
      <c r="AE34" s="138">
        <f t="shared" si="1"/>
        <v>-1.0706638115631772E-3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133">
        <v>42718</v>
      </c>
      <c r="X35" s="10">
        <v>27.24</v>
      </c>
      <c r="Y35" s="10">
        <v>28.19</v>
      </c>
      <c r="Z35" s="10">
        <v>27.06</v>
      </c>
      <c r="AA35" s="10">
        <v>28.02</v>
      </c>
      <c r="AB35" s="95">
        <v>22223800</v>
      </c>
      <c r="AC35" s="10">
        <v>28.02</v>
      </c>
      <c r="AD35" s="2">
        <f t="shared" si="0"/>
        <v>1.1300000000000026</v>
      </c>
      <c r="AE35" s="138">
        <f t="shared" si="1"/>
        <v>3.6242603550295849E-2</v>
      </c>
    </row>
    <row r="36" spans="1:31" x14ac:dyDescent="0.25">
      <c r="B36" s="193"/>
      <c r="C36" s="10"/>
      <c r="D36" s="40"/>
      <c r="E36" s="40"/>
      <c r="F36" s="40"/>
      <c r="G36" s="40"/>
      <c r="H36" s="231"/>
      <c r="I36" s="40"/>
      <c r="W36" s="133">
        <v>42717</v>
      </c>
      <c r="X36" s="10">
        <v>26.3</v>
      </c>
      <c r="Y36" s="10">
        <v>27.04</v>
      </c>
      <c r="Z36" s="10">
        <v>26.28</v>
      </c>
      <c r="AA36" s="10">
        <v>27.04</v>
      </c>
      <c r="AB36" s="95">
        <v>17339600</v>
      </c>
      <c r="AC36" s="10">
        <v>27.04</v>
      </c>
      <c r="AD36" s="2">
        <f t="shared" si="0"/>
        <v>0.75999999999999801</v>
      </c>
      <c r="AE36" s="138">
        <f t="shared" si="1"/>
        <v>2.6575550493545874E-2</v>
      </c>
    </row>
    <row r="37" spans="1:31" x14ac:dyDescent="0.25">
      <c r="B37" s="74"/>
      <c r="C37" s="4"/>
      <c r="D37" s="3"/>
      <c r="E37" s="3"/>
      <c r="F37" s="3"/>
      <c r="G37" s="3"/>
      <c r="H37" s="280"/>
      <c r="I37" s="3"/>
      <c r="W37" s="133">
        <v>42716</v>
      </c>
      <c r="X37" s="10">
        <v>27.92</v>
      </c>
      <c r="Y37" s="10">
        <v>27.99</v>
      </c>
      <c r="Z37" s="10">
        <v>26.12</v>
      </c>
      <c r="AA37" s="10">
        <v>26.34</v>
      </c>
      <c r="AB37" s="95">
        <v>26527900</v>
      </c>
      <c r="AC37" s="10">
        <v>26.34</v>
      </c>
      <c r="AD37" s="2">
        <f t="shared" si="0"/>
        <v>1.8699999999999974</v>
      </c>
      <c r="AE37" s="138">
        <f t="shared" si="1"/>
        <v>-6.6288550159517956E-2</v>
      </c>
    </row>
    <row r="38" spans="1:31" x14ac:dyDescent="0.25">
      <c r="B38" s="74"/>
      <c r="C38" s="4"/>
      <c r="D38" s="3"/>
      <c r="E38" s="3"/>
      <c r="F38" s="3"/>
      <c r="G38" s="3"/>
      <c r="H38" s="280"/>
      <c r="I38" s="3"/>
      <c r="W38" s="133">
        <v>42713</v>
      </c>
      <c r="X38" s="10">
        <v>28.62</v>
      </c>
      <c r="Y38" s="10">
        <v>30.42</v>
      </c>
      <c r="Z38" s="10">
        <v>27.54</v>
      </c>
      <c r="AA38" s="10">
        <v>28.21</v>
      </c>
      <c r="AB38" s="95">
        <v>41354700</v>
      </c>
      <c r="AC38" s="10">
        <v>28.21</v>
      </c>
      <c r="AD38" s="2">
        <f t="shared" si="0"/>
        <v>2.8800000000000026</v>
      </c>
      <c r="AE38" s="138">
        <f t="shared" si="1"/>
        <v>-1.501396648044695E-2</v>
      </c>
    </row>
    <row r="39" spans="1:31" x14ac:dyDescent="0.25">
      <c r="A39" s="23" t="s">
        <v>305</v>
      </c>
      <c r="B39" s="74"/>
      <c r="C39" s="4"/>
      <c r="D39" s="3"/>
      <c r="E39" s="3"/>
      <c r="F39" s="3"/>
      <c r="G39" s="3"/>
      <c r="H39" s="280"/>
      <c r="I39" s="3"/>
      <c r="W39" s="133">
        <v>42712</v>
      </c>
      <c r="X39" s="10">
        <v>28.24</v>
      </c>
      <c r="Y39" s="10">
        <v>28.66</v>
      </c>
      <c r="Z39" s="10">
        <v>28.14</v>
      </c>
      <c r="AA39" s="10">
        <v>28.64</v>
      </c>
      <c r="AB39" s="95">
        <v>10454600</v>
      </c>
      <c r="AC39" s="10">
        <v>28.64</v>
      </c>
      <c r="AD39" s="2">
        <f t="shared" si="0"/>
        <v>0.51999999999999957</v>
      </c>
      <c r="AE39" s="138">
        <f t="shared" si="1"/>
        <v>1.8854500177872602E-2</v>
      </c>
    </row>
    <row r="40" spans="1:31" ht="20.25" thickBot="1" x14ac:dyDescent="0.35">
      <c r="B40" s="74"/>
      <c r="C40" s="4"/>
      <c r="D40" s="3"/>
      <c r="E40" s="3"/>
      <c r="F40" s="3"/>
      <c r="G40" s="3"/>
      <c r="H40" s="280"/>
      <c r="I40" s="3"/>
      <c r="O40" s="638" t="s">
        <v>78</v>
      </c>
      <c r="P40" s="638"/>
      <c r="W40" s="133">
        <v>42711</v>
      </c>
      <c r="X40" s="10">
        <v>27.48</v>
      </c>
      <c r="Y40" s="10">
        <v>28.14</v>
      </c>
      <c r="Z40" s="10">
        <v>27.39</v>
      </c>
      <c r="AA40" s="10">
        <v>28.11</v>
      </c>
      <c r="AB40" s="95">
        <v>9987800</v>
      </c>
      <c r="AC40" s="10">
        <v>28.11</v>
      </c>
      <c r="AD40" s="2">
        <f t="shared" si="0"/>
        <v>0.75</v>
      </c>
      <c r="AE40" s="138">
        <f t="shared" si="1"/>
        <v>2.218181818181808E-2</v>
      </c>
    </row>
    <row r="41" spans="1:31" ht="15.75" thickTop="1" x14ac:dyDescent="0.25">
      <c r="B41" s="74"/>
      <c r="C41" s="4"/>
      <c r="D41" s="3"/>
      <c r="E41" s="3"/>
      <c r="F41" s="3"/>
      <c r="G41" s="3"/>
      <c r="H41" s="280"/>
      <c r="I41" s="3"/>
      <c r="O41" s="83">
        <v>1.1000000000000001</v>
      </c>
      <c r="P41" s="83">
        <f>O41*$Q$4</f>
        <v>34.54</v>
      </c>
      <c r="Q41" s="2"/>
      <c r="W41" s="133">
        <v>42710</v>
      </c>
      <c r="X41" s="10">
        <v>27.54</v>
      </c>
      <c r="Y41" s="10">
        <v>27.67</v>
      </c>
      <c r="Z41" s="10">
        <v>27.25</v>
      </c>
      <c r="AA41" s="10">
        <v>27.5</v>
      </c>
      <c r="AB41" s="95">
        <v>12649200</v>
      </c>
      <c r="AC41" s="10">
        <v>27.5</v>
      </c>
      <c r="AD41" s="2">
        <f t="shared" si="0"/>
        <v>0.42000000000000171</v>
      </c>
      <c r="AE41" s="138">
        <f t="shared" si="1"/>
        <v>-2.1770682148040121E-3</v>
      </c>
    </row>
    <row r="42" spans="1:31" ht="20.25" thickBot="1" x14ac:dyDescent="0.35">
      <c r="B42" s="74"/>
      <c r="C42" s="4"/>
      <c r="D42" s="3"/>
      <c r="E42" s="3"/>
      <c r="F42" s="3"/>
      <c r="G42" s="3"/>
      <c r="H42" s="280"/>
      <c r="I42" s="3"/>
      <c r="O42" s="83">
        <v>1.0900000000000001</v>
      </c>
      <c r="P42" s="83">
        <f t="shared" ref="P42:P61" si="15">O42*$Q$4</f>
        <v>34.225999999999999</v>
      </c>
      <c r="Q42" s="2"/>
      <c r="T42" s="91" t="s">
        <v>113</v>
      </c>
      <c r="W42" s="133">
        <v>42709</v>
      </c>
      <c r="X42" s="10">
        <v>27.54</v>
      </c>
      <c r="Y42" s="10">
        <v>27.61</v>
      </c>
      <c r="Z42" s="10">
        <v>26.82</v>
      </c>
      <c r="AA42" s="10">
        <v>27.56</v>
      </c>
      <c r="AB42" s="95">
        <v>13787000</v>
      </c>
      <c r="AC42" s="10">
        <v>27.56</v>
      </c>
      <c r="AD42" s="2">
        <f t="shared" si="0"/>
        <v>0.78999999999999915</v>
      </c>
      <c r="AE42" s="138">
        <f t="shared" si="1"/>
        <v>5.839416058394109E-3</v>
      </c>
    </row>
    <row r="43" spans="1:31" ht="15.75" thickTop="1" x14ac:dyDescent="0.25">
      <c r="B43" s="74"/>
      <c r="C43" s="4"/>
      <c r="D43" s="3"/>
      <c r="E43" s="3"/>
      <c r="F43" s="3"/>
      <c r="G43" s="3"/>
      <c r="H43" s="280"/>
      <c r="I43" s="3"/>
      <c r="O43" s="83">
        <v>1.08</v>
      </c>
      <c r="P43" s="83">
        <f t="shared" si="15"/>
        <v>33.911999999999999</v>
      </c>
      <c r="Q43" s="2"/>
      <c r="T43" s="128" t="s">
        <v>98</v>
      </c>
      <c r="U43" s="129">
        <v>31.62</v>
      </c>
      <c r="W43" s="133">
        <v>42706</v>
      </c>
      <c r="X43" s="10">
        <v>28.33</v>
      </c>
      <c r="Y43" s="10">
        <v>28.33</v>
      </c>
      <c r="Z43" s="10">
        <v>27.2</v>
      </c>
      <c r="AA43" s="10">
        <v>27.4</v>
      </c>
      <c r="AB43" s="95">
        <v>10844900</v>
      </c>
      <c r="AC43" s="10">
        <v>27.4</v>
      </c>
      <c r="AD43" s="2">
        <f t="shared" si="0"/>
        <v>1.129999999999999</v>
      </c>
      <c r="AE43" s="138">
        <f t="shared" si="1"/>
        <v>-2.8368794326241176E-2</v>
      </c>
    </row>
    <row r="44" spans="1:31" x14ac:dyDescent="0.25">
      <c r="B44" s="74"/>
      <c r="C44" s="4"/>
      <c r="D44" s="3"/>
      <c r="E44" s="3"/>
      <c r="F44" s="3"/>
      <c r="G44" s="3"/>
      <c r="H44" s="280"/>
      <c r="I44" s="3"/>
      <c r="L44" t="s">
        <v>65</v>
      </c>
      <c r="M44" s="2">
        <f>M62+K62-F62</f>
        <v>98.449999999999818</v>
      </c>
      <c r="O44" s="83">
        <v>1.07</v>
      </c>
      <c r="P44" s="83">
        <f t="shared" si="15"/>
        <v>33.597999999999999</v>
      </c>
      <c r="Q44" s="2"/>
      <c r="T44" s="93" t="s">
        <v>99</v>
      </c>
      <c r="U44" s="130">
        <v>31.54</v>
      </c>
      <c r="W44" s="133">
        <v>42705</v>
      </c>
      <c r="X44" s="10">
        <v>28.07</v>
      </c>
      <c r="Y44" s="10">
        <v>28.43</v>
      </c>
      <c r="Z44" s="10">
        <v>27.97</v>
      </c>
      <c r="AA44" s="10">
        <v>28.2</v>
      </c>
      <c r="AB44" s="95">
        <v>8941500</v>
      </c>
      <c r="AC44" s="10">
        <v>28.2</v>
      </c>
      <c r="AD44" s="2">
        <f t="shared" si="0"/>
        <v>0.46000000000000085</v>
      </c>
      <c r="AE44" s="138">
        <f t="shared" si="1"/>
        <v>3.2017075773747017E-3</v>
      </c>
    </row>
    <row r="45" spans="1:31" x14ac:dyDescent="0.25">
      <c r="A45" s="263" t="s">
        <v>1</v>
      </c>
      <c r="B45" s="263" t="s">
        <v>2</v>
      </c>
      <c r="C45" s="263" t="s">
        <v>4</v>
      </c>
      <c r="D45" s="264" t="s">
        <v>5</v>
      </c>
      <c r="E45" s="264" t="s">
        <v>94</v>
      </c>
      <c r="F45" s="264" t="s">
        <v>60</v>
      </c>
      <c r="G45" s="263" t="s">
        <v>3</v>
      </c>
      <c r="H45" s="263" t="s">
        <v>6</v>
      </c>
      <c r="I45" s="264" t="s">
        <v>7</v>
      </c>
      <c r="J45" s="264" t="s">
        <v>95</v>
      </c>
      <c r="K45" s="264" t="s">
        <v>61</v>
      </c>
      <c r="L45" s="263" t="s">
        <v>37</v>
      </c>
      <c r="M45" s="263" t="s">
        <v>38</v>
      </c>
      <c r="O45" s="83">
        <v>1.06</v>
      </c>
      <c r="P45" s="83">
        <f t="shared" si="15"/>
        <v>33.283999999999999</v>
      </c>
      <c r="Q45" s="2"/>
      <c r="T45" s="93" t="s">
        <v>100</v>
      </c>
      <c r="U45" s="130" t="s">
        <v>554</v>
      </c>
      <c r="W45" s="133">
        <v>42704</v>
      </c>
      <c r="X45" s="10">
        <v>28.39</v>
      </c>
      <c r="Y45" s="10">
        <v>28.54</v>
      </c>
      <c r="Z45" s="10">
        <v>28.11</v>
      </c>
      <c r="AA45" s="10">
        <v>28.11</v>
      </c>
      <c r="AB45" s="95">
        <v>9720400</v>
      </c>
      <c r="AC45" s="10">
        <v>28.11</v>
      </c>
      <c r="AD45" s="2">
        <f t="shared" si="0"/>
        <v>0.42999999999999972</v>
      </c>
      <c r="AE45" s="138">
        <f t="shared" si="1"/>
        <v>-1.2644889357218081E-2</v>
      </c>
    </row>
    <row r="46" spans="1:31" x14ac:dyDescent="0.25">
      <c r="A46" s="265" t="s">
        <v>285</v>
      </c>
      <c r="B46" s="266">
        <v>42619</v>
      </c>
      <c r="C46" s="261">
        <v>100</v>
      </c>
      <c r="D46" s="262">
        <v>24.28</v>
      </c>
      <c r="E46" s="262">
        <v>0</v>
      </c>
      <c r="F46" s="262">
        <f>D46*C46+E46</f>
        <v>2428</v>
      </c>
      <c r="G46" s="266">
        <v>42663</v>
      </c>
      <c r="H46" s="267">
        <v>100</v>
      </c>
      <c r="I46" s="262">
        <v>25.09</v>
      </c>
      <c r="J46" s="262">
        <v>0.55000000000000004</v>
      </c>
      <c r="K46" s="262">
        <f>H46*I46-J46</f>
        <v>2508.4499999999998</v>
      </c>
      <c r="L46" s="266">
        <v>42662</v>
      </c>
      <c r="M46" s="262">
        <v>18</v>
      </c>
      <c r="O46" s="83">
        <v>1.05</v>
      </c>
      <c r="P46" s="83">
        <f t="shared" si="15"/>
        <v>32.97</v>
      </c>
      <c r="Q46" s="2"/>
      <c r="T46" s="93" t="s">
        <v>101</v>
      </c>
      <c r="U46" s="130" t="s">
        <v>129</v>
      </c>
      <c r="W46" s="133">
        <v>42703</v>
      </c>
      <c r="X46" s="10">
        <v>28.42</v>
      </c>
      <c r="Y46" s="10">
        <v>28.52</v>
      </c>
      <c r="Z46" s="10">
        <v>28.17</v>
      </c>
      <c r="AA46" s="10">
        <v>28.47</v>
      </c>
      <c r="AB46" s="95">
        <v>7317800</v>
      </c>
      <c r="AC46" s="10">
        <v>28.47</v>
      </c>
      <c r="AD46" s="2">
        <f t="shared" si="0"/>
        <v>0.34999999999999787</v>
      </c>
      <c r="AE46" s="138">
        <f t="shared" si="1"/>
        <v>5.6517131755562389E-3</v>
      </c>
    </row>
    <row r="47" spans="1:31" x14ac:dyDescent="0.25">
      <c r="A47" s="268" t="s">
        <v>71</v>
      </c>
      <c r="B47" s="266"/>
      <c r="C47" s="261"/>
      <c r="D47" s="262"/>
      <c r="E47" s="262"/>
      <c r="F47" s="262"/>
      <c r="G47" s="266"/>
      <c r="H47" s="267"/>
      <c r="I47" s="262"/>
      <c r="J47" s="262"/>
      <c r="K47" s="262"/>
      <c r="L47" s="261"/>
      <c r="M47" s="261"/>
      <c r="O47" s="83">
        <v>1.04</v>
      </c>
      <c r="P47" s="83">
        <f t="shared" si="15"/>
        <v>32.655999999999999</v>
      </c>
      <c r="Q47" s="2"/>
      <c r="T47" s="93" t="s">
        <v>102</v>
      </c>
      <c r="U47" s="130">
        <v>33.25</v>
      </c>
      <c r="W47" s="133">
        <v>42702</v>
      </c>
      <c r="X47" s="10">
        <v>28.24</v>
      </c>
      <c r="Y47" s="10">
        <v>28.5</v>
      </c>
      <c r="Z47" s="10">
        <v>28.12</v>
      </c>
      <c r="AA47" s="10">
        <v>28.31</v>
      </c>
      <c r="AB47" s="95">
        <v>7388200</v>
      </c>
      <c r="AC47" s="10">
        <v>28.31</v>
      </c>
      <c r="AD47" s="2">
        <f t="shared" si="0"/>
        <v>0.37999999999999901</v>
      </c>
      <c r="AE47" s="138">
        <f t="shared" si="1"/>
        <v>-1.7630465444288257E-3</v>
      </c>
    </row>
    <row r="48" spans="1:31" x14ac:dyDescent="0.25">
      <c r="A48" s="261"/>
      <c r="B48" s="266"/>
      <c r="C48" s="261"/>
      <c r="D48" s="262"/>
      <c r="E48" s="262"/>
      <c r="F48" s="262"/>
      <c r="G48" s="266"/>
      <c r="H48" s="267"/>
      <c r="I48" s="262"/>
      <c r="J48" s="262"/>
      <c r="K48" s="262"/>
      <c r="L48" s="261"/>
      <c r="M48" s="261"/>
      <c r="O48" s="83">
        <v>1.03</v>
      </c>
      <c r="P48" s="83">
        <f t="shared" si="15"/>
        <v>32.341999999999999</v>
      </c>
      <c r="Q48" s="2"/>
      <c r="T48" s="93" t="s">
        <v>103</v>
      </c>
      <c r="U48" s="130">
        <v>1.62473</v>
      </c>
      <c r="W48" s="133">
        <v>42699</v>
      </c>
      <c r="X48" s="10">
        <v>28.34</v>
      </c>
      <c r="Y48" s="10">
        <v>28.44</v>
      </c>
      <c r="Z48" s="10">
        <v>28.24</v>
      </c>
      <c r="AA48" s="10">
        <v>28.36</v>
      </c>
      <c r="AB48" s="95">
        <v>3017500</v>
      </c>
      <c r="AC48" s="10">
        <v>28.36</v>
      </c>
      <c r="AD48" s="2">
        <f t="shared" si="0"/>
        <v>0.20000000000000284</v>
      </c>
      <c r="AE48" s="138">
        <f t="shared" si="1"/>
        <v>-1.4084507042253502E-3</v>
      </c>
    </row>
    <row r="49" spans="1:31" x14ac:dyDescent="0.25">
      <c r="A49" s="261"/>
      <c r="B49" s="266"/>
      <c r="C49" s="261"/>
      <c r="D49" s="262"/>
      <c r="E49" s="262"/>
      <c r="F49" s="262"/>
      <c r="G49" s="261"/>
      <c r="H49" s="267"/>
      <c r="I49" s="262"/>
      <c r="J49" s="262"/>
      <c r="K49" s="262"/>
      <c r="L49" s="261"/>
      <c r="M49" s="261"/>
      <c r="O49" s="83">
        <v>1.02</v>
      </c>
      <c r="P49" s="83">
        <f t="shared" si="15"/>
        <v>32.027999999999999</v>
      </c>
      <c r="Q49" s="2"/>
      <c r="T49" s="93" t="s">
        <v>104</v>
      </c>
      <c r="U49" s="130" t="s">
        <v>403</v>
      </c>
      <c r="W49" s="133">
        <v>42697</v>
      </c>
      <c r="X49" s="10">
        <v>28.28</v>
      </c>
      <c r="Y49" s="10">
        <v>28.49</v>
      </c>
      <c r="Z49" s="10">
        <v>28.16</v>
      </c>
      <c r="AA49" s="10">
        <v>28.4</v>
      </c>
      <c r="AB49" s="95">
        <v>5235100</v>
      </c>
      <c r="AC49" s="10">
        <v>28.4</v>
      </c>
      <c r="AD49" s="2">
        <f t="shared" si="0"/>
        <v>0.32999999999999829</v>
      </c>
      <c r="AE49" s="138">
        <f t="shared" si="1"/>
        <v>4.598514326140668E-3</v>
      </c>
    </row>
    <row r="50" spans="1:31" x14ac:dyDescent="0.25">
      <c r="A50" s="261"/>
      <c r="B50" s="266"/>
      <c r="C50" s="261"/>
      <c r="D50" s="262"/>
      <c r="E50" s="262"/>
      <c r="F50" s="262"/>
      <c r="G50" s="261"/>
      <c r="H50" s="267"/>
      <c r="I50" s="262"/>
      <c r="J50" s="262"/>
      <c r="K50" s="262"/>
      <c r="L50" s="261"/>
      <c r="M50" s="261"/>
      <c r="O50" s="83">
        <v>1.01</v>
      </c>
      <c r="P50" s="83">
        <f t="shared" si="15"/>
        <v>31.713999999999999</v>
      </c>
      <c r="Q50" s="2"/>
      <c r="T50" s="93"/>
      <c r="U50" s="130"/>
      <c r="W50" s="133">
        <v>42696</v>
      </c>
      <c r="X50" s="10">
        <v>27.89</v>
      </c>
      <c r="Y50" s="10">
        <v>28.37</v>
      </c>
      <c r="Z50" s="10">
        <v>27.78</v>
      </c>
      <c r="AA50" s="10">
        <v>28.27</v>
      </c>
      <c r="AB50" s="95">
        <v>6884200</v>
      </c>
      <c r="AC50" s="10">
        <v>28.27</v>
      </c>
      <c r="AD50" s="2">
        <f t="shared" si="0"/>
        <v>0.58999999999999986</v>
      </c>
      <c r="AE50" s="138">
        <f t="shared" si="1"/>
        <v>1.6906474820143735E-2</v>
      </c>
    </row>
    <row r="51" spans="1:31" x14ac:dyDescent="0.25">
      <c r="A51" s="261"/>
      <c r="B51" s="261"/>
      <c r="C51" s="261"/>
      <c r="D51" s="262"/>
      <c r="E51" s="262"/>
      <c r="F51" s="262"/>
      <c r="G51" s="261"/>
      <c r="H51" s="267"/>
      <c r="I51" s="262"/>
      <c r="J51" s="262"/>
      <c r="K51" s="262"/>
      <c r="L51" s="261"/>
      <c r="M51" s="261"/>
      <c r="O51" s="83">
        <v>1</v>
      </c>
      <c r="P51" s="83">
        <f t="shared" si="15"/>
        <v>31.4</v>
      </c>
      <c r="Q51" s="2"/>
      <c r="T51" s="93" t="s">
        <v>105</v>
      </c>
      <c r="U51" s="130" t="s">
        <v>555</v>
      </c>
      <c r="W51" s="133">
        <v>42695</v>
      </c>
      <c r="X51" s="10">
        <v>27.78</v>
      </c>
      <c r="Y51" s="10">
        <v>27.88</v>
      </c>
      <c r="Z51" s="10">
        <v>27.64</v>
      </c>
      <c r="AA51" s="10">
        <v>27.8</v>
      </c>
      <c r="AB51" s="95">
        <v>4766600</v>
      </c>
      <c r="AC51" s="10">
        <v>27.8</v>
      </c>
      <c r="AD51" s="2">
        <f t="shared" si="0"/>
        <v>0.23999999999999844</v>
      </c>
      <c r="AE51" s="138">
        <f t="shared" si="1"/>
        <v>-7.1890726096335289E-4</v>
      </c>
    </row>
    <row r="52" spans="1:31" x14ac:dyDescent="0.25">
      <c r="A52" s="261"/>
      <c r="B52" s="261"/>
      <c r="C52" s="261"/>
      <c r="D52" s="262"/>
      <c r="E52" s="262"/>
      <c r="F52" s="262"/>
      <c r="G52" s="261"/>
      <c r="H52" s="267"/>
      <c r="I52" s="262"/>
      <c r="J52" s="262"/>
      <c r="K52" s="262"/>
      <c r="L52" s="261"/>
      <c r="M52" s="261"/>
      <c r="O52" s="83">
        <v>0.99</v>
      </c>
      <c r="P52" s="83">
        <f t="shared" si="15"/>
        <v>31.085999999999999</v>
      </c>
      <c r="Q52" s="2"/>
      <c r="T52" s="93" t="s">
        <v>106</v>
      </c>
      <c r="U52" s="130" t="s">
        <v>502</v>
      </c>
      <c r="W52" s="133">
        <v>42692</v>
      </c>
      <c r="X52" s="10">
        <v>27.82</v>
      </c>
      <c r="Y52" s="10">
        <v>28</v>
      </c>
      <c r="Z52" s="10">
        <v>27.73</v>
      </c>
      <c r="AA52" s="10">
        <v>27.82</v>
      </c>
      <c r="AB52" s="95">
        <v>8366100</v>
      </c>
      <c r="AC52" s="10">
        <v>27.82</v>
      </c>
      <c r="AD52" s="2">
        <f t="shared" si="0"/>
        <v>0.26999999999999957</v>
      </c>
      <c r="AE52" s="138">
        <f t="shared" si="1"/>
        <v>-3.5816618911175269E-3</v>
      </c>
    </row>
    <row r="53" spans="1:31" x14ac:dyDescent="0.25">
      <c r="A53" s="261"/>
      <c r="B53" s="261"/>
      <c r="C53" s="261"/>
      <c r="D53" s="262"/>
      <c r="E53" s="262"/>
      <c r="F53" s="262"/>
      <c r="G53" s="261"/>
      <c r="H53" s="267"/>
      <c r="I53" s="262"/>
      <c r="J53" s="262"/>
      <c r="K53" s="262"/>
      <c r="L53" s="261"/>
      <c r="M53" s="261"/>
      <c r="O53" s="83">
        <v>0.98</v>
      </c>
      <c r="P53" s="83">
        <f t="shared" si="15"/>
        <v>30.771999999999998</v>
      </c>
      <c r="Q53" s="2"/>
      <c r="T53" s="93" t="s">
        <v>107</v>
      </c>
      <c r="U53" s="131">
        <v>4731048</v>
      </c>
      <c r="W53" s="133">
        <v>42691</v>
      </c>
      <c r="X53" s="10">
        <v>27.61</v>
      </c>
      <c r="Y53" s="10">
        <v>27.93</v>
      </c>
      <c r="Z53" s="10">
        <v>27.43</v>
      </c>
      <c r="AA53" s="10">
        <v>27.92</v>
      </c>
      <c r="AB53" s="95">
        <v>8169900</v>
      </c>
      <c r="AC53" s="10">
        <v>27.92</v>
      </c>
      <c r="AD53" s="2">
        <f t="shared" si="0"/>
        <v>0.5</v>
      </c>
      <c r="AE53" s="138">
        <f t="shared" si="1"/>
        <v>1.3798111837327598E-2</v>
      </c>
    </row>
    <row r="54" spans="1:31" x14ac:dyDescent="0.25">
      <c r="A54" s="261"/>
      <c r="B54" s="261"/>
      <c r="C54" s="261"/>
      <c r="D54" s="262"/>
      <c r="E54" s="262"/>
      <c r="F54" s="262"/>
      <c r="G54" s="261"/>
      <c r="H54" s="267"/>
      <c r="I54" s="262"/>
      <c r="J54" s="262"/>
      <c r="K54" s="262"/>
      <c r="L54" s="261"/>
      <c r="M54" s="261"/>
      <c r="O54" s="83">
        <v>0.97</v>
      </c>
      <c r="P54" s="83">
        <f t="shared" si="15"/>
        <v>30.457999999999998</v>
      </c>
      <c r="T54" s="93" t="s">
        <v>110</v>
      </c>
      <c r="U54" s="131">
        <v>9858300</v>
      </c>
      <c r="W54" s="133">
        <v>42690</v>
      </c>
      <c r="X54" s="10">
        <v>27.45</v>
      </c>
      <c r="Y54" s="10">
        <v>27.65</v>
      </c>
      <c r="Z54" s="10">
        <v>27.36</v>
      </c>
      <c r="AA54" s="10">
        <v>27.54</v>
      </c>
      <c r="AB54" s="95">
        <v>5690600</v>
      </c>
      <c r="AC54" s="10">
        <v>27.54</v>
      </c>
      <c r="AD54" s="2">
        <f t="shared" si="0"/>
        <v>0.28999999999999915</v>
      </c>
      <c r="AE54" s="138">
        <f t="shared" si="1"/>
        <v>3.2786885245901232E-3</v>
      </c>
    </row>
    <row r="55" spans="1:31" x14ac:dyDescent="0.25">
      <c r="A55" s="261"/>
      <c r="B55" s="261"/>
      <c r="C55" s="261"/>
      <c r="D55" s="262"/>
      <c r="E55" s="262"/>
      <c r="F55" s="262"/>
      <c r="G55" s="261"/>
      <c r="H55" s="267"/>
      <c r="I55" s="262"/>
      <c r="J55" s="262"/>
      <c r="K55" s="262"/>
      <c r="L55" s="261"/>
      <c r="M55" s="261"/>
      <c r="O55" s="83">
        <v>0.96</v>
      </c>
      <c r="P55" s="83">
        <f t="shared" si="15"/>
        <v>30.143999999999998</v>
      </c>
      <c r="T55" s="93" t="s">
        <v>108</v>
      </c>
      <c r="U55" s="130" t="s">
        <v>556</v>
      </c>
      <c r="W55" s="133">
        <v>42689</v>
      </c>
      <c r="X55" s="10">
        <v>27.51</v>
      </c>
      <c r="Y55" s="10">
        <v>27.59</v>
      </c>
      <c r="Z55" s="10">
        <v>27.37</v>
      </c>
      <c r="AA55" s="10">
        <v>27.45</v>
      </c>
      <c r="AB55" s="95">
        <v>8671300</v>
      </c>
      <c r="AC55" s="10">
        <v>27.45</v>
      </c>
      <c r="AD55" s="2">
        <f t="shared" si="0"/>
        <v>0.21999999999999886</v>
      </c>
      <c r="AE55" s="138">
        <f t="shared" si="1"/>
        <v>-2.5436046511627675E-3</v>
      </c>
    </row>
    <row r="56" spans="1:31" x14ac:dyDescent="0.25">
      <c r="A56" s="261"/>
      <c r="B56" s="261"/>
      <c r="C56" s="261"/>
      <c r="D56" s="262"/>
      <c r="E56" s="262"/>
      <c r="F56" s="262"/>
      <c r="G56" s="261"/>
      <c r="H56" s="267"/>
      <c r="I56" s="262"/>
      <c r="J56" s="262"/>
      <c r="K56" s="262"/>
      <c r="L56" s="261"/>
      <c r="M56" s="261"/>
      <c r="O56" s="83">
        <v>0.95</v>
      </c>
      <c r="P56" s="83">
        <f t="shared" si="15"/>
        <v>29.83</v>
      </c>
      <c r="T56" s="93" t="s">
        <v>111</v>
      </c>
      <c r="U56" s="130">
        <v>20.79</v>
      </c>
      <c r="W56" s="133">
        <v>42688</v>
      </c>
      <c r="X56" s="10">
        <v>27.1</v>
      </c>
      <c r="Y56" s="10">
        <v>27.55</v>
      </c>
      <c r="Z56" s="10">
        <v>27.1</v>
      </c>
      <c r="AA56" s="10">
        <v>27.52</v>
      </c>
      <c r="AB56" s="95">
        <v>11137600</v>
      </c>
      <c r="AC56" s="10">
        <v>27.52</v>
      </c>
      <c r="AD56" s="2">
        <f t="shared" si="0"/>
        <v>0.44999999999999929</v>
      </c>
      <c r="AE56" s="138">
        <f t="shared" si="1"/>
        <v>1.4001473839351464E-2</v>
      </c>
    </row>
    <row r="57" spans="1:31" x14ac:dyDescent="0.25">
      <c r="A57" s="261"/>
      <c r="B57" s="261"/>
      <c r="C57" s="261"/>
      <c r="D57" s="262"/>
      <c r="E57" s="262"/>
      <c r="F57" s="262"/>
      <c r="G57" s="261"/>
      <c r="H57" s="267"/>
      <c r="I57" s="262"/>
      <c r="J57" s="262"/>
      <c r="K57" s="262"/>
      <c r="L57" s="261"/>
      <c r="M57" s="261"/>
      <c r="O57" s="83">
        <v>0.94</v>
      </c>
      <c r="P57" s="83">
        <f t="shared" si="15"/>
        <v>29.515999999999998</v>
      </c>
      <c r="T57" s="93" t="s">
        <v>112</v>
      </c>
      <c r="U57" s="130">
        <v>1.51</v>
      </c>
      <c r="W57" s="133">
        <v>42685</v>
      </c>
      <c r="X57" s="10">
        <v>27.12</v>
      </c>
      <c r="Y57" s="10">
        <v>27.21</v>
      </c>
      <c r="Z57" s="10">
        <v>26.7</v>
      </c>
      <c r="AA57" s="10">
        <v>27.14</v>
      </c>
      <c r="AB57" s="95">
        <v>11671500</v>
      </c>
      <c r="AC57" s="10">
        <v>27.14</v>
      </c>
      <c r="AD57" s="2">
        <f t="shared" si="0"/>
        <v>0.51000000000000156</v>
      </c>
      <c r="AE57" s="138">
        <f t="shared" si="1"/>
        <v>-7.3637702503681624E-4</v>
      </c>
    </row>
    <row r="58" spans="1:31" x14ac:dyDescent="0.25">
      <c r="A58" s="261"/>
      <c r="B58" s="261"/>
      <c r="C58" s="261"/>
      <c r="D58" s="262"/>
      <c r="E58" s="262"/>
      <c r="F58" s="262"/>
      <c r="G58" s="261"/>
      <c r="H58" s="267"/>
      <c r="I58" s="262"/>
      <c r="J58" s="262"/>
      <c r="K58" s="262"/>
      <c r="L58" s="261"/>
      <c r="M58" s="261"/>
      <c r="O58" s="83">
        <v>0.93</v>
      </c>
      <c r="P58" s="83">
        <f t="shared" si="15"/>
        <v>29.202000000000002</v>
      </c>
      <c r="T58" s="93" t="s">
        <v>109</v>
      </c>
      <c r="U58" s="130" t="s">
        <v>503</v>
      </c>
      <c r="W58" s="133">
        <v>42684</v>
      </c>
      <c r="X58" s="10">
        <v>27.45</v>
      </c>
      <c r="Y58" s="10">
        <v>27.77</v>
      </c>
      <c r="Z58" s="10">
        <v>27.09</v>
      </c>
      <c r="AA58" s="10">
        <v>27.16</v>
      </c>
      <c r="AB58" s="95">
        <v>13125600</v>
      </c>
      <c r="AC58" s="10">
        <v>27.16</v>
      </c>
      <c r="AD58" s="2">
        <f t="shared" si="0"/>
        <v>0.67999999999999972</v>
      </c>
      <c r="AE58" s="138">
        <f t="shared" si="1"/>
        <v>-1.0924981791696986E-2</v>
      </c>
    </row>
    <row r="59" spans="1:31" x14ac:dyDescent="0.25">
      <c r="A59" s="261"/>
      <c r="B59" s="261"/>
      <c r="C59" s="261"/>
      <c r="D59" s="262"/>
      <c r="E59" s="262"/>
      <c r="F59" s="262"/>
      <c r="G59" s="261"/>
      <c r="H59" s="267"/>
      <c r="I59" s="262"/>
      <c r="J59" s="262"/>
      <c r="K59" s="262"/>
      <c r="L59" s="261"/>
      <c r="M59" s="261"/>
      <c r="O59" s="83">
        <v>0.92</v>
      </c>
      <c r="P59" s="83">
        <f t="shared" si="15"/>
        <v>28.888000000000002</v>
      </c>
      <c r="W59" s="133">
        <v>42683</v>
      </c>
      <c r="X59" s="10">
        <v>26.57</v>
      </c>
      <c r="Y59" s="10">
        <v>27.54</v>
      </c>
      <c r="Z59" s="10">
        <v>26.4</v>
      </c>
      <c r="AA59" s="10">
        <v>27.46</v>
      </c>
      <c r="AB59" s="95">
        <v>14704500</v>
      </c>
      <c r="AC59" s="10">
        <v>27.46</v>
      </c>
      <c r="AD59" s="2">
        <f t="shared" si="0"/>
        <v>1.1400000000000006</v>
      </c>
      <c r="AE59" s="138">
        <f t="shared" si="1"/>
        <v>1.3658176448874126E-2</v>
      </c>
    </row>
    <row r="60" spans="1:31" x14ac:dyDescent="0.25">
      <c r="A60" s="261"/>
      <c r="B60" s="261"/>
      <c r="C60" s="261"/>
      <c r="D60" s="262"/>
      <c r="E60" s="262"/>
      <c r="F60" s="262"/>
      <c r="G60" s="261"/>
      <c r="H60" s="267"/>
      <c r="I60" s="262"/>
      <c r="J60" s="262"/>
      <c r="K60" s="262"/>
      <c r="L60" s="261"/>
      <c r="M60" s="261"/>
      <c r="O60" s="83">
        <v>0.91</v>
      </c>
      <c r="P60" s="83">
        <f t="shared" si="15"/>
        <v>28.573999999999998</v>
      </c>
      <c r="W60" s="133">
        <v>42682</v>
      </c>
      <c r="X60" s="10">
        <v>27.46</v>
      </c>
      <c r="Y60" s="10">
        <v>27.46</v>
      </c>
      <c r="Z60" s="10">
        <v>26.96</v>
      </c>
      <c r="AA60" s="10">
        <v>27.09</v>
      </c>
      <c r="AB60" s="95">
        <v>12120700</v>
      </c>
      <c r="AC60" s="10">
        <v>27.09</v>
      </c>
      <c r="AD60" s="2">
        <f t="shared" si="0"/>
        <v>0.5</v>
      </c>
      <c r="AE60" s="138">
        <f t="shared" si="1"/>
        <v>-1.0952902519167584E-2</v>
      </c>
    </row>
    <row r="61" spans="1:31" x14ac:dyDescent="0.25">
      <c r="A61" s="261"/>
      <c r="B61" s="261"/>
      <c r="C61" s="261"/>
      <c r="D61" s="262"/>
      <c r="E61" s="262"/>
      <c r="F61" s="262"/>
      <c r="G61" s="261"/>
      <c r="H61" s="261"/>
      <c r="I61" s="262"/>
      <c r="J61" s="262"/>
      <c r="K61" s="262"/>
      <c r="L61" s="261"/>
      <c r="M61" s="261"/>
      <c r="O61" s="83">
        <v>0.9</v>
      </c>
      <c r="P61" s="83">
        <f t="shared" si="15"/>
        <v>28.259999999999998</v>
      </c>
      <c r="W61" s="133">
        <v>42681</v>
      </c>
      <c r="X61" s="10">
        <v>27.42</v>
      </c>
      <c r="Y61" s="10">
        <v>27.43</v>
      </c>
      <c r="Z61" s="10">
        <v>27.12</v>
      </c>
      <c r="AA61" s="10">
        <v>27.39</v>
      </c>
      <c r="AB61" s="95">
        <v>13122300</v>
      </c>
      <c r="AC61" s="10">
        <v>27.39</v>
      </c>
      <c r="AD61" s="2">
        <f t="shared" si="0"/>
        <v>0.30999999999999872</v>
      </c>
      <c r="AE61" s="138">
        <f t="shared" si="1"/>
        <v>1.6703786191536674E-2</v>
      </c>
    </row>
    <row r="62" spans="1:31" x14ac:dyDescent="0.25">
      <c r="A62" s="32" t="s">
        <v>81</v>
      </c>
      <c r="B62" s="14"/>
      <c r="C62" s="14">
        <f>SUM(C46:C50)</f>
        <v>100</v>
      </c>
      <c r="D62" s="18"/>
      <c r="E62" s="18"/>
      <c r="F62" s="18">
        <f>SUM(F46:F50)</f>
        <v>2428</v>
      </c>
      <c r="G62" s="14"/>
      <c r="H62" s="14">
        <f>SUM(H46:H49)</f>
        <v>100</v>
      </c>
      <c r="I62" s="18"/>
      <c r="J62" s="18"/>
      <c r="K62" s="18">
        <f>SUM(K46:K49)</f>
        <v>2508.4499999999998</v>
      </c>
      <c r="L62" s="14"/>
      <c r="M62" s="18">
        <f>SUM(M46:M54)</f>
        <v>18</v>
      </c>
      <c r="W62" s="133">
        <v>42678</v>
      </c>
      <c r="X62" s="10">
        <v>27.49</v>
      </c>
      <c r="Y62" s="10">
        <v>27.7</v>
      </c>
      <c r="Z62" s="10">
        <v>26.9</v>
      </c>
      <c r="AA62" s="10">
        <v>26.94</v>
      </c>
      <c r="AB62" s="95">
        <v>15945300</v>
      </c>
      <c r="AC62" s="10">
        <v>26.94</v>
      </c>
      <c r="AD62" s="2">
        <f t="shared" si="0"/>
        <v>0.80000000000000071</v>
      </c>
      <c r="AE62" s="138">
        <f t="shared" si="1"/>
        <v>-2.7787802237459358E-2</v>
      </c>
    </row>
    <row r="63" spans="1:31" ht="15.75" thickBot="1" x14ac:dyDescent="0.3">
      <c r="A63" s="467" t="s">
        <v>198</v>
      </c>
      <c r="B63" s="468"/>
      <c r="C63" s="469">
        <f>SumByColor($A$19,C46:C61)</f>
        <v>0</v>
      </c>
      <c r="D63" s="469"/>
      <c r="E63" s="469"/>
      <c r="F63" s="470">
        <f>SumByColor($A$19,F46:F61)</f>
        <v>0</v>
      </c>
      <c r="G63" s="469"/>
      <c r="H63" s="469">
        <f>SumByColor($A$19,H46:H61)</f>
        <v>0</v>
      </c>
      <c r="I63" s="469"/>
      <c r="J63" s="469"/>
      <c r="K63" s="470">
        <f>SumByColor($A$19,K46:K61)</f>
        <v>0</v>
      </c>
      <c r="L63" s="469"/>
      <c r="M63" s="470">
        <f t="shared" ref="M63" si="16">SumByColor($A$19,M46:M61)</f>
        <v>0</v>
      </c>
      <c r="W63" s="133">
        <v>42677</v>
      </c>
      <c r="X63" s="10">
        <v>26.76</v>
      </c>
      <c r="Y63" s="10">
        <v>27.84</v>
      </c>
      <c r="Z63" s="10">
        <v>26.7</v>
      </c>
      <c r="AA63" s="10">
        <v>27.71</v>
      </c>
      <c r="AB63" s="95">
        <v>29028600</v>
      </c>
      <c r="AC63" s="10">
        <v>27.71</v>
      </c>
      <c r="AD63" s="2">
        <f t="shared" si="0"/>
        <v>1.1400000000000006</v>
      </c>
      <c r="AE63" s="138">
        <f t="shared" si="1"/>
        <v>7.2783584978707072E-2</v>
      </c>
    </row>
    <row r="64" spans="1:31" x14ac:dyDescent="0.25">
      <c r="B64" s="4"/>
      <c r="C64" s="4"/>
      <c r="D64" s="3"/>
      <c r="E64" s="3"/>
      <c r="F64" s="3"/>
      <c r="G64" s="4"/>
      <c r="H64" s="4"/>
      <c r="I64" s="3"/>
      <c r="W64" s="133">
        <v>42676</v>
      </c>
      <c r="X64" s="10">
        <v>26.28</v>
      </c>
      <c r="Y64" s="10">
        <v>26.28</v>
      </c>
      <c r="Z64" s="10">
        <v>25.73</v>
      </c>
      <c r="AA64" s="10">
        <v>25.83</v>
      </c>
      <c r="AB64" s="95">
        <v>12849000</v>
      </c>
      <c r="AC64" s="10">
        <v>25.83</v>
      </c>
      <c r="AD64" s="2">
        <f t="shared" si="0"/>
        <v>0.55000000000000071</v>
      </c>
      <c r="AE64" s="138">
        <f t="shared" si="1"/>
        <v>-1.3745704467354014E-2</v>
      </c>
    </row>
    <row r="65" spans="2:31" x14ac:dyDescent="0.25">
      <c r="B65" s="4"/>
      <c r="C65" s="4"/>
      <c r="D65" s="3"/>
      <c r="E65" s="3"/>
      <c r="F65" s="3"/>
      <c r="G65" s="4"/>
      <c r="H65" s="4"/>
      <c r="I65" s="3"/>
      <c r="W65" s="133">
        <v>42675</v>
      </c>
      <c r="X65" s="10">
        <v>26.26</v>
      </c>
      <c r="Y65" s="10">
        <v>26.31</v>
      </c>
      <c r="Z65" s="10">
        <v>25.95</v>
      </c>
      <c r="AA65" s="10">
        <v>26.19</v>
      </c>
      <c r="AB65" s="95">
        <v>13792400</v>
      </c>
      <c r="AC65" s="10">
        <v>26.19</v>
      </c>
      <c r="AD65" s="2">
        <f t="shared" si="0"/>
        <v>0.35999999999999943</v>
      </c>
      <c r="AE65" s="138">
        <f t="shared" si="1"/>
        <v>-3.0452988199466402E-3</v>
      </c>
    </row>
    <row r="66" spans="2:31" x14ac:dyDescent="0.25">
      <c r="W66" s="133">
        <v>42674</v>
      </c>
      <c r="X66" s="10">
        <v>26.32</v>
      </c>
      <c r="Y66" s="10">
        <v>26.55</v>
      </c>
      <c r="Z66" s="10">
        <v>26.21</v>
      </c>
      <c r="AA66" s="10">
        <v>26.27</v>
      </c>
      <c r="AB66" s="95">
        <v>13676600</v>
      </c>
      <c r="AC66" s="10">
        <v>26.27</v>
      </c>
      <c r="AD66" s="2">
        <f t="shared" si="0"/>
        <v>0.33999999999999986</v>
      </c>
      <c r="AE66" s="138">
        <f t="shared" si="1"/>
        <v>7.6190476190474143E-4</v>
      </c>
    </row>
    <row r="67" spans="2:31" x14ac:dyDescent="0.25">
      <c r="W67" s="133">
        <v>42671</v>
      </c>
      <c r="X67" s="10">
        <v>26.13</v>
      </c>
      <c r="Y67" s="10">
        <v>26.34</v>
      </c>
      <c r="Z67" s="10">
        <v>26.08</v>
      </c>
      <c r="AA67" s="10">
        <v>26.25</v>
      </c>
      <c r="AB67" s="95">
        <v>9204400</v>
      </c>
      <c r="AC67" s="10">
        <v>26.25</v>
      </c>
      <c r="AD67" s="2">
        <f>Y67-Z67</f>
        <v>0.26000000000000156</v>
      </c>
      <c r="AE67" s="138" t="e">
        <f>AC67/#REF!-1</f>
        <v>#REF!</v>
      </c>
    </row>
    <row r="68" spans="2:31" x14ac:dyDescent="0.25">
      <c r="W68" s="133" t="s">
        <v>121</v>
      </c>
      <c r="X68" s="10"/>
      <c r="Y68" s="10"/>
      <c r="Z68" s="10"/>
      <c r="AA68" s="10"/>
      <c r="AB68" s="95"/>
      <c r="AC68" s="10"/>
      <c r="AD68" s="2" t="e">
        <f>#REF!-#REF!</f>
        <v>#REF!</v>
      </c>
      <c r="AE68" s="138" t="e">
        <f>#REF!/AC69-1</f>
        <v>#REF!</v>
      </c>
    </row>
    <row r="69" spans="2:31" x14ac:dyDescent="0.25">
      <c r="W69" s="133"/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{FB655D0F-7FA3-4E22-9F1C-61BC0AD0587B}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3:F44 H33:H44">
    <cfRule type="expression" dxfId="947" priority="11">
      <formula>F33&gt;0</formula>
    </cfRule>
    <cfRule type="expression" dxfId="946" priority="12">
      <formula>F33&lt;0</formula>
    </cfRule>
  </conditionalFormatting>
  <conditionalFormatting sqref="Q7">
    <cfRule type="expression" dxfId="945" priority="9">
      <formula>Q7&gt;0</formula>
    </cfRule>
    <cfRule type="expression" dxfId="944" priority="10">
      <formula>Q7&lt;0</formula>
    </cfRule>
  </conditionalFormatting>
  <conditionalFormatting sqref="Q8">
    <cfRule type="expression" dxfId="943" priority="7">
      <formula>Q8&gt;0</formula>
    </cfRule>
    <cfRule type="expression" dxfId="942" priority="8">
      <formula>Q8&lt;0</formula>
    </cfRule>
  </conditionalFormatting>
  <conditionalFormatting sqref="F25:F32">
    <cfRule type="expression" dxfId="941" priority="5">
      <formula>F25&gt;0</formula>
    </cfRule>
    <cfRule type="expression" dxfId="940" priority="6">
      <formula>F25&lt;0</formula>
    </cfRule>
  </conditionalFormatting>
  <conditionalFormatting sqref="H25:H32">
    <cfRule type="expression" dxfId="939" priority="3">
      <formula>H25&gt;0</formula>
    </cfRule>
    <cfRule type="expression" dxfId="938" priority="4">
      <formula>H25&lt;0</formula>
    </cfRule>
  </conditionalFormatting>
  <conditionalFormatting sqref="Q10">
    <cfRule type="expression" dxfId="937" priority="1">
      <formula>Q10&gt;0</formula>
    </cfRule>
    <cfRule type="expression" dxfId="936" priority="2">
      <formula>Q10&lt;0</formula>
    </cfRule>
  </conditionalFormatting>
  <hyperlinks>
    <hyperlink ref="A3" location="ACTIVE!A1" display="Back"/>
    <hyperlink ref="A39" r:id="rId1"/>
    <hyperlink ref="A47" location="ACTIVE!A1" display="Back"/>
  </hyperlinks>
  <pageMargins left="0.7" right="0.7" top="0.75" bottom="0.75" header="0.3" footer="0.3"/>
  <pageSetup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B655D0F-7FA3-4E22-9F1C-61BC0AD0587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AE9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3.7109375" customWidth="1"/>
    <col min="21" max="21" width="17.5703125" customWidth="1"/>
    <col min="23" max="23" width="14.85546875" customWidth="1"/>
    <col min="24" max="27" width="5.85546875" customWidth="1"/>
    <col min="28" max="28" width="9.85546875" customWidth="1"/>
    <col min="29" max="29" width="9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6" t="s">
        <v>126</v>
      </c>
      <c r="AE1" s="16" t="s">
        <v>128</v>
      </c>
    </row>
    <row r="2" spans="1:31" x14ac:dyDescent="0.25">
      <c r="A2" s="6" t="s">
        <v>383</v>
      </c>
      <c r="B2" s="459">
        <v>42684</v>
      </c>
      <c r="C2" s="4">
        <v>100</v>
      </c>
      <c r="D2" s="3">
        <v>22.54</v>
      </c>
      <c r="E2" s="3">
        <v>0</v>
      </c>
      <c r="F2" s="3">
        <f t="shared" ref="F2:F9" si="0">D2*C2+E2</f>
        <v>2254</v>
      </c>
      <c r="G2" s="459">
        <v>42724</v>
      </c>
      <c r="H2" s="7">
        <v>100</v>
      </c>
      <c r="I2" s="44">
        <v>21.98</v>
      </c>
      <c r="J2" s="44">
        <v>0.55000000000000004</v>
      </c>
      <c r="K2" s="44">
        <f>I2*H2-J2</f>
        <v>2197.4499999999998</v>
      </c>
      <c r="L2" s="74"/>
      <c r="M2" s="3"/>
      <c r="O2" s="11" t="s">
        <v>57</v>
      </c>
      <c r="Q2">
        <f>C18-H18</f>
        <v>500</v>
      </c>
      <c r="T2" s="1"/>
      <c r="W2" s="133">
        <v>42734</v>
      </c>
      <c r="X2" s="10">
        <v>21.34</v>
      </c>
      <c r="Y2" s="10">
        <v>21.49</v>
      </c>
      <c r="Z2" s="10">
        <v>21.06</v>
      </c>
      <c r="AA2" s="10">
        <v>21.08</v>
      </c>
      <c r="AB2" s="95">
        <v>1660800</v>
      </c>
      <c r="AC2" s="10">
        <v>21.08</v>
      </c>
      <c r="AD2">
        <f>Y2-Z2</f>
        <v>0.42999999999999972</v>
      </c>
      <c r="AE2" s="138">
        <f>AC2/AC3-1</f>
        <v>-1.1720581340834535E-2</v>
      </c>
    </row>
    <row r="3" spans="1:31" x14ac:dyDescent="0.25">
      <c r="A3" s="23" t="s">
        <v>71</v>
      </c>
      <c r="B3" s="459">
        <v>42685</v>
      </c>
      <c r="C3" s="7">
        <v>100</v>
      </c>
      <c r="D3" s="44">
        <v>21.28</v>
      </c>
      <c r="E3" s="44">
        <v>0</v>
      </c>
      <c r="F3" s="44">
        <f t="shared" si="0"/>
        <v>2128</v>
      </c>
      <c r="G3" s="459">
        <v>42766</v>
      </c>
      <c r="H3" s="82">
        <v>100</v>
      </c>
      <c r="I3" s="44">
        <v>21.22</v>
      </c>
      <c r="J3" s="44">
        <v>0.05</v>
      </c>
      <c r="K3" s="44">
        <f>I3*H3-J3</f>
        <v>2121.9499999999998</v>
      </c>
      <c r="L3" s="4"/>
      <c r="M3" s="4"/>
      <c r="O3" s="11" t="s">
        <v>58</v>
      </c>
      <c r="Q3" s="495">
        <f>IF(Q2=0, Q4, (F18-K18-M18)/Q2)</f>
        <v>20.491300000000003</v>
      </c>
      <c r="T3" s="1"/>
      <c r="W3" s="133">
        <v>42733</v>
      </c>
      <c r="X3" s="10">
        <v>21.11</v>
      </c>
      <c r="Y3" s="10">
        <v>21.45</v>
      </c>
      <c r="Z3" s="10">
        <v>21.05</v>
      </c>
      <c r="AA3" s="10">
        <v>21.33</v>
      </c>
      <c r="AB3" s="95">
        <v>1025000</v>
      </c>
      <c r="AC3" s="10">
        <v>21.33</v>
      </c>
      <c r="AD3">
        <f t="shared" ref="AD3:AD66" si="1">Y3-Z3</f>
        <v>0.39999999999999858</v>
      </c>
      <c r="AE3" s="138">
        <f t="shared" ref="AE3:AE66" si="2">AC3/AC4-1</f>
        <v>1.0421601136901826E-2</v>
      </c>
    </row>
    <row r="4" spans="1:31" x14ac:dyDescent="0.25">
      <c r="B4" s="459">
        <v>42706</v>
      </c>
      <c r="C4" s="7">
        <v>100</v>
      </c>
      <c r="D4" s="44">
        <v>21.13</v>
      </c>
      <c r="E4" s="44">
        <v>0</v>
      </c>
      <c r="F4" s="44">
        <f t="shared" si="0"/>
        <v>2113</v>
      </c>
      <c r="G4" s="459">
        <v>42766</v>
      </c>
      <c r="H4" s="82">
        <v>100</v>
      </c>
      <c r="I4" s="44">
        <v>21.58</v>
      </c>
      <c r="J4" s="44">
        <v>0.05</v>
      </c>
      <c r="K4" s="44">
        <f>I4*H4-J4</f>
        <v>2157.9499999999998</v>
      </c>
      <c r="L4" s="4"/>
      <c r="M4" s="4"/>
      <c r="O4" s="11" t="s">
        <v>66</v>
      </c>
      <c r="Q4" s="434">
        <v>20.12</v>
      </c>
      <c r="R4" s="505">
        <v>-1.95E-2</v>
      </c>
      <c r="T4" s="163"/>
      <c r="U4" s="1"/>
      <c r="W4" s="133">
        <v>42732</v>
      </c>
      <c r="X4" s="10">
        <v>21.54</v>
      </c>
      <c r="Y4" s="10">
        <v>21.7</v>
      </c>
      <c r="Z4" s="10">
        <v>21.05</v>
      </c>
      <c r="AA4" s="10">
        <v>21.11</v>
      </c>
      <c r="AB4" s="95">
        <v>1604900</v>
      </c>
      <c r="AC4" s="10">
        <v>21.11</v>
      </c>
      <c r="AD4">
        <f t="shared" si="1"/>
        <v>0.64999999999999858</v>
      </c>
      <c r="AE4" s="138">
        <f t="shared" si="2"/>
        <v>-2.0871985157699391E-2</v>
      </c>
    </row>
    <row r="5" spans="1:31" x14ac:dyDescent="0.25">
      <c r="A5" s="1">
        <v>42741</v>
      </c>
      <c r="B5" s="74">
        <v>42732</v>
      </c>
      <c r="C5" s="7">
        <v>100</v>
      </c>
      <c r="D5" s="44">
        <v>21.06</v>
      </c>
      <c r="E5" s="44">
        <v>0</v>
      </c>
      <c r="F5" s="44">
        <f t="shared" si="0"/>
        <v>2106</v>
      </c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10060</v>
      </c>
      <c r="W5" s="133">
        <v>42731</v>
      </c>
      <c r="X5" s="10">
        <v>21.41</v>
      </c>
      <c r="Y5" s="10">
        <v>21.93</v>
      </c>
      <c r="Z5" s="10">
        <v>21.35</v>
      </c>
      <c r="AA5" s="10">
        <v>21.56</v>
      </c>
      <c r="AB5" s="95">
        <v>2312500</v>
      </c>
      <c r="AC5" s="10">
        <v>21.56</v>
      </c>
      <c r="AD5">
        <f t="shared" si="1"/>
        <v>0.57999999999999829</v>
      </c>
      <c r="AE5" s="138">
        <f t="shared" si="2"/>
        <v>-2.4875621890547261E-2</v>
      </c>
    </row>
    <row r="6" spans="1:31" x14ac:dyDescent="0.25">
      <c r="B6" s="503">
        <v>42746</v>
      </c>
      <c r="C6" s="4">
        <v>100</v>
      </c>
      <c r="D6" s="3">
        <v>20.18</v>
      </c>
      <c r="E6" s="3">
        <v>0</v>
      </c>
      <c r="F6" s="3">
        <f t="shared" si="0"/>
        <v>2018</v>
      </c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10245.650000000001</v>
      </c>
      <c r="W6" s="133">
        <v>42727</v>
      </c>
      <c r="X6" s="10">
        <v>21.6</v>
      </c>
      <c r="Y6" s="10">
        <v>22.17</v>
      </c>
      <c r="Z6" s="10">
        <v>21.52</v>
      </c>
      <c r="AA6" s="10">
        <v>22.11</v>
      </c>
      <c r="AB6" s="95">
        <v>1162700</v>
      </c>
      <c r="AC6" s="10">
        <v>22.11</v>
      </c>
      <c r="AD6">
        <f t="shared" si="1"/>
        <v>0.65000000000000213</v>
      </c>
      <c r="AE6" s="138">
        <f t="shared" si="2"/>
        <v>2.3611111111111027E-2</v>
      </c>
    </row>
    <row r="7" spans="1:31" x14ac:dyDescent="0.25">
      <c r="B7" s="503">
        <v>42753</v>
      </c>
      <c r="C7" s="4">
        <v>100</v>
      </c>
      <c r="D7" s="3">
        <v>20.28</v>
      </c>
      <c r="E7" s="3">
        <v>0</v>
      </c>
      <c r="F7" s="3">
        <f t="shared" si="0"/>
        <v>2028</v>
      </c>
      <c r="G7" s="4"/>
      <c r="H7" s="185"/>
      <c r="I7" s="3"/>
      <c r="J7" s="3"/>
      <c r="K7" s="3"/>
      <c r="L7" s="4"/>
      <c r="M7" s="4"/>
      <c r="O7" s="11" t="s">
        <v>181</v>
      </c>
      <c r="Q7" s="2">
        <f>Q10+Q8</f>
        <v>159.32999999999902</v>
      </c>
      <c r="R7">
        <v>100</v>
      </c>
      <c r="W7" s="133">
        <v>42726</v>
      </c>
      <c r="X7" s="10">
        <v>21.97</v>
      </c>
      <c r="Y7" s="10">
        <v>21.98</v>
      </c>
      <c r="Z7" s="10">
        <v>21.3</v>
      </c>
      <c r="AA7" s="10">
        <v>21.6</v>
      </c>
      <c r="AB7" s="95">
        <v>1282700</v>
      </c>
      <c r="AC7" s="10">
        <v>21.6</v>
      </c>
      <c r="AD7">
        <f t="shared" si="1"/>
        <v>0.67999999999999972</v>
      </c>
      <c r="AE7" s="138">
        <f t="shared" si="2"/>
        <v>-1.8627896410722378E-2</v>
      </c>
    </row>
    <row r="8" spans="1:31" x14ac:dyDescent="0.25">
      <c r="B8" s="503">
        <v>42754</v>
      </c>
      <c r="C8" s="4">
        <v>100</v>
      </c>
      <c r="D8" s="3">
        <v>20.079999999999998</v>
      </c>
      <c r="E8" s="3">
        <v>0</v>
      </c>
      <c r="F8" s="3">
        <f t="shared" si="0"/>
        <v>2007.9999999999998</v>
      </c>
      <c r="G8" s="4"/>
      <c r="H8" s="185"/>
      <c r="I8" s="3"/>
      <c r="J8" s="3"/>
      <c r="K8" s="3"/>
      <c r="L8" s="4"/>
      <c r="M8" s="4"/>
      <c r="O8" s="11" t="s">
        <v>184</v>
      </c>
      <c r="P8" s="34"/>
      <c r="Q8" s="2">
        <f>K18+M18-F18+Q2*Q4</f>
        <v>-185.65000000000146</v>
      </c>
      <c r="W8" s="133">
        <v>42725</v>
      </c>
      <c r="X8" s="10">
        <v>22</v>
      </c>
      <c r="Y8" s="10">
        <v>22.21</v>
      </c>
      <c r="Z8" s="10">
        <v>21.98</v>
      </c>
      <c r="AA8" s="10">
        <v>22.01</v>
      </c>
      <c r="AB8" s="95">
        <v>863200</v>
      </c>
      <c r="AC8" s="10">
        <v>22.01</v>
      </c>
      <c r="AD8">
        <f t="shared" si="1"/>
        <v>0.23000000000000043</v>
      </c>
      <c r="AE8" s="138">
        <f t="shared" si="2"/>
        <v>1.8206645425582479E-3</v>
      </c>
    </row>
    <row r="9" spans="1:31" x14ac:dyDescent="0.25">
      <c r="B9" s="503">
        <v>42768</v>
      </c>
      <c r="C9" s="4">
        <v>100</v>
      </c>
      <c r="D9" s="3">
        <v>20.68</v>
      </c>
      <c r="E9" s="3">
        <v>0</v>
      </c>
      <c r="F9" s="3">
        <f t="shared" si="0"/>
        <v>2068</v>
      </c>
      <c r="G9" s="4"/>
      <c r="H9" s="185"/>
      <c r="I9" s="3"/>
      <c r="J9" s="3"/>
      <c r="K9" s="3"/>
      <c r="L9" s="4"/>
      <c r="M9" s="4"/>
      <c r="O9" s="11" t="s">
        <v>214</v>
      </c>
      <c r="Q9" s="138">
        <f>IF(Q2=0, 0, Q8/Q6)</f>
        <v>-1.8119885024376337E-2</v>
      </c>
      <c r="W9" s="133">
        <v>42724</v>
      </c>
      <c r="X9" s="10">
        <v>21.93</v>
      </c>
      <c r="Y9" s="10">
        <v>22.14</v>
      </c>
      <c r="Z9" s="10">
        <v>21.81</v>
      </c>
      <c r="AA9" s="10">
        <v>21.97</v>
      </c>
      <c r="AB9" s="95">
        <v>1417300</v>
      </c>
      <c r="AC9" s="10">
        <v>21.97</v>
      </c>
      <c r="AD9">
        <f t="shared" si="1"/>
        <v>0.33000000000000185</v>
      </c>
      <c r="AE9" s="138">
        <f t="shared" si="2"/>
        <v>7.3360843649701302E-3</v>
      </c>
    </row>
    <row r="10" spans="1:31" x14ac:dyDescent="0.25">
      <c r="H10" s="72"/>
      <c r="O10" s="11" t="s">
        <v>213</v>
      </c>
      <c r="P10" s="34"/>
      <c r="Q10" s="2">
        <f>M53</f>
        <v>344.98000000000047</v>
      </c>
      <c r="W10" s="133">
        <v>42723</v>
      </c>
      <c r="X10" s="10">
        <v>21.66</v>
      </c>
      <c r="Y10" s="10">
        <v>21.9</v>
      </c>
      <c r="Z10" s="10">
        <v>21.53</v>
      </c>
      <c r="AA10" s="10">
        <v>21.81</v>
      </c>
      <c r="AB10" s="95">
        <v>1543300</v>
      </c>
      <c r="AC10" s="10">
        <v>21.81</v>
      </c>
      <c r="AD10">
        <f t="shared" si="1"/>
        <v>0.36999999999999744</v>
      </c>
      <c r="AE10" s="138">
        <f t="shared" si="2"/>
        <v>1.0189902732746559E-2</v>
      </c>
    </row>
    <row r="11" spans="1:31" x14ac:dyDescent="0.25">
      <c r="H11" s="72"/>
      <c r="O11" s="11" t="s">
        <v>178</v>
      </c>
      <c r="P11" s="34"/>
      <c r="Q11" s="138">
        <f>IF(U58="N/A (N/A)", 0, VALUE(TRIM(CLEAN(MID(U58, FIND("(", U58)+1, 5)))))</f>
        <v>0</v>
      </c>
      <c r="W11" s="133">
        <v>42720</v>
      </c>
      <c r="X11" s="10">
        <v>21.2</v>
      </c>
      <c r="Y11" s="10">
        <v>21.63</v>
      </c>
      <c r="Z11" s="10">
        <v>21.17</v>
      </c>
      <c r="AA11" s="10">
        <v>21.59</v>
      </c>
      <c r="AB11" s="95">
        <v>2240700</v>
      </c>
      <c r="AC11" s="10">
        <v>21.59</v>
      </c>
      <c r="AD11">
        <f t="shared" si="1"/>
        <v>0.4599999999999973</v>
      </c>
      <c r="AE11" s="138">
        <f t="shared" si="2"/>
        <v>2.0803782505910196E-2</v>
      </c>
    </row>
    <row r="12" spans="1:31" x14ac:dyDescent="0.25">
      <c r="H12" s="72"/>
      <c r="W12" s="133">
        <v>42719</v>
      </c>
      <c r="X12" s="10">
        <v>21.16</v>
      </c>
      <c r="Y12" s="10">
        <v>21.5</v>
      </c>
      <c r="Z12" s="10">
        <v>21.07</v>
      </c>
      <c r="AA12" s="10">
        <v>21.15</v>
      </c>
      <c r="AB12" s="95">
        <v>1463600</v>
      </c>
      <c r="AC12" s="10">
        <v>21.15</v>
      </c>
      <c r="AD12">
        <f t="shared" si="1"/>
        <v>0.42999999999999972</v>
      </c>
      <c r="AE12" s="138">
        <f t="shared" si="2"/>
        <v>-2.3584905660377631E-3</v>
      </c>
    </row>
    <row r="13" spans="1:31" x14ac:dyDescent="0.25">
      <c r="H13" s="72"/>
      <c r="W13" s="133">
        <v>42718</v>
      </c>
      <c r="X13" s="10">
        <v>21.3</v>
      </c>
      <c r="Y13" s="10">
        <v>21.8</v>
      </c>
      <c r="Z13" s="10">
        <v>21.17</v>
      </c>
      <c r="AA13" s="10">
        <v>21.2</v>
      </c>
      <c r="AB13" s="95">
        <v>1849400</v>
      </c>
      <c r="AC13" s="10">
        <v>21.2</v>
      </c>
      <c r="AD13">
        <f t="shared" si="1"/>
        <v>0.62999999999999901</v>
      </c>
      <c r="AE13" s="138">
        <f t="shared" si="2"/>
        <v>-2.822201317027373E-3</v>
      </c>
    </row>
    <row r="14" spans="1:31" x14ac:dyDescent="0.25">
      <c r="H14" s="72"/>
      <c r="W14" s="133">
        <v>42717</v>
      </c>
      <c r="X14" s="10">
        <v>21.35</v>
      </c>
      <c r="Y14" s="10">
        <v>21.49</v>
      </c>
      <c r="Z14" s="10">
        <v>21.07</v>
      </c>
      <c r="AA14" s="10">
        <v>21.26</v>
      </c>
      <c r="AB14" s="95">
        <v>1812200</v>
      </c>
      <c r="AC14" s="10">
        <v>21.26</v>
      </c>
      <c r="AD14">
        <f t="shared" si="1"/>
        <v>0.41999999999999815</v>
      </c>
      <c r="AE14" s="138">
        <f t="shared" si="2"/>
        <v>8.0606922712187501E-3</v>
      </c>
    </row>
    <row r="15" spans="1:31" x14ac:dyDescent="0.25">
      <c r="H15" s="72"/>
      <c r="W15" s="133">
        <v>42716</v>
      </c>
      <c r="X15" s="10">
        <v>20.93</v>
      </c>
      <c r="Y15" s="10">
        <v>21.61</v>
      </c>
      <c r="Z15" s="10">
        <v>20.92</v>
      </c>
      <c r="AA15" s="10">
        <v>21.09</v>
      </c>
      <c r="AB15" s="95">
        <v>1734500</v>
      </c>
      <c r="AC15" s="10">
        <v>21.09</v>
      </c>
      <c r="AD15">
        <f t="shared" si="1"/>
        <v>0.68999999999999773</v>
      </c>
      <c r="AE15" s="138">
        <f t="shared" si="2"/>
        <v>9.492168960607561E-4</v>
      </c>
    </row>
    <row r="16" spans="1:31" x14ac:dyDescent="0.25">
      <c r="H16" s="72"/>
      <c r="W16" s="133">
        <v>42713</v>
      </c>
      <c r="X16" s="10">
        <v>21.49</v>
      </c>
      <c r="Y16" s="10">
        <v>21.65</v>
      </c>
      <c r="Z16" s="10">
        <v>20.84</v>
      </c>
      <c r="AA16" s="10">
        <v>21.07</v>
      </c>
      <c r="AB16" s="95">
        <v>1814700</v>
      </c>
      <c r="AC16" s="10">
        <v>21.07</v>
      </c>
      <c r="AD16">
        <f t="shared" si="1"/>
        <v>0.80999999999999872</v>
      </c>
      <c r="AE16" s="138">
        <f t="shared" si="2"/>
        <v>-7.5365049458313571E-3</v>
      </c>
    </row>
    <row r="17" spans="1:31" x14ac:dyDescent="0.25">
      <c r="W17" s="133">
        <v>42712</v>
      </c>
      <c r="X17" s="10">
        <v>20.59</v>
      </c>
      <c r="Y17" s="10">
        <v>21.53</v>
      </c>
      <c r="Z17" s="10">
        <v>20.41</v>
      </c>
      <c r="AA17" s="10">
        <v>21.23</v>
      </c>
      <c r="AB17" s="95">
        <v>2899100</v>
      </c>
      <c r="AC17" s="10">
        <v>21.23</v>
      </c>
      <c r="AD17">
        <f t="shared" si="1"/>
        <v>1.120000000000001</v>
      </c>
      <c r="AE17" s="138">
        <f t="shared" si="2"/>
        <v>3.3090024330900247E-2</v>
      </c>
    </row>
    <row r="18" spans="1:31" x14ac:dyDescent="0.25">
      <c r="A18" s="32" t="s">
        <v>81</v>
      </c>
      <c r="B18" s="14"/>
      <c r="C18" s="14">
        <f>SUM(C2:C9)</f>
        <v>800</v>
      </c>
      <c r="D18" s="18"/>
      <c r="E18" s="18"/>
      <c r="F18" s="18">
        <f>SUM(F2:F9)</f>
        <v>16723</v>
      </c>
      <c r="G18" s="14"/>
      <c r="H18" s="14">
        <f>SUM(H2:H5)</f>
        <v>300</v>
      </c>
      <c r="I18" s="18"/>
      <c r="J18" s="18"/>
      <c r="K18" s="18">
        <f>SUM(K2:K5)</f>
        <v>6477.3499999999995</v>
      </c>
      <c r="L18" s="14"/>
      <c r="M18" s="18">
        <f>SUM(M2:M10)</f>
        <v>0</v>
      </c>
      <c r="W18" s="133">
        <v>42711</v>
      </c>
      <c r="X18" s="10">
        <v>20.77</v>
      </c>
      <c r="Y18" s="10">
        <v>20.88</v>
      </c>
      <c r="Z18" s="10">
        <v>20.46</v>
      </c>
      <c r="AA18" s="10">
        <v>20.55</v>
      </c>
      <c r="AB18" s="95">
        <v>2518600</v>
      </c>
      <c r="AC18" s="10">
        <v>20.55</v>
      </c>
      <c r="AD18">
        <f t="shared" si="1"/>
        <v>0.41999999999999815</v>
      </c>
      <c r="AE18" s="138">
        <f t="shared" si="2"/>
        <v>-1.627573001436089E-2</v>
      </c>
    </row>
    <row r="19" spans="1:31" ht="15.75" thickBot="1" x14ac:dyDescent="0.3">
      <c r="A19" s="356" t="s">
        <v>198</v>
      </c>
      <c r="B19" s="357"/>
      <c r="C19" s="358">
        <f>SumByColor($A$19,C2:C17)</f>
        <v>300</v>
      </c>
      <c r="D19" s="358"/>
      <c r="E19" s="358"/>
      <c r="F19" s="359">
        <f>SumByColor($A$19,F2:F17)</f>
        <v>6347</v>
      </c>
      <c r="G19" s="358"/>
      <c r="H19" s="358">
        <f>SumByColor($A$19,H2:H17)</f>
        <v>300</v>
      </c>
      <c r="I19" s="358"/>
      <c r="J19" s="358"/>
      <c r="K19" s="359">
        <f>SumByColor($A$19,K2:K17)</f>
        <v>6477</v>
      </c>
      <c r="L19" s="358"/>
      <c r="M19" s="359">
        <f t="shared" ref="M19" si="3">SumByColor($A$19,M2:M17)</f>
        <v>0</v>
      </c>
      <c r="W19" s="133">
        <v>42710</v>
      </c>
      <c r="X19" s="10">
        <v>21.06</v>
      </c>
      <c r="Y19" s="10">
        <v>21.13</v>
      </c>
      <c r="Z19" s="10">
        <v>20.72</v>
      </c>
      <c r="AA19" s="10">
        <v>20.89</v>
      </c>
      <c r="AB19" s="95">
        <v>3333200</v>
      </c>
      <c r="AC19" s="10">
        <v>20.89</v>
      </c>
      <c r="AD19">
        <f t="shared" si="1"/>
        <v>0.41000000000000014</v>
      </c>
      <c r="AE19" s="138">
        <f t="shared" si="2"/>
        <v>-1.9111323459148899E-3</v>
      </c>
    </row>
    <row r="20" spans="1:31" x14ac:dyDescent="0.25">
      <c r="W20" s="133">
        <v>42709</v>
      </c>
      <c r="X20" s="10">
        <v>21.45</v>
      </c>
      <c r="Y20" s="10">
        <v>21.6</v>
      </c>
      <c r="Z20" s="10">
        <v>20.5</v>
      </c>
      <c r="AA20" s="10">
        <v>20.93</v>
      </c>
      <c r="AB20" s="95">
        <v>4357400</v>
      </c>
      <c r="AC20" s="10">
        <v>20.93</v>
      </c>
      <c r="AD20">
        <f t="shared" si="1"/>
        <v>1.1000000000000014</v>
      </c>
      <c r="AE20" s="138">
        <f t="shared" si="2"/>
        <v>-8.0568720379147196E-3</v>
      </c>
    </row>
    <row r="21" spans="1:31" x14ac:dyDescent="0.25">
      <c r="W21" s="133">
        <v>42706</v>
      </c>
      <c r="X21" s="10">
        <v>22.22</v>
      </c>
      <c r="Y21" s="10">
        <v>22.4</v>
      </c>
      <c r="Z21" s="10">
        <v>21.02</v>
      </c>
      <c r="AA21" s="10">
        <v>21.1</v>
      </c>
      <c r="AB21" s="95">
        <v>8908200</v>
      </c>
      <c r="AC21" s="10">
        <v>21.1</v>
      </c>
      <c r="AD21">
        <f t="shared" si="1"/>
        <v>1.379999999999999</v>
      </c>
      <c r="AE21" s="138">
        <f t="shared" si="2"/>
        <v>-0.12010008340283562</v>
      </c>
    </row>
    <row r="22" spans="1:31" x14ac:dyDescent="0.25">
      <c r="W22" s="133">
        <v>42705</v>
      </c>
      <c r="X22" s="10">
        <v>23.39</v>
      </c>
      <c r="Y22" s="10">
        <v>24.17</v>
      </c>
      <c r="Z22" s="10">
        <v>23.08</v>
      </c>
      <c r="AA22" s="10">
        <v>23.98</v>
      </c>
      <c r="AB22" s="95">
        <v>3246000</v>
      </c>
      <c r="AC22" s="10">
        <v>23.98</v>
      </c>
      <c r="AD22">
        <f t="shared" si="1"/>
        <v>1.0900000000000034</v>
      </c>
      <c r="AE22" s="138">
        <f t="shared" si="2"/>
        <v>2.7861123017574041E-2</v>
      </c>
    </row>
    <row r="23" spans="1:31" x14ac:dyDescent="0.25">
      <c r="W23" s="133">
        <v>42704</v>
      </c>
      <c r="X23" s="10">
        <v>24.04</v>
      </c>
      <c r="Y23" s="10">
        <v>24.11</v>
      </c>
      <c r="Z23" s="10">
        <v>23.06</v>
      </c>
      <c r="AA23" s="10">
        <v>23.33</v>
      </c>
      <c r="AB23" s="95">
        <v>2346700</v>
      </c>
      <c r="AC23" s="10">
        <v>23.33</v>
      </c>
      <c r="AD23">
        <f t="shared" si="1"/>
        <v>1.0500000000000007</v>
      </c>
      <c r="AE23" s="138">
        <f t="shared" si="2"/>
        <v>-2.7916666666666701E-2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155</v>
      </c>
      <c r="W24" s="133">
        <v>42703</v>
      </c>
      <c r="X24" s="10">
        <v>23.95</v>
      </c>
      <c r="Y24" s="10">
        <v>24.6</v>
      </c>
      <c r="Z24" s="10">
        <v>23.93</v>
      </c>
      <c r="AA24" s="10">
        <v>24</v>
      </c>
      <c r="AB24" s="95">
        <v>1929600</v>
      </c>
      <c r="AC24" s="10">
        <v>24</v>
      </c>
      <c r="AD24">
        <f t="shared" si="1"/>
        <v>0.67000000000000171</v>
      </c>
      <c r="AE24" s="138">
        <f t="shared" si="2"/>
        <v>5.0251256281408363E-3</v>
      </c>
    </row>
    <row r="25" spans="1:31" x14ac:dyDescent="0.25">
      <c r="B25" s="193">
        <v>42701</v>
      </c>
      <c r="C25" s="10">
        <v>200</v>
      </c>
      <c r="D25" s="40">
        <v>21.91</v>
      </c>
      <c r="E25" s="40">
        <v>23.82</v>
      </c>
      <c r="F25" s="40">
        <f t="shared" ref="F25" si="4">C25*(E25-D25)</f>
        <v>382</v>
      </c>
      <c r="G25" s="40">
        <f t="shared" ref="G25" si="5">D25*C25</f>
        <v>4382</v>
      </c>
      <c r="H25" s="231">
        <f t="shared" ref="H25" si="6">(E25-D25)/D25</f>
        <v>8.7174806024646292E-2</v>
      </c>
      <c r="I25" s="40"/>
      <c r="W25" s="133">
        <v>42702</v>
      </c>
      <c r="X25" s="10">
        <v>23.59</v>
      </c>
      <c r="Y25" s="10">
        <v>24.05</v>
      </c>
      <c r="Z25" s="10">
        <v>22.88</v>
      </c>
      <c r="AA25" s="10">
        <v>23.88</v>
      </c>
      <c r="AB25" s="95">
        <v>2123400</v>
      </c>
      <c r="AC25" s="10">
        <v>23.88</v>
      </c>
      <c r="AD25">
        <f t="shared" si="1"/>
        <v>1.1700000000000017</v>
      </c>
      <c r="AE25" s="138">
        <f t="shared" si="2"/>
        <v>2.5188916876572875E-3</v>
      </c>
    </row>
    <row r="26" spans="1:31" x14ac:dyDescent="0.25">
      <c r="B26" s="193">
        <v>42706</v>
      </c>
      <c r="C26" s="10">
        <v>300</v>
      </c>
      <c r="D26" s="40">
        <v>21.65</v>
      </c>
      <c r="E26" s="40">
        <v>21.1</v>
      </c>
      <c r="F26" s="40">
        <f t="shared" ref="F26" si="7">C26*(E26-D26)</f>
        <v>-164.99999999999915</v>
      </c>
      <c r="G26" s="40">
        <f t="shared" ref="G26" si="8">D26*C26</f>
        <v>6495</v>
      </c>
      <c r="H26" s="231">
        <f t="shared" ref="H26" si="9">(E26-D26)/D26</f>
        <v>-2.5404157043879778E-2</v>
      </c>
      <c r="I26" s="40"/>
      <c r="W26" s="133">
        <v>42699</v>
      </c>
      <c r="X26" s="10">
        <v>23.45</v>
      </c>
      <c r="Y26" s="10">
        <v>23.9</v>
      </c>
      <c r="Z26" s="10">
        <v>23.37</v>
      </c>
      <c r="AA26" s="10">
        <v>23.82</v>
      </c>
      <c r="AB26" s="95">
        <v>932400</v>
      </c>
      <c r="AC26" s="10">
        <v>23.82</v>
      </c>
      <c r="AD26">
        <f t="shared" si="1"/>
        <v>0.52999999999999758</v>
      </c>
      <c r="AE26" s="138">
        <f t="shared" si="2"/>
        <v>1.3185878349638358E-2</v>
      </c>
    </row>
    <row r="27" spans="1:31" x14ac:dyDescent="0.25">
      <c r="B27" s="193">
        <v>42724</v>
      </c>
      <c r="C27" s="10">
        <v>200</v>
      </c>
      <c r="D27" s="40">
        <v>21.4878</v>
      </c>
      <c r="E27" s="40">
        <v>21.98</v>
      </c>
      <c r="F27" s="40">
        <f t="shared" ref="F27" si="10">C27*(E27-D27)</f>
        <v>98.440000000000083</v>
      </c>
      <c r="G27" s="40">
        <f t="shared" ref="G27" si="11">D27*C27</f>
        <v>4297.5600000000004</v>
      </c>
      <c r="H27" s="231">
        <f t="shared" ref="H27" si="12">(E27-D27)/D27</f>
        <v>2.2906021091037725E-2</v>
      </c>
      <c r="I27" s="40"/>
      <c r="W27" s="133">
        <v>42697</v>
      </c>
      <c r="X27" s="10">
        <v>23.83</v>
      </c>
      <c r="Y27" s="10">
        <v>24.16</v>
      </c>
      <c r="Z27" s="10">
        <v>23.28</v>
      </c>
      <c r="AA27" s="10">
        <v>23.51</v>
      </c>
      <c r="AB27" s="95">
        <v>2260900</v>
      </c>
      <c r="AC27" s="10">
        <v>23.51</v>
      </c>
      <c r="AD27">
        <f t="shared" si="1"/>
        <v>0.87999999999999901</v>
      </c>
      <c r="AE27" s="138">
        <f t="shared" si="2"/>
        <v>-2.0824656393169549E-2</v>
      </c>
    </row>
    <row r="28" spans="1:31" x14ac:dyDescent="0.25">
      <c r="B28" s="193">
        <v>42732</v>
      </c>
      <c r="C28" s="10">
        <v>300</v>
      </c>
      <c r="D28" s="40">
        <v>21.345199999999998</v>
      </c>
      <c r="E28" s="40">
        <v>21.56</v>
      </c>
      <c r="F28" s="40">
        <f t="shared" ref="F28" si="13">C28*(E28-D28)</f>
        <v>64.440000000000097</v>
      </c>
      <c r="G28" s="40">
        <f t="shared" ref="G28" si="14">D28*C28</f>
        <v>6403.5599999999995</v>
      </c>
      <c r="H28" s="231">
        <f t="shared" ref="H28" si="15">(E28-D28)/D28</f>
        <v>1.0063152371493373E-2</v>
      </c>
      <c r="I28" s="40"/>
      <c r="W28" s="133">
        <v>42696</v>
      </c>
      <c r="X28" s="10">
        <v>24.05</v>
      </c>
      <c r="Y28" s="10">
        <v>24.23</v>
      </c>
      <c r="Z28" s="10">
        <v>23.66</v>
      </c>
      <c r="AA28" s="10">
        <v>24.01</v>
      </c>
      <c r="AB28" s="95">
        <v>2326100</v>
      </c>
      <c r="AC28" s="10">
        <v>24.01</v>
      </c>
      <c r="AD28">
        <f t="shared" si="1"/>
        <v>0.57000000000000028</v>
      </c>
      <c r="AE28" s="138">
        <f t="shared" si="2"/>
        <v>-5.3852526926263522E-3</v>
      </c>
    </row>
    <row r="29" spans="1:31" x14ac:dyDescent="0.25">
      <c r="B29" s="193">
        <v>42739</v>
      </c>
      <c r="C29" s="10">
        <v>300</v>
      </c>
      <c r="D29" s="40">
        <v>21.345199999999998</v>
      </c>
      <c r="E29" s="40">
        <v>20.9</v>
      </c>
      <c r="F29" s="40">
        <f t="shared" ref="F29" si="16">C29*(E29-D29)</f>
        <v>-133.55999999999995</v>
      </c>
      <c r="G29" s="40">
        <f t="shared" ref="G29" si="17">D29*C29</f>
        <v>6403.5599999999995</v>
      </c>
      <c r="H29" s="231">
        <f t="shared" ref="H29" si="18">(E29-D29)/D29</f>
        <v>-2.0857148211307453E-2</v>
      </c>
      <c r="I29" s="40"/>
      <c r="W29" s="133">
        <v>42695</v>
      </c>
      <c r="X29" s="10">
        <v>24.16</v>
      </c>
      <c r="Y29" s="10">
        <v>24.92</v>
      </c>
      <c r="Z29" s="10">
        <v>23.93</v>
      </c>
      <c r="AA29" s="10">
        <v>24.14</v>
      </c>
      <c r="AB29" s="95">
        <v>2912000</v>
      </c>
      <c r="AC29" s="10">
        <v>24.14</v>
      </c>
      <c r="AD29">
        <f t="shared" si="1"/>
        <v>0.99000000000000199</v>
      </c>
      <c r="AE29" s="138">
        <f t="shared" si="2"/>
        <v>4.1442188147544634E-4</v>
      </c>
    </row>
    <row r="30" spans="1:31" x14ac:dyDescent="0.25">
      <c r="B30" s="193">
        <v>42745</v>
      </c>
      <c r="C30" s="7">
        <v>300</v>
      </c>
      <c r="D30" s="44">
        <v>21.345199999999998</v>
      </c>
      <c r="E30" s="40">
        <v>20.58</v>
      </c>
      <c r="F30" s="40">
        <f t="shared" ref="F30:F32" si="19">C30*(E30-D30)</f>
        <v>-229.56000000000003</v>
      </c>
      <c r="G30" s="40">
        <f t="shared" ref="G30:G32" si="20">D30*C30</f>
        <v>6403.5599999999995</v>
      </c>
      <c r="H30" s="231">
        <f t="shared" ref="H30:H32" si="21">(E30-D30)/D30</f>
        <v>-3.5848809099938164E-2</v>
      </c>
      <c r="I30" s="40"/>
      <c r="W30" s="133">
        <v>42692</v>
      </c>
      <c r="X30" s="10">
        <v>24.53</v>
      </c>
      <c r="Y30" s="10">
        <v>25.01</v>
      </c>
      <c r="Z30" s="10">
        <v>23.96</v>
      </c>
      <c r="AA30" s="10">
        <v>24.13</v>
      </c>
      <c r="AB30" s="95">
        <v>2115400</v>
      </c>
      <c r="AC30" s="10">
        <v>24.13</v>
      </c>
      <c r="AD30">
        <f t="shared" si="1"/>
        <v>1.0500000000000007</v>
      </c>
      <c r="AE30" s="138">
        <f t="shared" si="2"/>
        <v>-1.1065573770491777E-2</v>
      </c>
    </row>
    <row r="31" spans="1:31" x14ac:dyDescent="0.25">
      <c r="B31" s="193">
        <v>42746</v>
      </c>
      <c r="C31" s="10">
        <v>400</v>
      </c>
      <c r="D31" s="40">
        <v>21.053879999999999</v>
      </c>
      <c r="E31" s="40">
        <v>20.309999999999999</v>
      </c>
      <c r="F31" s="40">
        <f t="shared" si="19"/>
        <v>-297.55200000000031</v>
      </c>
      <c r="G31" s="40">
        <f t="shared" si="20"/>
        <v>8421.5519999999997</v>
      </c>
      <c r="H31" s="231">
        <f t="shared" si="21"/>
        <v>-3.5332204800255382E-2</v>
      </c>
      <c r="I31" s="40"/>
      <c r="W31" s="133">
        <v>42691</v>
      </c>
      <c r="X31" s="10">
        <v>24.32</v>
      </c>
      <c r="Y31" s="10">
        <v>24.74</v>
      </c>
      <c r="Z31" s="10">
        <v>24.22</v>
      </c>
      <c r="AA31" s="10">
        <v>24.4</v>
      </c>
      <c r="AB31" s="95">
        <v>1870600</v>
      </c>
      <c r="AC31" s="10">
        <v>24.4</v>
      </c>
      <c r="AD31">
        <f t="shared" si="1"/>
        <v>0.51999999999999957</v>
      </c>
      <c r="AE31" s="138">
        <f t="shared" si="2"/>
        <v>1.7090454355981777E-2</v>
      </c>
    </row>
    <row r="32" spans="1:31" x14ac:dyDescent="0.25">
      <c r="A32" t="s">
        <v>421</v>
      </c>
      <c r="B32" s="193">
        <v>42754</v>
      </c>
      <c r="C32" s="598">
        <v>600</v>
      </c>
      <c r="D32" s="607">
        <v>20.76258</v>
      </c>
      <c r="E32" s="40">
        <v>20.260000000000002</v>
      </c>
      <c r="F32" s="40">
        <f t="shared" si="19"/>
        <v>-301.54799999999898</v>
      </c>
      <c r="G32" s="40">
        <f t="shared" si="20"/>
        <v>12457.548000000001</v>
      </c>
      <c r="H32" s="231">
        <f t="shared" si="21"/>
        <v>-2.4206047610653314E-2</v>
      </c>
      <c r="I32" s="40" t="s">
        <v>414</v>
      </c>
      <c r="W32" s="133">
        <v>42690</v>
      </c>
      <c r="X32" s="10">
        <v>23.75</v>
      </c>
      <c r="Y32" s="10">
        <v>24.37</v>
      </c>
      <c r="Z32" s="10">
        <v>23.5</v>
      </c>
      <c r="AA32" s="10">
        <v>23.99</v>
      </c>
      <c r="AB32" s="95">
        <v>2000600</v>
      </c>
      <c r="AC32" s="10">
        <v>23.99</v>
      </c>
      <c r="AD32">
        <f t="shared" si="1"/>
        <v>0.87000000000000099</v>
      </c>
      <c r="AE32" s="138">
        <f t="shared" si="2"/>
        <v>1.3947590870667659E-2</v>
      </c>
    </row>
    <row r="33" spans="1:31" x14ac:dyDescent="0.25">
      <c r="A33" t="s">
        <v>421</v>
      </c>
      <c r="B33" s="193">
        <v>42760</v>
      </c>
      <c r="C33" s="10">
        <v>600</v>
      </c>
      <c r="D33" s="40">
        <v>20.76258</v>
      </c>
      <c r="E33" s="40">
        <v>20.89</v>
      </c>
      <c r="F33" s="40">
        <f t="shared" ref="F33" si="22">C33*(E33-D33)</f>
        <v>76.452000000000453</v>
      </c>
      <c r="G33" s="40">
        <f t="shared" ref="G33" si="23">D33*C33</f>
        <v>12457.548000000001</v>
      </c>
      <c r="H33" s="231">
        <f t="shared" ref="H33" si="24">(E33-D33)/D33</f>
        <v>6.1370022415326402E-3</v>
      </c>
      <c r="I33" s="40"/>
      <c r="W33" s="133">
        <v>42689</v>
      </c>
      <c r="X33" s="10">
        <v>23.74</v>
      </c>
      <c r="Y33" s="10">
        <v>24.46</v>
      </c>
      <c r="Z33" s="10">
        <v>23.19</v>
      </c>
      <c r="AA33" s="10">
        <v>23.66</v>
      </c>
      <c r="AB33" s="95">
        <v>3068000</v>
      </c>
      <c r="AC33" s="10">
        <v>23.66</v>
      </c>
      <c r="AD33">
        <f t="shared" si="1"/>
        <v>1.2699999999999996</v>
      </c>
      <c r="AE33" s="138">
        <f t="shared" si="2"/>
        <v>3.392705682782049E-3</v>
      </c>
    </row>
    <row r="34" spans="1:31" x14ac:dyDescent="0.25">
      <c r="A34" t="s">
        <v>471</v>
      </c>
      <c r="B34" s="193">
        <v>42764</v>
      </c>
      <c r="C34" s="10">
        <v>600</v>
      </c>
      <c r="D34" s="40">
        <v>20.76258</v>
      </c>
      <c r="E34" s="40">
        <v>20.58</v>
      </c>
      <c r="F34" s="40">
        <f t="shared" ref="F34:F36" si="25">C34*(E34-D34)</f>
        <v>-109.54800000000091</v>
      </c>
      <c r="G34" s="40">
        <f t="shared" ref="G34:G36" si="26">D34*C34</f>
        <v>12457.548000000001</v>
      </c>
      <c r="H34" s="231">
        <f t="shared" ref="H34:H36" si="27">(E34-D34)/D34</f>
        <v>-8.7937048285907406E-3</v>
      </c>
      <c r="I34" s="40"/>
      <c r="W34" s="133">
        <v>42688</v>
      </c>
      <c r="X34" s="10">
        <v>21.9</v>
      </c>
      <c r="Y34" s="10">
        <v>23.59</v>
      </c>
      <c r="Z34" s="10">
        <v>21.5</v>
      </c>
      <c r="AA34" s="10">
        <v>23.58</v>
      </c>
      <c r="AB34" s="95">
        <v>5666200</v>
      </c>
      <c r="AC34" s="10">
        <v>23.58</v>
      </c>
      <c r="AD34">
        <f t="shared" si="1"/>
        <v>2.09</v>
      </c>
      <c r="AE34" s="138">
        <f t="shared" si="2"/>
        <v>0.11016949152542366</v>
      </c>
    </row>
    <row r="35" spans="1:31" x14ac:dyDescent="0.25">
      <c r="A35" t="s">
        <v>492</v>
      </c>
      <c r="B35" s="193">
        <v>42766</v>
      </c>
      <c r="C35" s="10">
        <v>400</v>
      </c>
      <c r="D35" s="40">
        <v>20.444130000000001</v>
      </c>
      <c r="E35" s="40">
        <v>21.3</v>
      </c>
      <c r="F35" s="40">
        <f t="shared" si="25"/>
        <v>342.34799999999979</v>
      </c>
      <c r="G35" s="40">
        <f t="shared" si="26"/>
        <v>8177.652</v>
      </c>
      <c r="H35" s="231">
        <f t="shared" si="27"/>
        <v>4.1863850405960017E-2</v>
      </c>
      <c r="I35" s="40"/>
      <c r="W35" s="133">
        <v>42685</v>
      </c>
      <c r="X35" s="10">
        <v>22.24</v>
      </c>
      <c r="Y35" s="10">
        <v>22.66</v>
      </c>
      <c r="Z35" s="10">
        <v>21.02</v>
      </c>
      <c r="AA35" s="10">
        <v>21.24</v>
      </c>
      <c r="AB35" s="95">
        <v>5487600</v>
      </c>
      <c r="AC35" s="10">
        <v>21.24</v>
      </c>
      <c r="AD35">
        <f t="shared" si="1"/>
        <v>1.6400000000000006</v>
      </c>
      <c r="AE35" s="138">
        <f t="shared" si="2"/>
        <v>-3.3666969972702576E-2</v>
      </c>
    </row>
    <row r="36" spans="1:31" x14ac:dyDescent="0.25">
      <c r="A36" t="s">
        <v>527</v>
      </c>
      <c r="B36" s="193">
        <v>42768</v>
      </c>
      <c r="C36" s="10">
        <v>500</v>
      </c>
      <c r="D36" s="40">
        <v>20.491299999999999</v>
      </c>
      <c r="E36" s="40">
        <v>20.52</v>
      </c>
      <c r="F36" s="40">
        <f t="shared" si="25"/>
        <v>14.350000000000307</v>
      </c>
      <c r="G36" s="40">
        <f t="shared" si="26"/>
        <v>10245.65</v>
      </c>
      <c r="H36" s="231">
        <f t="shared" si="27"/>
        <v>1.4005943985984596E-3</v>
      </c>
      <c r="I36" s="40"/>
      <c r="W36" s="133">
        <v>42684</v>
      </c>
      <c r="X36" s="10">
        <v>24.51</v>
      </c>
      <c r="Y36" s="10">
        <v>24.8</v>
      </c>
      <c r="Z36" s="10">
        <v>21.92</v>
      </c>
      <c r="AA36" s="10">
        <v>21.98</v>
      </c>
      <c r="AB36" s="95">
        <v>8834900</v>
      </c>
      <c r="AC36" s="10">
        <v>21.98</v>
      </c>
      <c r="AD36">
        <f t="shared" si="1"/>
        <v>2.879999999999999</v>
      </c>
      <c r="AE36" s="138">
        <f t="shared" si="2"/>
        <v>-8.8723051409618559E-2</v>
      </c>
    </row>
    <row r="37" spans="1:31" x14ac:dyDescent="0.25">
      <c r="B37" s="193"/>
      <c r="C37" s="10"/>
      <c r="D37" s="40"/>
      <c r="E37" s="40"/>
      <c r="F37" s="40"/>
      <c r="G37" s="40"/>
      <c r="H37" s="231"/>
      <c r="I37" s="40"/>
      <c r="W37" s="133">
        <v>42683</v>
      </c>
      <c r="X37" s="10">
        <v>25.25</v>
      </c>
      <c r="Y37" s="10">
        <v>26.21</v>
      </c>
      <c r="Z37" s="10">
        <v>23.5</v>
      </c>
      <c r="AA37" s="10">
        <v>24.12</v>
      </c>
      <c r="AB37" s="95">
        <v>11306400</v>
      </c>
      <c r="AC37" s="10">
        <v>24.12</v>
      </c>
      <c r="AD37">
        <f t="shared" si="1"/>
        <v>2.7100000000000009</v>
      </c>
      <c r="AE37" s="138">
        <f t="shared" si="2"/>
        <v>-0.1521968365553602</v>
      </c>
    </row>
    <row r="38" spans="1:31" x14ac:dyDescent="0.25">
      <c r="B38" s="193"/>
      <c r="C38" s="10"/>
      <c r="D38" s="40"/>
      <c r="E38" s="40"/>
      <c r="F38" s="40"/>
      <c r="G38" s="40"/>
      <c r="H38" s="231"/>
      <c r="I38" s="40"/>
      <c r="W38" s="133">
        <v>42682</v>
      </c>
      <c r="X38" s="10">
        <v>28.1</v>
      </c>
      <c r="Y38" s="10">
        <v>28.57</v>
      </c>
      <c r="Z38" s="10">
        <v>27.89</v>
      </c>
      <c r="AA38" s="10">
        <v>28.45</v>
      </c>
      <c r="AB38" s="95">
        <v>2127700</v>
      </c>
      <c r="AC38" s="10">
        <v>28.45</v>
      </c>
      <c r="AD38">
        <f t="shared" si="1"/>
        <v>0.67999999999999972</v>
      </c>
      <c r="AE38" s="138">
        <f t="shared" si="2"/>
        <v>2.1543985637342722E-2</v>
      </c>
    </row>
    <row r="39" spans="1:31" x14ac:dyDescent="0.25">
      <c r="B39" s="193"/>
      <c r="C39" s="10"/>
      <c r="D39" s="40"/>
      <c r="E39" s="40"/>
      <c r="F39" s="40"/>
      <c r="G39" s="40"/>
      <c r="H39" s="231"/>
      <c r="I39" s="40"/>
      <c r="W39" s="133">
        <v>42681</v>
      </c>
      <c r="X39" s="10">
        <v>28.17</v>
      </c>
      <c r="Y39" s="10">
        <v>28.2</v>
      </c>
      <c r="Z39" s="10">
        <v>27.7</v>
      </c>
      <c r="AA39" s="10">
        <v>27.85</v>
      </c>
      <c r="AB39" s="95">
        <v>2069200</v>
      </c>
      <c r="AC39" s="10">
        <v>27.85</v>
      </c>
      <c r="AD39">
        <f t="shared" si="1"/>
        <v>0.5</v>
      </c>
      <c r="AE39" s="138">
        <f t="shared" si="2"/>
        <v>2.2393538913362709E-2</v>
      </c>
    </row>
    <row r="40" spans="1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638" t="s">
        <v>78</v>
      </c>
      <c r="P40" s="638"/>
      <c r="W40" s="133">
        <v>42678</v>
      </c>
      <c r="X40" s="10">
        <v>26.81</v>
      </c>
      <c r="Y40" s="10">
        <v>28.05</v>
      </c>
      <c r="Z40" s="10">
        <v>26.75</v>
      </c>
      <c r="AA40" s="10">
        <v>27.24</v>
      </c>
      <c r="AB40" s="95">
        <v>2481500</v>
      </c>
      <c r="AC40" s="10">
        <v>27.24</v>
      </c>
      <c r="AD40">
        <f t="shared" si="1"/>
        <v>1.3000000000000007</v>
      </c>
      <c r="AE40" s="138">
        <f t="shared" si="2"/>
        <v>2.0606968902210365E-2</v>
      </c>
    </row>
    <row r="41" spans="1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22.132000000000001</v>
      </c>
      <c r="Q41" s="2"/>
      <c r="W41" s="133">
        <v>42677</v>
      </c>
      <c r="X41" s="10">
        <v>26.4</v>
      </c>
      <c r="Y41" s="10">
        <v>26.82</v>
      </c>
      <c r="Z41" s="10">
        <v>26.26</v>
      </c>
      <c r="AA41" s="10">
        <v>26.69</v>
      </c>
      <c r="AB41" s="95">
        <v>961600</v>
      </c>
      <c r="AC41" s="10">
        <v>26.69</v>
      </c>
      <c r="AD41">
        <f t="shared" si="1"/>
        <v>0.55999999999999872</v>
      </c>
      <c r="AE41" s="138">
        <f t="shared" si="2"/>
        <v>1.4057750759878473E-2</v>
      </c>
    </row>
    <row r="42" spans="1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28">O42*$Q$4</f>
        <v>21.930800000000001</v>
      </c>
      <c r="Q42" s="2"/>
      <c r="T42" s="91" t="s">
        <v>113</v>
      </c>
      <c r="W42" s="133">
        <v>42676</v>
      </c>
      <c r="X42" s="10">
        <v>26.25</v>
      </c>
      <c r="Y42" s="10">
        <v>26.58</v>
      </c>
      <c r="Z42" s="10">
        <v>26.15</v>
      </c>
      <c r="AA42" s="10">
        <v>26.32</v>
      </c>
      <c r="AB42" s="95">
        <v>1489900</v>
      </c>
      <c r="AC42" s="10">
        <v>26.32</v>
      </c>
      <c r="AD42">
        <f t="shared" si="1"/>
        <v>0.42999999999999972</v>
      </c>
      <c r="AE42" s="138">
        <f t="shared" si="2"/>
        <v>9.9769762087491554E-3</v>
      </c>
    </row>
    <row r="43" spans="1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28"/>
        <v>21.729600000000001</v>
      </c>
      <c r="Q43" s="2"/>
      <c r="T43" s="128" t="s">
        <v>98</v>
      </c>
      <c r="U43" s="129">
        <v>21.08</v>
      </c>
      <c r="W43" s="133">
        <v>42675</v>
      </c>
      <c r="X43" s="10">
        <v>26.4</v>
      </c>
      <c r="Y43" s="10">
        <v>26.48</v>
      </c>
      <c r="Z43" s="10">
        <v>25.78</v>
      </c>
      <c r="AA43" s="10">
        <v>26.06</v>
      </c>
      <c r="AB43" s="95">
        <v>1645100</v>
      </c>
      <c r="AC43" s="10">
        <v>26.06</v>
      </c>
      <c r="AD43">
        <f t="shared" si="1"/>
        <v>0.69999999999999929</v>
      </c>
      <c r="AE43" s="138">
        <f t="shared" si="2"/>
        <v>-1.3999243284146812E-2</v>
      </c>
    </row>
    <row r="44" spans="1:31" x14ac:dyDescent="0.25">
      <c r="B44" s="193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28"/>
        <v>21.528400000000001</v>
      </c>
      <c r="Q44" s="2"/>
      <c r="T44" s="93" t="s">
        <v>99</v>
      </c>
      <c r="U44" s="130" t="s">
        <v>129</v>
      </c>
      <c r="W44" s="133">
        <v>42674</v>
      </c>
      <c r="X44" s="10">
        <v>25.92</v>
      </c>
      <c r="Y44" s="10">
        <v>26.45</v>
      </c>
      <c r="Z44" s="10">
        <v>25.61</v>
      </c>
      <c r="AA44" s="10">
        <v>26.43</v>
      </c>
      <c r="AB44" s="95">
        <v>885500</v>
      </c>
      <c r="AC44" s="10">
        <v>26.43</v>
      </c>
      <c r="AD44">
        <f t="shared" si="1"/>
        <v>0.83999999999999986</v>
      </c>
      <c r="AE44" s="138">
        <f t="shared" si="2"/>
        <v>2.8004667444573972E-2</v>
      </c>
    </row>
    <row r="45" spans="1:31" x14ac:dyDescent="0.25">
      <c r="B45" s="193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28"/>
        <v>21.327200000000001</v>
      </c>
      <c r="Q45" s="2"/>
      <c r="T45" s="93" t="s">
        <v>100</v>
      </c>
      <c r="U45" s="130" t="s">
        <v>129</v>
      </c>
      <c r="W45" s="133">
        <v>42671</v>
      </c>
      <c r="X45" s="10">
        <v>25.7</v>
      </c>
      <c r="Y45" s="10">
        <v>26.18</v>
      </c>
      <c r="Z45" s="10">
        <v>25.65</v>
      </c>
      <c r="AA45" s="10">
        <v>25.71</v>
      </c>
      <c r="AB45" s="95">
        <v>858100</v>
      </c>
      <c r="AC45" s="10">
        <v>25.71</v>
      </c>
      <c r="AD45">
        <f t="shared" si="1"/>
        <v>0.53000000000000114</v>
      </c>
      <c r="AE45" s="138">
        <f t="shared" si="2"/>
        <v>-7.7730275942478055E-4</v>
      </c>
    </row>
    <row r="46" spans="1:31" x14ac:dyDescent="0.25">
      <c r="B46" s="193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28"/>
        <v>21.126000000000001</v>
      </c>
      <c r="Q46" s="2"/>
      <c r="T46" s="93" t="s">
        <v>101</v>
      </c>
      <c r="U46" s="130" t="s">
        <v>129</v>
      </c>
      <c r="W46" s="133">
        <v>42670</v>
      </c>
      <c r="X46" s="10">
        <v>26.48</v>
      </c>
      <c r="Y46" s="10">
        <v>26.51</v>
      </c>
      <c r="Z46" s="10">
        <v>25.52</v>
      </c>
      <c r="AA46" s="10">
        <v>25.73</v>
      </c>
      <c r="AB46" s="95">
        <v>1320200</v>
      </c>
      <c r="AC46" s="10">
        <v>25.73</v>
      </c>
      <c r="AD46">
        <f t="shared" si="1"/>
        <v>0.99000000000000199</v>
      </c>
      <c r="AE46" s="138">
        <f t="shared" si="2"/>
        <v>-2.0555767034640238E-2</v>
      </c>
    </row>
    <row r="47" spans="1:31" x14ac:dyDescent="0.25">
      <c r="B47" s="193"/>
      <c r="C47" s="10"/>
      <c r="D47" s="40"/>
      <c r="E47" s="40"/>
      <c r="F47" s="40"/>
      <c r="G47" s="40"/>
      <c r="H47" s="231"/>
      <c r="I47" s="40"/>
      <c r="O47" s="83">
        <v>1.04</v>
      </c>
      <c r="P47" s="83">
        <f>O47*$Q$4</f>
        <v>20.924800000000001</v>
      </c>
      <c r="Q47" s="2"/>
      <c r="T47" s="93" t="s">
        <v>102</v>
      </c>
      <c r="U47" s="130">
        <v>26.25</v>
      </c>
      <c r="W47" s="133">
        <v>42669</v>
      </c>
      <c r="X47" s="10">
        <v>26.56</v>
      </c>
      <c r="Y47" s="10">
        <v>26.78</v>
      </c>
      <c r="Z47" s="10">
        <v>26.19</v>
      </c>
      <c r="AA47" s="10">
        <v>26.27</v>
      </c>
      <c r="AB47" s="95">
        <v>859800</v>
      </c>
      <c r="AC47" s="10">
        <v>26.27</v>
      </c>
      <c r="AD47">
        <f t="shared" si="1"/>
        <v>0.58999999999999986</v>
      </c>
      <c r="AE47" s="138">
        <f t="shared" si="2"/>
        <v>-1.5736230798051754E-2</v>
      </c>
    </row>
    <row r="48" spans="1:31" x14ac:dyDescent="0.25">
      <c r="B48" s="193"/>
      <c r="C48" s="10"/>
      <c r="D48" s="40"/>
      <c r="E48" s="40"/>
      <c r="F48" s="40"/>
      <c r="G48" s="40"/>
      <c r="H48" s="231"/>
      <c r="I48" s="40"/>
      <c r="O48" s="83">
        <v>1.03</v>
      </c>
      <c r="P48" s="83">
        <f t="shared" si="28"/>
        <v>20.723600000000001</v>
      </c>
      <c r="Q48" s="2"/>
      <c r="T48" s="93" t="s">
        <v>103</v>
      </c>
      <c r="U48" s="130">
        <v>-0.32694499999999999</v>
      </c>
      <c r="W48" s="133">
        <v>42668</v>
      </c>
      <c r="X48" s="10">
        <v>27.12</v>
      </c>
      <c r="Y48" s="10">
        <v>27.12</v>
      </c>
      <c r="Z48" s="10">
        <v>26.59</v>
      </c>
      <c r="AA48" s="10">
        <v>26.69</v>
      </c>
      <c r="AB48" s="95">
        <v>978600</v>
      </c>
      <c r="AC48" s="10">
        <v>26.69</v>
      </c>
      <c r="AD48">
        <f t="shared" si="1"/>
        <v>0.53000000000000114</v>
      </c>
      <c r="AE48" s="138">
        <f t="shared" si="2"/>
        <v>-4.104477611940327E-3</v>
      </c>
    </row>
    <row r="49" spans="1:31" x14ac:dyDescent="0.25">
      <c r="B49" s="193"/>
      <c r="C49" s="10"/>
      <c r="D49" s="40"/>
      <c r="E49" s="40"/>
      <c r="F49" s="40"/>
      <c r="G49" s="40"/>
      <c r="H49" s="231"/>
      <c r="I49" s="40"/>
      <c r="O49" s="83">
        <v>1.02</v>
      </c>
      <c r="P49" s="83">
        <f t="shared" si="28"/>
        <v>20.522400000000001</v>
      </c>
      <c r="Q49" s="2"/>
      <c r="T49" s="93" t="s">
        <v>122</v>
      </c>
      <c r="U49" s="130" t="s">
        <v>341</v>
      </c>
      <c r="W49" s="133">
        <v>42667</v>
      </c>
      <c r="X49" s="10">
        <v>26.76</v>
      </c>
      <c r="Y49" s="10">
        <v>26.91</v>
      </c>
      <c r="Z49" s="10">
        <v>26.4</v>
      </c>
      <c r="AA49" s="10">
        <v>26.8</v>
      </c>
      <c r="AB49" s="95">
        <v>688500</v>
      </c>
      <c r="AC49" s="10">
        <v>26.8</v>
      </c>
      <c r="AD49">
        <f t="shared" si="1"/>
        <v>0.51000000000000156</v>
      </c>
      <c r="AE49" s="138">
        <f t="shared" si="2"/>
        <v>7.8977059044753606E-3</v>
      </c>
    </row>
    <row r="50" spans="1:31" x14ac:dyDescent="0.25">
      <c r="B50" s="193"/>
      <c r="C50" s="10"/>
      <c r="D50" s="40"/>
      <c r="E50" s="40"/>
      <c r="F50" s="40"/>
      <c r="G50" s="40"/>
      <c r="H50" s="231"/>
      <c r="I50" s="40"/>
      <c r="O50" s="83">
        <v>1.01</v>
      </c>
      <c r="P50" s="83">
        <f t="shared" si="28"/>
        <v>20.321200000000001</v>
      </c>
      <c r="Q50" s="2"/>
      <c r="T50" s="93"/>
      <c r="U50" s="130"/>
      <c r="W50" s="133">
        <v>42664</v>
      </c>
      <c r="X50" s="10">
        <v>26.51</v>
      </c>
      <c r="Y50" s="10">
        <v>26.61</v>
      </c>
      <c r="Z50" s="10">
        <v>26.22</v>
      </c>
      <c r="AA50" s="10">
        <v>26.59</v>
      </c>
      <c r="AB50" s="95">
        <v>909800</v>
      </c>
      <c r="AC50" s="10">
        <v>26.59</v>
      </c>
      <c r="AD50">
        <f t="shared" si="1"/>
        <v>0.39000000000000057</v>
      </c>
      <c r="AE50" s="138">
        <f t="shared" si="2"/>
        <v>-1.8768768768768762E-3</v>
      </c>
    </row>
    <row r="51" spans="1:31" x14ac:dyDescent="0.25">
      <c r="B51" s="193"/>
      <c r="C51" s="10"/>
      <c r="D51" s="40"/>
      <c r="E51" s="40"/>
      <c r="F51" s="40"/>
      <c r="G51" s="40"/>
      <c r="H51" s="231"/>
      <c r="I51" s="40"/>
      <c r="O51" s="83">
        <v>1</v>
      </c>
      <c r="P51" s="83">
        <f t="shared" si="28"/>
        <v>20.12</v>
      </c>
      <c r="Q51" s="2"/>
      <c r="T51" s="93" t="s">
        <v>105</v>
      </c>
      <c r="U51" s="130" t="s">
        <v>379</v>
      </c>
      <c r="W51" s="133">
        <v>42663</v>
      </c>
      <c r="X51" s="10">
        <v>26.6</v>
      </c>
      <c r="Y51" s="10">
        <v>26.78</v>
      </c>
      <c r="Z51" s="10">
        <v>26.41</v>
      </c>
      <c r="AA51" s="10">
        <v>26.64</v>
      </c>
      <c r="AB51" s="95">
        <v>1028800</v>
      </c>
      <c r="AC51" s="10">
        <v>26.64</v>
      </c>
      <c r="AD51">
        <f t="shared" si="1"/>
        <v>0.37000000000000099</v>
      </c>
      <c r="AE51" s="138">
        <f t="shared" si="2"/>
        <v>5.2830188679244827E-3</v>
      </c>
    </row>
    <row r="52" spans="1:31" x14ac:dyDescent="0.25">
      <c r="O52" s="83">
        <v>0.99</v>
      </c>
      <c r="P52" s="83">
        <f t="shared" si="28"/>
        <v>19.918800000000001</v>
      </c>
      <c r="Q52" s="2"/>
      <c r="T52" s="93" t="s">
        <v>106</v>
      </c>
      <c r="U52" s="130" t="s">
        <v>342</v>
      </c>
      <c r="W52" s="133">
        <v>42662</v>
      </c>
      <c r="X52" s="10">
        <v>26.28</v>
      </c>
      <c r="Y52" s="10">
        <v>26.58</v>
      </c>
      <c r="Z52" s="10">
        <v>26.02</v>
      </c>
      <c r="AA52" s="10">
        <v>26.5</v>
      </c>
      <c r="AB52" s="95">
        <v>872200</v>
      </c>
      <c r="AC52" s="10">
        <v>26.5</v>
      </c>
      <c r="AD52">
        <f t="shared" si="1"/>
        <v>0.55999999999999872</v>
      </c>
      <c r="AE52" s="138">
        <f t="shared" si="2"/>
        <v>9.52380952380949E-3</v>
      </c>
    </row>
    <row r="53" spans="1:31" x14ac:dyDescent="0.25">
      <c r="L53" t="s">
        <v>65</v>
      </c>
      <c r="M53" s="2">
        <f>M71+K71-F71</f>
        <v>344.98000000000047</v>
      </c>
      <c r="O53" s="83">
        <v>0.98</v>
      </c>
      <c r="P53" s="83">
        <f t="shared" si="28"/>
        <v>19.717600000000001</v>
      </c>
      <c r="Q53" s="2"/>
      <c r="T53" s="93" t="s">
        <v>107</v>
      </c>
      <c r="U53" s="131">
        <v>0</v>
      </c>
      <c r="W53" s="133">
        <v>42661</v>
      </c>
      <c r="X53" s="10">
        <v>26.17</v>
      </c>
      <c r="Y53" s="10">
        <v>26.37</v>
      </c>
      <c r="Z53" s="10">
        <v>25.86</v>
      </c>
      <c r="AA53" s="10">
        <v>26.25</v>
      </c>
      <c r="AB53" s="95">
        <v>1491600</v>
      </c>
      <c r="AC53" s="10">
        <v>26.25</v>
      </c>
      <c r="AD53">
        <f t="shared" si="1"/>
        <v>0.51000000000000156</v>
      </c>
      <c r="AE53" s="138">
        <f t="shared" si="2"/>
        <v>1.0781671159029615E-2</v>
      </c>
    </row>
    <row r="54" spans="1:31" x14ac:dyDescent="0.25">
      <c r="A54" s="554" t="s">
        <v>1</v>
      </c>
      <c r="B54" s="554" t="s">
        <v>2</v>
      </c>
      <c r="C54" s="554" t="s">
        <v>4</v>
      </c>
      <c r="D54" s="555" t="s">
        <v>5</v>
      </c>
      <c r="E54" s="555" t="s">
        <v>94</v>
      </c>
      <c r="F54" s="555" t="s">
        <v>60</v>
      </c>
      <c r="G54" s="554" t="s">
        <v>3</v>
      </c>
      <c r="H54" s="554" t="s">
        <v>6</v>
      </c>
      <c r="I54" s="555" t="s">
        <v>7</v>
      </c>
      <c r="J54" s="555" t="s">
        <v>95</v>
      </c>
      <c r="K54" s="555" t="s">
        <v>61</v>
      </c>
      <c r="L54" s="554" t="s">
        <v>37</v>
      </c>
      <c r="M54" s="554" t="s">
        <v>38</v>
      </c>
      <c r="O54" s="83">
        <v>0.97</v>
      </c>
      <c r="P54" s="83">
        <f t="shared" si="28"/>
        <v>19.516400000000001</v>
      </c>
      <c r="T54" s="93" t="s">
        <v>110</v>
      </c>
      <c r="U54" s="131">
        <v>2249070</v>
      </c>
      <c r="W54" s="133">
        <v>42660</v>
      </c>
      <c r="X54" s="10">
        <v>25.5</v>
      </c>
      <c r="Y54" s="10">
        <v>26.25</v>
      </c>
      <c r="Z54" s="10">
        <v>25.45</v>
      </c>
      <c r="AA54" s="10">
        <v>25.97</v>
      </c>
      <c r="AB54" s="95">
        <v>1610800</v>
      </c>
      <c r="AC54" s="10">
        <v>25.97</v>
      </c>
      <c r="AD54">
        <f t="shared" si="1"/>
        <v>0.80000000000000071</v>
      </c>
      <c r="AE54" s="138">
        <f t="shared" si="2"/>
        <v>2.6076649545634156E-2</v>
      </c>
    </row>
    <row r="55" spans="1:31" x14ac:dyDescent="0.25">
      <c r="A55" s="556" t="s">
        <v>302</v>
      </c>
      <c r="B55" s="537">
        <v>42639</v>
      </c>
      <c r="C55" s="538">
        <v>80</v>
      </c>
      <c r="D55" s="540">
        <v>26.38</v>
      </c>
      <c r="E55" s="540">
        <v>0</v>
      </c>
      <c r="F55" s="540">
        <f>C55*D55+E55</f>
        <v>2110.4</v>
      </c>
      <c r="G55" s="537">
        <v>42677</v>
      </c>
      <c r="H55" s="557">
        <v>100</v>
      </c>
      <c r="I55" s="540">
        <v>26.49</v>
      </c>
      <c r="J55" s="540">
        <v>0.56000000000000005</v>
      </c>
      <c r="K55" s="540">
        <f>I55*H55-J55</f>
        <v>2648.44</v>
      </c>
      <c r="L55" s="537"/>
      <c r="M55" s="540"/>
      <c r="O55" s="83">
        <v>0.96</v>
      </c>
      <c r="P55" s="83">
        <f t="shared" si="28"/>
        <v>19.315200000000001</v>
      </c>
      <c r="T55" s="93" t="s">
        <v>108</v>
      </c>
      <c r="U55" s="130" t="s">
        <v>380</v>
      </c>
      <c r="W55" s="133">
        <v>42657</v>
      </c>
      <c r="X55" s="10">
        <v>25.48</v>
      </c>
      <c r="Y55" s="10">
        <v>25.84</v>
      </c>
      <c r="Z55" s="10">
        <v>25.3</v>
      </c>
      <c r="AA55" s="10">
        <v>25.31</v>
      </c>
      <c r="AB55" s="95">
        <v>901400</v>
      </c>
      <c r="AC55" s="10">
        <v>25.31</v>
      </c>
      <c r="AD55">
        <f t="shared" si="1"/>
        <v>0.53999999999999915</v>
      </c>
      <c r="AE55" s="138">
        <f t="shared" si="2"/>
        <v>-2.758077226162392E-3</v>
      </c>
    </row>
    <row r="56" spans="1:31" x14ac:dyDescent="0.25">
      <c r="A56" s="558" t="s">
        <v>71</v>
      </c>
      <c r="B56" s="537">
        <v>42639</v>
      </c>
      <c r="C56" s="538">
        <v>20</v>
      </c>
      <c r="D56" s="540">
        <v>25.48</v>
      </c>
      <c r="E56" s="540">
        <v>0</v>
      </c>
      <c r="F56" s="540">
        <f>C56*D56+E56</f>
        <v>509.6</v>
      </c>
      <c r="G56" s="537">
        <v>42678</v>
      </c>
      <c r="H56" s="557">
        <v>20</v>
      </c>
      <c r="I56" s="540">
        <v>27.31</v>
      </c>
      <c r="J56" s="540">
        <v>0.01</v>
      </c>
      <c r="K56" s="540">
        <f>I56*H56-J56</f>
        <v>546.18999999999994</v>
      </c>
      <c r="L56" s="538"/>
      <c r="M56" s="538"/>
      <c r="O56" s="83">
        <v>0.95</v>
      </c>
      <c r="P56" s="83">
        <f t="shared" si="28"/>
        <v>19.114000000000001</v>
      </c>
      <c r="T56" s="93" t="s">
        <v>111</v>
      </c>
      <c r="U56" s="130">
        <v>8.8800000000000008</v>
      </c>
      <c r="W56" s="133">
        <v>42656</v>
      </c>
      <c r="X56" s="10">
        <v>25.17</v>
      </c>
      <c r="Y56" s="10">
        <v>25.58</v>
      </c>
      <c r="Z56" s="10">
        <v>25.05</v>
      </c>
      <c r="AA56" s="10">
        <v>25.38</v>
      </c>
      <c r="AB56" s="95">
        <v>910800</v>
      </c>
      <c r="AC56" s="10">
        <v>25.38</v>
      </c>
      <c r="AD56">
        <f t="shared" si="1"/>
        <v>0.52999999999999758</v>
      </c>
      <c r="AE56" s="138">
        <f t="shared" si="2"/>
        <v>3.558718861210064E-3</v>
      </c>
    </row>
    <row r="57" spans="1:31" x14ac:dyDescent="0.25">
      <c r="A57" s="538"/>
      <c r="B57" s="537">
        <v>42639</v>
      </c>
      <c r="C57" s="538">
        <v>20</v>
      </c>
      <c r="D57" s="540">
        <v>25.48</v>
      </c>
      <c r="E57" s="540">
        <v>0</v>
      </c>
      <c r="F57" s="540">
        <f>C57*D57+E57</f>
        <v>509.6</v>
      </c>
      <c r="G57" s="537">
        <v>42681</v>
      </c>
      <c r="H57" s="557">
        <v>80</v>
      </c>
      <c r="I57" s="540">
        <v>28.17</v>
      </c>
      <c r="J57" s="540">
        <v>0.05</v>
      </c>
      <c r="K57" s="540">
        <f>I57*H57-J57</f>
        <v>2253.5500000000002</v>
      </c>
      <c r="L57" s="538"/>
      <c r="M57" s="538"/>
      <c r="O57" s="83">
        <v>0.94</v>
      </c>
      <c r="P57" s="83">
        <f t="shared" si="28"/>
        <v>18.912800000000001</v>
      </c>
      <c r="T57" s="93" t="s">
        <v>112</v>
      </c>
      <c r="U57" s="130">
        <v>2.38</v>
      </c>
      <c r="W57" s="133">
        <v>42655</v>
      </c>
      <c r="X57" s="10">
        <v>25</v>
      </c>
      <c r="Y57" s="10">
        <v>25.59</v>
      </c>
      <c r="Z57" s="10">
        <v>24.93</v>
      </c>
      <c r="AA57" s="10">
        <v>25.29</v>
      </c>
      <c r="AB57" s="95">
        <v>789700</v>
      </c>
      <c r="AC57" s="10">
        <v>25.29</v>
      </c>
      <c r="AD57">
        <f t="shared" si="1"/>
        <v>0.66000000000000014</v>
      </c>
      <c r="AE57" s="138">
        <f t="shared" si="2"/>
        <v>1.0387534958050226E-2</v>
      </c>
    </row>
    <row r="58" spans="1:31" x14ac:dyDescent="0.25">
      <c r="A58" s="538"/>
      <c r="B58" s="537">
        <v>42649</v>
      </c>
      <c r="C58" s="538">
        <v>80</v>
      </c>
      <c r="D58" s="540">
        <v>24.67</v>
      </c>
      <c r="E58" s="540">
        <v>0</v>
      </c>
      <c r="F58" s="540">
        <f>C58*D58+E58</f>
        <v>1973.6000000000001</v>
      </c>
      <c r="G58" s="538"/>
      <c r="H58" s="557"/>
      <c r="I58" s="540"/>
      <c r="J58" s="540"/>
      <c r="K58" s="540"/>
      <c r="L58" s="538"/>
      <c r="M58" s="538"/>
      <c r="O58" s="83">
        <v>0.93</v>
      </c>
      <c r="P58" s="83">
        <f t="shared" si="28"/>
        <v>18.711600000000001</v>
      </c>
      <c r="T58" s="93" t="s">
        <v>109</v>
      </c>
      <c r="U58" s="130" t="s">
        <v>123</v>
      </c>
      <c r="W58" s="133">
        <v>42654</v>
      </c>
      <c r="X58" s="10">
        <v>25.51</v>
      </c>
      <c r="Y58" s="10">
        <v>25.54</v>
      </c>
      <c r="Z58" s="10">
        <v>24.98</v>
      </c>
      <c r="AA58" s="10">
        <v>25.03</v>
      </c>
      <c r="AB58" s="95">
        <v>1185700</v>
      </c>
      <c r="AC58" s="10">
        <v>25.03</v>
      </c>
      <c r="AD58">
        <f t="shared" si="1"/>
        <v>0.55999999999999872</v>
      </c>
      <c r="AE58" s="138">
        <f t="shared" si="2"/>
        <v>-2.1883548261039443E-2</v>
      </c>
    </row>
    <row r="59" spans="1:31" x14ac:dyDescent="0.25">
      <c r="A59" s="538"/>
      <c r="B59" s="537"/>
      <c r="C59" s="538"/>
      <c r="D59" s="540"/>
      <c r="E59" s="540"/>
      <c r="F59" s="540"/>
      <c r="G59" s="538"/>
      <c r="H59" s="557"/>
      <c r="I59" s="540"/>
      <c r="J59" s="540"/>
      <c r="K59" s="540"/>
      <c r="L59" s="538"/>
      <c r="M59" s="538"/>
      <c r="O59" s="83">
        <v>0.92</v>
      </c>
      <c r="P59" s="83">
        <f t="shared" si="28"/>
        <v>18.510400000000001</v>
      </c>
      <c r="W59" s="133">
        <v>42653</v>
      </c>
      <c r="X59" s="10">
        <v>25.41</v>
      </c>
      <c r="Y59" s="10">
        <v>25.75</v>
      </c>
      <c r="Z59" s="10">
        <v>25.27</v>
      </c>
      <c r="AA59" s="10">
        <v>25.59</v>
      </c>
      <c r="AB59" s="95">
        <v>1277800</v>
      </c>
      <c r="AC59" s="10">
        <v>25.59</v>
      </c>
      <c r="AD59">
        <f t="shared" si="1"/>
        <v>0.48000000000000043</v>
      </c>
      <c r="AE59" s="138">
        <f t="shared" si="2"/>
        <v>1.0264508487958901E-2</v>
      </c>
    </row>
    <row r="60" spans="1:31" x14ac:dyDescent="0.25">
      <c r="A60" s="538"/>
      <c r="B60" s="538"/>
      <c r="C60" s="538"/>
      <c r="D60" s="540"/>
      <c r="E60" s="540"/>
      <c r="F60" s="540"/>
      <c r="G60" s="538"/>
      <c r="H60" s="557"/>
      <c r="I60" s="540"/>
      <c r="J60" s="540"/>
      <c r="K60" s="540"/>
      <c r="L60" s="538"/>
      <c r="M60" s="538"/>
      <c r="O60" s="83">
        <v>0.91</v>
      </c>
      <c r="P60" s="83">
        <f t="shared" si="28"/>
        <v>18.309200000000001</v>
      </c>
      <c r="W60" s="133">
        <v>42650</v>
      </c>
      <c r="X60" s="10">
        <v>25.14</v>
      </c>
      <c r="Y60" s="10">
        <v>25.53</v>
      </c>
      <c r="Z60" s="10">
        <v>24.61</v>
      </c>
      <c r="AA60" s="10">
        <v>25.33</v>
      </c>
      <c r="AB60" s="95">
        <v>1896000</v>
      </c>
      <c r="AC60" s="10">
        <v>25.33</v>
      </c>
      <c r="AD60">
        <f t="shared" si="1"/>
        <v>0.92000000000000171</v>
      </c>
      <c r="AE60" s="138">
        <f t="shared" si="2"/>
        <v>4.7600158667193693E-3</v>
      </c>
    </row>
    <row r="61" spans="1:31" x14ac:dyDescent="0.25">
      <c r="A61" s="538"/>
      <c r="B61" s="538"/>
      <c r="C61" s="538"/>
      <c r="D61" s="540"/>
      <c r="E61" s="540"/>
      <c r="F61" s="540"/>
      <c r="G61" s="538"/>
      <c r="H61" s="557"/>
      <c r="I61" s="540"/>
      <c r="J61" s="540"/>
      <c r="K61" s="540"/>
      <c r="L61" s="538"/>
      <c r="M61" s="538"/>
      <c r="O61" s="83">
        <v>0.9</v>
      </c>
      <c r="P61" s="83">
        <f t="shared" si="28"/>
        <v>18.108000000000001</v>
      </c>
      <c r="W61" s="133">
        <v>42649</v>
      </c>
      <c r="X61" s="10">
        <v>25.35</v>
      </c>
      <c r="Y61" s="10">
        <v>25.51</v>
      </c>
      <c r="Z61" s="10">
        <v>24.58</v>
      </c>
      <c r="AA61" s="10">
        <v>25.21</v>
      </c>
      <c r="AB61" s="95">
        <v>3814200</v>
      </c>
      <c r="AC61" s="10">
        <v>25.21</v>
      </c>
      <c r="AD61">
        <f t="shared" si="1"/>
        <v>0.93000000000000327</v>
      </c>
      <c r="AE61" s="138">
        <f t="shared" si="2"/>
        <v>-3.6314984709480136E-2</v>
      </c>
    </row>
    <row r="62" spans="1:31" x14ac:dyDescent="0.25">
      <c r="A62" s="538"/>
      <c r="B62" s="538"/>
      <c r="C62" s="538"/>
      <c r="D62" s="540"/>
      <c r="E62" s="540"/>
      <c r="F62" s="540"/>
      <c r="G62" s="538"/>
      <c r="H62" s="557"/>
      <c r="I62" s="540"/>
      <c r="J62" s="540"/>
      <c r="K62" s="540"/>
      <c r="L62" s="538"/>
      <c r="M62" s="538"/>
      <c r="W62" s="133">
        <v>42648</v>
      </c>
      <c r="X62" s="10">
        <v>26.26</v>
      </c>
      <c r="Y62" s="10">
        <v>26.57</v>
      </c>
      <c r="Z62" s="10">
        <v>26.13</v>
      </c>
      <c r="AA62" s="10">
        <v>26.16</v>
      </c>
      <c r="AB62" s="95">
        <v>917600</v>
      </c>
      <c r="AC62" s="10">
        <v>26.16</v>
      </c>
      <c r="AD62">
        <f t="shared" si="1"/>
        <v>0.44000000000000128</v>
      </c>
      <c r="AE62" s="138">
        <f t="shared" si="2"/>
        <v>-3.0487804878047697E-3</v>
      </c>
    </row>
    <row r="63" spans="1:31" x14ac:dyDescent="0.25">
      <c r="A63" s="538"/>
      <c r="B63" s="538"/>
      <c r="C63" s="538"/>
      <c r="D63" s="540"/>
      <c r="E63" s="540"/>
      <c r="F63" s="540"/>
      <c r="G63" s="538"/>
      <c r="H63" s="557"/>
      <c r="I63" s="540"/>
      <c r="J63" s="540"/>
      <c r="K63" s="540"/>
      <c r="L63" s="538"/>
      <c r="M63" s="538"/>
      <c r="W63" s="133">
        <v>42647</v>
      </c>
      <c r="X63" s="10">
        <v>27.25</v>
      </c>
      <c r="Y63" s="10">
        <v>27.25</v>
      </c>
      <c r="Z63" s="10">
        <v>25.87</v>
      </c>
      <c r="AA63" s="10">
        <v>26.24</v>
      </c>
      <c r="AB63" s="95">
        <v>1851900</v>
      </c>
      <c r="AC63" s="10">
        <v>26.24</v>
      </c>
      <c r="AD63">
        <f t="shared" si="1"/>
        <v>1.379999999999999</v>
      </c>
      <c r="AE63" s="138">
        <f t="shared" si="2"/>
        <v>-1.2791572610985735E-2</v>
      </c>
    </row>
    <row r="64" spans="1:31" x14ac:dyDescent="0.25">
      <c r="A64" s="538"/>
      <c r="B64" s="538"/>
      <c r="C64" s="538"/>
      <c r="D64" s="540"/>
      <c r="E64" s="540"/>
      <c r="F64" s="540"/>
      <c r="G64" s="538"/>
      <c r="H64" s="557"/>
      <c r="I64" s="540"/>
      <c r="J64" s="540"/>
      <c r="K64" s="540"/>
      <c r="L64" s="538"/>
      <c r="M64" s="538"/>
      <c r="W64" s="133">
        <v>42646</v>
      </c>
      <c r="X64" s="10">
        <v>26.37</v>
      </c>
      <c r="Y64" s="10">
        <v>26.74</v>
      </c>
      <c r="Z64" s="10">
        <v>26.37</v>
      </c>
      <c r="AA64" s="10">
        <v>26.58</v>
      </c>
      <c r="AB64" s="95">
        <v>1708700</v>
      </c>
      <c r="AC64" s="10">
        <v>26.58</v>
      </c>
      <c r="AD64">
        <f t="shared" si="1"/>
        <v>0.36999999999999744</v>
      </c>
      <c r="AE64" s="138">
        <f t="shared" si="2"/>
        <v>-3.7608123354648804E-4</v>
      </c>
    </row>
    <row r="65" spans="1:31" x14ac:dyDescent="0.25">
      <c r="A65" s="538"/>
      <c r="B65" s="538"/>
      <c r="C65" s="538"/>
      <c r="D65" s="540"/>
      <c r="E65" s="540"/>
      <c r="F65" s="540"/>
      <c r="G65" s="538"/>
      <c r="H65" s="557"/>
      <c r="I65" s="540"/>
      <c r="J65" s="540"/>
      <c r="K65" s="540"/>
      <c r="L65" s="538"/>
      <c r="M65" s="538"/>
      <c r="W65" s="133">
        <v>42643</v>
      </c>
      <c r="X65" s="10">
        <v>25.94</v>
      </c>
      <c r="Y65" s="10">
        <v>26.69</v>
      </c>
      <c r="Z65" s="10">
        <v>25.86</v>
      </c>
      <c r="AA65" s="10">
        <v>26.59</v>
      </c>
      <c r="AB65" s="95">
        <v>1729700</v>
      </c>
      <c r="AC65" s="10">
        <v>26.59</v>
      </c>
      <c r="AD65">
        <f t="shared" si="1"/>
        <v>0.83000000000000185</v>
      </c>
      <c r="AE65" s="138">
        <f t="shared" si="2"/>
        <v>2.9821843532145564E-2</v>
      </c>
    </row>
    <row r="66" spans="1:31" x14ac:dyDescent="0.25">
      <c r="A66" s="538"/>
      <c r="B66" s="538"/>
      <c r="C66" s="538"/>
      <c r="D66" s="540"/>
      <c r="E66" s="540"/>
      <c r="F66" s="540"/>
      <c r="G66" s="538"/>
      <c r="H66" s="557"/>
      <c r="I66" s="540"/>
      <c r="J66" s="540"/>
      <c r="K66" s="540"/>
      <c r="L66" s="538"/>
      <c r="M66" s="538"/>
      <c r="W66" s="133">
        <v>42642</v>
      </c>
      <c r="X66" s="10">
        <v>25.94</v>
      </c>
      <c r="Y66" s="10">
        <v>26.09</v>
      </c>
      <c r="Z66" s="10">
        <v>25.73</v>
      </c>
      <c r="AA66" s="10">
        <v>25.82</v>
      </c>
      <c r="AB66" s="95">
        <v>1386200</v>
      </c>
      <c r="AC66" s="10">
        <v>25.82</v>
      </c>
      <c r="AD66">
        <f t="shared" si="1"/>
        <v>0.35999999999999943</v>
      </c>
      <c r="AE66" s="138">
        <f t="shared" si="2"/>
        <v>-6.9230769230769207E-3</v>
      </c>
    </row>
    <row r="67" spans="1:31" x14ac:dyDescent="0.25">
      <c r="A67" s="538"/>
      <c r="B67" s="538"/>
      <c r="C67" s="538"/>
      <c r="D67" s="540"/>
      <c r="E67" s="540"/>
      <c r="F67" s="540"/>
      <c r="G67" s="538"/>
      <c r="H67" s="557"/>
      <c r="I67" s="540"/>
      <c r="J67" s="540"/>
      <c r="K67" s="540"/>
      <c r="L67" s="538"/>
      <c r="M67" s="538"/>
      <c r="W67" s="133">
        <v>42641</v>
      </c>
      <c r="X67" s="10">
        <v>25.8</v>
      </c>
      <c r="Y67" s="10">
        <v>26</v>
      </c>
      <c r="Z67" s="10">
        <v>25.69</v>
      </c>
      <c r="AA67" s="10">
        <v>26</v>
      </c>
      <c r="AB67" s="95">
        <v>1511400</v>
      </c>
      <c r="AC67" s="10">
        <v>26</v>
      </c>
      <c r="AD67">
        <f t="shared" ref="AD67:AD69" si="29">Y67-Z67</f>
        <v>0.30999999999999872</v>
      </c>
      <c r="AE67" s="138" t="e">
        <f t="shared" ref="AE67" si="30">AC67/AC68-1</f>
        <v>#DIV/0!</v>
      </c>
    </row>
    <row r="68" spans="1:31" x14ac:dyDescent="0.25">
      <c r="A68" s="538"/>
      <c r="B68" s="538"/>
      <c r="C68" s="538"/>
      <c r="D68" s="540"/>
      <c r="E68" s="540"/>
      <c r="F68" s="540"/>
      <c r="G68" s="538"/>
      <c r="H68" s="557"/>
      <c r="I68" s="540"/>
      <c r="J68" s="540"/>
      <c r="K68" s="540"/>
      <c r="L68" s="538"/>
      <c r="M68" s="538"/>
      <c r="W68" s="133" t="s">
        <v>121</v>
      </c>
      <c r="X68" s="10"/>
      <c r="Y68" s="10"/>
      <c r="Z68" s="10"/>
      <c r="AA68" s="10"/>
      <c r="AB68" s="95"/>
      <c r="AC68" s="10"/>
      <c r="AD68">
        <f t="shared" si="29"/>
        <v>0</v>
      </c>
      <c r="AE68" s="138" t="e">
        <f>AC68/AC69-1</f>
        <v>#DIV/0!</v>
      </c>
    </row>
    <row r="69" spans="1:31" x14ac:dyDescent="0.25">
      <c r="A69" s="538"/>
      <c r="B69" s="538"/>
      <c r="C69" s="538"/>
      <c r="D69" s="540"/>
      <c r="E69" s="540"/>
      <c r="F69" s="540"/>
      <c r="G69" s="538"/>
      <c r="H69" s="557"/>
      <c r="I69" s="540"/>
      <c r="J69" s="540"/>
      <c r="K69" s="540"/>
      <c r="L69" s="538"/>
      <c r="M69" s="538"/>
      <c r="W69" s="133"/>
      <c r="X69" s="10"/>
      <c r="Y69" s="10"/>
      <c r="Z69" s="10"/>
      <c r="AA69" s="10"/>
      <c r="AB69" s="95"/>
      <c r="AC69" s="10"/>
      <c r="AD69">
        <f t="shared" si="29"/>
        <v>0</v>
      </c>
      <c r="AE69" s="138" t="e">
        <f t="shared" ref="AE69" si="31">AC69/AC70-1</f>
        <v>#DIV/0!</v>
      </c>
    </row>
    <row r="70" spans="1:31" x14ac:dyDescent="0.25">
      <c r="A70" s="538"/>
      <c r="B70" s="538"/>
      <c r="C70" s="538"/>
      <c r="D70" s="540"/>
      <c r="E70" s="540"/>
      <c r="F70" s="540"/>
      <c r="G70" s="538"/>
      <c r="H70" s="538"/>
      <c r="I70" s="540"/>
      <c r="J70" s="540"/>
      <c r="K70" s="540"/>
      <c r="L70" s="538"/>
      <c r="M70" s="538"/>
    </row>
    <row r="71" spans="1:31" x14ac:dyDescent="0.25">
      <c r="A71" s="559" t="s">
        <v>81</v>
      </c>
      <c r="B71" s="560"/>
      <c r="C71" s="560">
        <f>SUM(C55:C59)</f>
        <v>200</v>
      </c>
      <c r="D71" s="561"/>
      <c r="E71" s="561"/>
      <c r="F71" s="561">
        <f>SUM(F55:F59)</f>
        <v>5103.2</v>
      </c>
      <c r="G71" s="560"/>
      <c r="H71" s="560">
        <f>SUM(H55:H58)</f>
        <v>200</v>
      </c>
      <c r="I71" s="561"/>
      <c r="J71" s="561"/>
      <c r="K71" s="561">
        <f>SUM(K55:K58)</f>
        <v>5448.18</v>
      </c>
      <c r="L71" s="560"/>
      <c r="M71" s="561">
        <f>SUM(M55:M63)</f>
        <v>0</v>
      </c>
    </row>
    <row r="72" spans="1:31" ht="15.75" thickBot="1" x14ac:dyDescent="0.3">
      <c r="A72" s="562" t="s">
        <v>198</v>
      </c>
      <c r="B72" s="563"/>
      <c r="C72" s="564">
        <f>SumByColor($A$19,C55:C70)</f>
        <v>0</v>
      </c>
      <c r="D72" s="564"/>
      <c r="E72" s="564"/>
      <c r="F72" s="565">
        <f>SumByColor($A$19,F55:F70)</f>
        <v>0</v>
      </c>
      <c r="G72" s="564"/>
      <c r="H72" s="564">
        <f>SumByColor($A$19,H55:H70)</f>
        <v>0</v>
      </c>
      <c r="I72" s="564"/>
      <c r="J72" s="564"/>
      <c r="K72" s="565">
        <f>SumByColor($A$19,K55:K70)</f>
        <v>0</v>
      </c>
      <c r="L72" s="564"/>
      <c r="M72" s="565">
        <f t="shared" ref="M72" si="32">SumByColor($A$19,M55:M70)</f>
        <v>0</v>
      </c>
    </row>
    <row r="82" spans="2:9" x14ac:dyDescent="0.25">
      <c r="B82" s="191" t="s">
        <v>114</v>
      </c>
      <c r="C82" s="191" t="s">
        <v>147</v>
      </c>
      <c r="D82" s="192" t="s">
        <v>146</v>
      </c>
      <c r="E82" s="194" t="s">
        <v>148</v>
      </c>
      <c r="F82" s="194" t="s">
        <v>65</v>
      </c>
      <c r="G82" s="229" t="s">
        <v>152</v>
      </c>
      <c r="H82" s="229" t="s">
        <v>88</v>
      </c>
      <c r="I82" s="229" t="s">
        <v>155</v>
      </c>
    </row>
    <row r="83" spans="2:9" x14ac:dyDescent="0.25">
      <c r="B83" s="380">
        <v>42639</v>
      </c>
      <c r="C83" s="381">
        <v>80</v>
      </c>
      <c r="D83" s="382">
        <v>26.38</v>
      </c>
      <c r="E83" s="382">
        <v>25.53</v>
      </c>
      <c r="F83" s="382">
        <f t="shared" ref="F83:F92" si="33">C83*(E83-D83)</f>
        <v>-67.999999999999829</v>
      </c>
      <c r="G83" s="382">
        <f t="shared" ref="G83:G92" si="34">D83*C83</f>
        <v>2110.4</v>
      </c>
      <c r="H83" s="383">
        <f t="shared" ref="H83:H92" si="35">(E83-D83)/D83</f>
        <v>-3.2221379833206894E-2</v>
      </c>
      <c r="I83" s="382"/>
    </row>
    <row r="84" spans="2:9" x14ac:dyDescent="0.25">
      <c r="B84" s="380">
        <v>42639</v>
      </c>
      <c r="C84" s="381">
        <v>120</v>
      </c>
      <c r="D84" s="382">
        <v>26.08</v>
      </c>
      <c r="E84" s="382">
        <v>25.53</v>
      </c>
      <c r="F84" s="382">
        <f t="shared" si="33"/>
        <v>-65.999999999999659</v>
      </c>
      <c r="G84" s="382">
        <f t="shared" si="34"/>
        <v>3129.6</v>
      </c>
      <c r="H84" s="383">
        <f t="shared" si="35"/>
        <v>-2.1088957055214616E-2</v>
      </c>
      <c r="I84" s="382"/>
    </row>
    <row r="85" spans="2:9" x14ac:dyDescent="0.25">
      <c r="B85" s="380">
        <v>42641</v>
      </c>
      <c r="C85" s="381">
        <v>120</v>
      </c>
      <c r="D85" s="382">
        <v>26.08</v>
      </c>
      <c r="E85" s="382">
        <v>26</v>
      </c>
      <c r="F85" s="382">
        <f t="shared" si="33"/>
        <v>-9.5999999999997954</v>
      </c>
      <c r="G85" s="382">
        <f t="shared" si="34"/>
        <v>3129.6</v>
      </c>
      <c r="H85" s="383">
        <f t="shared" si="35"/>
        <v>-3.0674846625766221E-3</v>
      </c>
      <c r="I85" s="382"/>
    </row>
    <row r="86" spans="2:9" x14ac:dyDescent="0.25">
      <c r="B86" s="380">
        <v>42643</v>
      </c>
      <c r="C86" s="381">
        <v>120</v>
      </c>
      <c r="D86" s="382">
        <v>26.08</v>
      </c>
      <c r="E86" s="382">
        <v>26.59</v>
      </c>
      <c r="F86" s="382">
        <f t="shared" si="33"/>
        <v>61.200000000000188</v>
      </c>
      <c r="G86" s="382">
        <f t="shared" si="34"/>
        <v>3129.6</v>
      </c>
      <c r="H86" s="383">
        <f t="shared" si="35"/>
        <v>1.9555214723926441E-2</v>
      </c>
      <c r="I86" s="382"/>
    </row>
    <row r="87" spans="2:9" x14ac:dyDescent="0.25">
      <c r="B87" s="380">
        <v>42649</v>
      </c>
      <c r="C87" s="381">
        <v>200</v>
      </c>
      <c r="D87" s="382">
        <v>25.515999999999998</v>
      </c>
      <c r="E87" s="382">
        <v>25.21</v>
      </c>
      <c r="F87" s="382">
        <f t="shared" si="33"/>
        <v>-61.199999999999477</v>
      </c>
      <c r="G87" s="382">
        <f t="shared" si="34"/>
        <v>5103.2</v>
      </c>
      <c r="H87" s="383">
        <f t="shared" si="35"/>
        <v>-1.1992475309609556E-2</v>
      </c>
      <c r="I87" s="382"/>
    </row>
    <row r="88" spans="2:9" x14ac:dyDescent="0.25">
      <c r="B88" s="380">
        <v>42650</v>
      </c>
      <c r="C88" s="381">
        <v>200</v>
      </c>
      <c r="D88" s="382">
        <v>25.515999999999998</v>
      </c>
      <c r="E88" s="382">
        <v>25.33</v>
      </c>
      <c r="F88" s="382">
        <f t="shared" si="33"/>
        <v>-37.199999999999989</v>
      </c>
      <c r="G88" s="382">
        <f t="shared" si="34"/>
        <v>5103.2</v>
      </c>
      <c r="H88" s="383">
        <f t="shared" si="35"/>
        <v>-7.2895438156450835E-3</v>
      </c>
      <c r="I88" s="382"/>
    </row>
    <row r="89" spans="2:9" x14ac:dyDescent="0.25">
      <c r="B89" s="380">
        <v>42661</v>
      </c>
      <c r="C89" s="381">
        <v>200</v>
      </c>
      <c r="D89" s="382">
        <v>25.515999999999998</v>
      </c>
      <c r="E89" s="382">
        <v>26.25</v>
      </c>
      <c r="F89" s="382">
        <f t="shared" si="33"/>
        <v>146.80000000000035</v>
      </c>
      <c r="G89" s="382">
        <f t="shared" si="34"/>
        <v>5103.2</v>
      </c>
      <c r="H89" s="383">
        <f t="shared" si="35"/>
        <v>2.876626430475003E-2</v>
      </c>
      <c r="I89" s="382"/>
    </row>
    <row r="90" spans="2:9" x14ac:dyDescent="0.25">
      <c r="B90" s="380">
        <v>42674</v>
      </c>
      <c r="C90" s="381">
        <v>200</v>
      </c>
      <c r="D90" s="382">
        <v>25.515999999999998</v>
      </c>
      <c r="E90" s="382">
        <v>26.42</v>
      </c>
      <c r="F90" s="382">
        <f t="shared" si="33"/>
        <v>180.80000000000069</v>
      </c>
      <c r="G90" s="382">
        <f t="shared" si="34"/>
        <v>5103.2</v>
      </c>
      <c r="H90" s="383">
        <f t="shared" si="35"/>
        <v>3.5428750587866577E-2</v>
      </c>
      <c r="I90" s="382"/>
    </row>
    <row r="91" spans="2:9" x14ac:dyDescent="0.25">
      <c r="B91" s="380">
        <v>42677</v>
      </c>
      <c r="C91" s="381">
        <v>100</v>
      </c>
      <c r="D91" s="382">
        <v>24.547599999999999</v>
      </c>
      <c r="E91" s="382">
        <v>26.69</v>
      </c>
      <c r="F91" s="382">
        <f t="shared" si="33"/>
        <v>214.24000000000021</v>
      </c>
      <c r="G91" s="382">
        <f t="shared" si="34"/>
        <v>2454.7599999999998</v>
      </c>
      <c r="H91" s="383">
        <f t="shared" si="35"/>
        <v>8.7275334452247971E-2</v>
      </c>
      <c r="I91" s="471"/>
    </row>
    <row r="92" spans="2:9" x14ac:dyDescent="0.25">
      <c r="B92" s="380">
        <v>42678</v>
      </c>
      <c r="C92" s="381">
        <v>80</v>
      </c>
      <c r="D92" s="382">
        <v>23.857099999999999</v>
      </c>
      <c r="E92" s="382">
        <v>27.24</v>
      </c>
      <c r="F92" s="382">
        <f t="shared" si="33"/>
        <v>270.63199999999995</v>
      </c>
      <c r="G92" s="382">
        <f t="shared" si="34"/>
        <v>1908.568</v>
      </c>
      <c r="H92" s="383">
        <f t="shared" si="35"/>
        <v>0.1417984583205838</v>
      </c>
      <c r="I92" s="382"/>
    </row>
    <row r="93" spans="2:9" x14ac:dyDescent="0.25">
      <c r="B93" s="380">
        <v>42681</v>
      </c>
      <c r="C93" s="381">
        <v>0</v>
      </c>
      <c r="D93" s="382"/>
      <c r="E93" s="382"/>
      <c r="F93" s="382">
        <v>344.98</v>
      </c>
      <c r="G93" s="382"/>
      <c r="H93" s="383"/>
      <c r="I93" s="382"/>
    </row>
    <row r="94" spans="2:9" x14ac:dyDescent="0.25">
      <c r="B94" s="380"/>
      <c r="C94" s="381"/>
      <c r="D94" s="382"/>
      <c r="E94" s="382"/>
      <c r="F94" s="382"/>
      <c r="G94" s="382"/>
      <c r="H94" s="383"/>
      <c r="I94" s="382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1:F51 H31:H51">
    <cfRule type="expression" dxfId="935" priority="23">
      <formula>F31&gt;0</formula>
    </cfRule>
    <cfRule type="expression" dxfId="934" priority="24">
      <formula>F31&lt;0</formula>
    </cfRule>
  </conditionalFormatting>
  <conditionalFormatting sqref="Q7">
    <cfRule type="expression" dxfId="933" priority="21">
      <formula>Q7&gt;0</formula>
    </cfRule>
    <cfRule type="expression" dxfId="932" priority="22">
      <formula>Q7&lt;0</formula>
    </cfRule>
  </conditionalFormatting>
  <conditionalFormatting sqref="Q8">
    <cfRule type="expression" dxfId="931" priority="19">
      <formula>Q8&gt;0</formula>
    </cfRule>
    <cfRule type="expression" dxfId="930" priority="20">
      <formula>Q8&lt;0</formula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{4178F7BD-F94B-4F38-B5C0-9216171CC603}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M53">
    <cfRule type="expression" dxfId="929" priority="11">
      <formula>M53&gt;0</formula>
    </cfRule>
    <cfRule type="expression" dxfId="928" priority="12">
      <formula>M53&lt;0</formula>
    </cfRule>
  </conditionalFormatting>
  <conditionalFormatting sqref="Q10">
    <cfRule type="expression" dxfId="927" priority="9">
      <formula>Q10&gt;0</formula>
    </cfRule>
    <cfRule type="expression" dxfId="926" priority="10">
      <formula>Q10&lt;0</formula>
    </cfRule>
  </conditionalFormatting>
  <conditionalFormatting sqref="F25:F30">
    <cfRule type="expression" dxfId="925" priority="7">
      <formula>F25&gt;0</formula>
    </cfRule>
    <cfRule type="expression" dxfId="924" priority="8">
      <formula>F25&lt;0</formula>
    </cfRule>
  </conditionalFormatting>
  <conditionalFormatting sqref="H25:H30">
    <cfRule type="expression" dxfId="923" priority="5">
      <formula>H25&gt;0</formula>
    </cfRule>
    <cfRule type="expression" dxfId="922" priority="6">
      <formula>H25&lt;0</formula>
    </cfRule>
  </conditionalFormatting>
  <conditionalFormatting sqref="F83:F94">
    <cfRule type="expression" dxfId="921" priority="3">
      <formula>F83&gt;0</formula>
    </cfRule>
    <cfRule type="expression" dxfId="920" priority="4">
      <formula>F83&lt;0</formula>
    </cfRule>
  </conditionalFormatting>
  <conditionalFormatting sqref="H83:H94">
    <cfRule type="expression" dxfId="919" priority="1">
      <formula>H83&gt;0</formula>
    </cfRule>
    <cfRule type="expression" dxfId="918" priority="2">
      <formula>H83&lt;0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78F7BD-F94B-4F38-B5C0-9216171CC6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AE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.5703125" customWidth="1"/>
    <col min="23" max="23" width="13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6" t="s">
        <v>126</v>
      </c>
      <c r="AE1" s="16" t="s">
        <v>128</v>
      </c>
    </row>
    <row r="2" spans="1:31" x14ac:dyDescent="0.25">
      <c r="A2" s="6" t="s">
        <v>36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0</v>
      </c>
      <c r="T2" s="1"/>
      <c r="W2" s="133">
        <v>42768</v>
      </c>
      <c r="X2" s="10">
        <v>52.27</v>
      </c>
      <c r="Y2" s="10">
        <v>53.31</v>
      </c>
      <c r="Z2" s="10">
        <v>52.18</v>
      </c>
      <c r="AA2" s="10">
        <v>52.86</v>
      </c>
      <c r="AB2" s="95">
        <v>4560900</v>
      </c>
      <c r="AC2" s="10">
        <v>52.86</v>
      </c>
      <c r="AD2">
        <f>Y2-Z2</f>
        <v>1.1300000000000026</v>
      </c>
      <c r="AE2" s="138">
        <f>AC2/AC3-1</f>
        <v>2.4653897212214559E-3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52.88</v>
      </c>
      <c r="T3" s="1"/>
      <c r="W3" s="133">
        <v>42767</v>
      </c>
      <c r="X3" s="10">
        <v>52.55</v>
      </c>
      <c r="Y3" s="10">
        <v>53.27</v>
      </c>
      <c r="Z3" s="10">
        <v>52.44</v>
      </c>
      <c r="AA3" s="10">
        <v>52.73</v>
      </c>
      <c r="AB3" s="95">
        <v>4952500</v>
      </c>
      <c r="AC3" s="10">
        <v>52.73</v>
      </c>
      <c r="AD3">
        <f t="shared" ref="AD3:AD4" si="0">Y3-Z3</f>
        <v>0.8300000000000054</v>
      </c>
      <c r="AE3" s="138">
        <f t="shared" ref="AE3:AE4" si="1">AC3/AC4-1</f>
        <v>8.0290575415788989E-3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M4" s="4"/>
      <c r="O4" s="11" t="s">
        <v>66</v>
      </c>
      <c r="Q4" s="55">
        <v>52.88</v>
      </c>
      <c r="R4" s="505">
        <v>4.0000000000000002E-4</v>
      </c>
      <c r="T4" s="163"/>
      <c r="U4" s="1"/>
      <c r="W4" s="133">
        <v>42766</v>
      </c>
      <c r="X4" s="10">
        <v>52.06</v>
      </c>
      <c r="Y4" s="10">
        <v>52.4</v>
      </c>
      <c r="Z4" s="10">
        <v>51.51</v>
      </c>
      <c r="AA4" s="10">
        <v>52.31</v>
      </c>
      <c r="AB4" s="95">
        <v>6597300</v>
      </c>
      <c r="AC4" s="10">
        <v>52.31</v>
      </c>
      <c r="AD4">
        <f t="shared" si="0"/>
        <v>0.89000000000000057</v>
      </c>
      <c r="AE4" s="138">
        <f t="shared" si="1"/>
        <v>-7.6408787010506796E-4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42765</v>
      </c>
      <c r="X5" s="10">
        <v>52.13</v>
      </c>
      <c r="Y5" s="10">
        <v>52.4</v>
      </c>
      <c r="Z5" s="10">
        <v>51.17</v>
      </c>
      <c r="AA5" s="10">
        <v>52.35</v>
      </c>
      <c r="AB5" s="95">
        <v>8018600</v>
      </c>
      <c r="AC5" s="10">
        <v>52.35</v>
      </c>
      <c r="AD5">
        <f t="shared" ref="AD5:AD67" si="2">Y5-Z5</f>
        <v>1.2299999999999969</v>
      </c>
      <c r="AE5" s="138">
        <f t="shared" ref="AE5:AE66" si="3">AC5/AC6-1</f>
        <v>-6.6413662239089843E-3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42762</v>
      </c>
      <c r="X6" s="10">
        <v>54.08</v>
      </c>
      <c r="Y6" s="10">
        <v>54.18</v>
      </c>
      <c r="Z6" s="10">
        <v>52.38</v>
      </c>
      <c r="AA6" s="10">
        <v>52.7</v>
      </c>
      <c r="AB6" s="95">
        <v>7632500</v>
      </c>
      <c r="AC6" s="10">
        <v>52.7</v>
      </c>
      <c r="AD6">
        <f t="shared" si="2"/>
        <v>1.7999999999999972</v>
      </c>
      <c r="AE6" s="138">
        <f t="shared" si="3"/>
        <v>-2.2626112759643879E-2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181</v>
      </c>
      <c r="Q7" s="2">
        <f>Q10+Q8</f>
        <v>117.73999999999978</v>
      </c>
      <c r="R7">
        <v>0</v>
      </c>
      <c r="W7" s="133">
        <v>42761</v>
      </c>
      <c r="X7" s="10">
        <v>51.4</v>
      </c>
      <c r="Y7" s="10">
        <v>53.99</v>
      </c>
      <c r="Z7" s="10">
        <v>51.14</v>
      </c>
      <c r="AA7" s="10">
        <v>53.92</v>
      </c>
      <c r="AB7" s="95">
        <v>15791900</v>
      </c>
      <c r="AC7" s="10">
        <v>53.92</v>
      </c>
      <c r="AD7">
        <f t="shared" si="2"/>
        <v>2.8500000000000014</v>
      </c>
      <c r="AE7" s="138">
        <f t="shared" si="3"/>
        <v>9.0173877881116082E-2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184</v>
      </c>
      <c r="P8" s="34"/>
      <c r="Q8" s="2">
        <f>K18+M18-F18+Q2*Q4</f>
        <v>0</v>
      </c>
      <c r="W8" s="133">
        <v>42760</v>
      </c>
      <c r="X8" s="10">
        <v>49.09</v>
      </c>
      <c r="Y8" s="10">
        <v>49.95</v>
      </c>
      <c r="Z8" s="10">
        <v>48.71</v>
      </c>
      <c r="AA8" s="10">
        <v>49.46</v>
      </c>
      <c r="AB8" s="95">
        <v>7725800</v>
      </c>
      <c r="AC8" s="10">
        <v>49.46</v>
      </c>
      <c r="AD8">
        <f t="shared" si="2"/>
        <v>1.240000000000002</v>
      </c>
      <c r="AE8" s="138">
        <f t="shared" si="3"/>
        <v>-3.8267875125880257E-3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214</v>
      </c>
      <c r="Q9" s="138">
        <f>IF(Q2=0, 0, Q8/Q6)</f>
        <v>0</v>
      </c>
      <c r="W9" s="133">
        <v>42759</v>
      </c>
      <c r="X9" s="10">
        <v>50.12</v>
      </c>
      <c r="Y9" s="10">
        <v>50.24</v>
      </c>
      <c r="Z9" s="10">
        <v>49.58</v>
      </c>
      <c r="AA9" s="10">
        <v>49.65</v>
      </c>
      <c r="AB9" s="95">
        <v>6128700</v>
      </c>
      <c r="AC9" s="10">
        <v>49.65</v>
      </c>
      <c r="AD9">
        <f t="shared" si="2"/>
        <v>0.66000000000000369</v>
      </c>
      <c r="AE9" s="138">
        <f t="shared" si="3"/>
        <v>-5.8069683620344259E-3</v>
      </c>
    </row>
    <row r="10" spans="1:31" x14ac:dyDescent="0.25">
      <c r="B10" s="4"/>
      <c r="C10" s="4"/>
      <c r="D10" s="3"/>
      <c r="E10" s="3"/>
      <c r="F10" s="3"/>
      <c r="G10" s="4"/>
      <c r="H10" s="185"/>
      <c r="I10" s="3"/>
      <c r="J10" s="3"/>
      <c r="K10" s="3"/>
      <c r="L10" s="4"/>
      <c r="M10" s="4"/>
      <c r="O10" s="11" t="s">
        <v>213</v>
      </c>
      <c r="P10" s="34"/>
      <c r="Q10" s="2">
        <f>M55</f>
        <v>117.73999999999978</v>
      </c>
      <c r="W10" s="133">
        <v>42758</v>
      </c>
      <c r="X10" s="10">
        <v>51.03</v>
      </c>
      <c r="Y10" s="10">
        <v>51.14</v>
      </c>
      <c r="Z10" s="10">
        <v>49.77</v>
      </c>
      <c r="AA10" s="10">
        <v>49.94</v>
      </c>
      <c r="AB10" s="95">
        <v>4176200</v>
      </c>
      <c r="AC10" s="10">
        <v>49.94</v>
      </c>
      <c r="AD10">
        <f t="shared" si="2"/>
        <v>1.3699999999999974</v>
      </c>
      <c r="AE10" s="138">
        <f t="shared" si="3"/>
        <v>-2.2509297318457744E-2</v>
      </c>
    </row>
    <row r="11" spans="1:31" x14ac:dyDescent="0.25">
      <c r="B11" s="4"/>
      <c r="C11" s="4"/>
      <c r="D11" s="3"/>
      <c r="E11" s="3"/>
      <c r="F11" s="3"/>
      <c r="G11" s="4"/>
      <c r="H11" s="185"/>
      <c r="I11" s="3"/>
      <c r="J11" s="3"/>
      <c r="K11" s="3"/>
      <c r="L11" s="4"/>
      <c r="M11" s="4"/>
      <c r="O11" s="11" t="s">
        <v>178</v>
      </c>
      <c r="P11" s="34"/>
      <c r="Q11" s="138">
        <f>IF(U58="N/A (N/A)", 0, VALUE(TRIM(CLEAN(MID(U58, FIND("(", U58)+1, 5)))))</f>
        <v>7.6E-3</v>
      </c>
      <c r="W11" s="133">
        <v>42755</v>
      </c>
      <c r="X11" s="10">
        <v>50.14</v>
      </c>
      <c r="Y11" s="10">
        <v>51.17</v>
      </c>
      <c r="Z11" s="10">
        <v>50.14</v>
      </c>
      <c r="AA11" s="10">
        <v>51.09</v>
      </c>
      <c r="AB11" s="95">
        <v>5149000</v>
      </c>
      <c r="AC11" s="10">
        <v>51.09</v>
      </c>
      <c r="AD11">
        <f t="shared" si="2"/>
        <v>1.0300000000000011</v>
      </c>
      <c r="AE11" s="138">
        <f t="shared" si="3"/>
        <v>2.0371479928100733E-2</v>
      </c>
    </row>
    <row r="12" spans="1:31" x14ac:dyDescent="0.25">
      <c r="B12" s="4"/>
      <c r="C12" s="4"/>
      <c r="D12" s="3"/>
      <c r="E12" s="3"/>
      <c r="F12" s="3"/>
      <c r="G12" s="4"/>
      <c r="H12" s="185"/>
      <c r="I12" s="3"/>
      <c r="J12" s="3"/>
      <c r="K12" s="3"/>
      <c r="L12" s="4"/>
      <c r="M12" s="4"/>
      <c r="W12" s="133">
        <v>42754</v>
      </c>
      <c r="X12" s="10">
        <v>50.45</v>
      </c>
      <c r="Y12" s="10">
        <v>50.75</v>
      </c>
      <c r="Z12" s="10">
        <v>49.85</v>
      </c>
      <c r="AA12" s="10">
        <v>50.07</v>
      </c>
      <c r="AB12" s="95">
        <v>4237900</v>
      </c>
      <c r="AC12" s="10">
        <v>50.07</v>
      </c>
      <c r="AD12">
        <f t="shared" si="2"/>
        <v>0.89999999999999858</v>
      </c>
      <c r="AE12" s="138">
        <f t="shared" si="3"/>
        <v>-6.1532354108774223E-3</v>
      </c>
    </row>
    <row r="13" spans="1:31" x14ac:dyDescent="0.25">
      <c r="B13" s="4"/>
      <c r="C13" s="4"/>
      <c r="D13" s="3"/>
      <c r="E13" s="3"/>
      <c r="F13" s="3"/>
      <c r="G13" s="4"/>
      <c r="H13" s="185"/>
      <c r="I13" s="3"/>
      <c r="J13" s="3"/>
      <c r="K13" s="3"/>
      <c r="L13" s="4"/>
      <c r="M13" s="4"/>
      <c r="W13" s="133">
        <v>42753</v>
      </c>
      <c r="X13" s="10">
        <v>50.07</v>
      </c>
      <c r="Y13" s="10">
        <v>50.66</v>
      </c>
      <c r="Z13" s="10">
        <v>49.7</v>
      </c>
      <c r="AA13" s="10">
        <v>50.38</v>
      </c>
      <c r="AB13" s="95">
        <v>5897000</v>
      </c>
      <c r="AC13" s="10">
        <v>50.38</v>
      </c>
      <c r="AD13">
        <f t="shared" si="2"/>
        <v>0.95999999999999375</v>
      </c>
      <c r="AE13" s="138">
        <f t="shared" si="3"/>
        <v>2.7866242038216971E-3</v>
      </c>
    </row>
    <row r="14" spans="1:31" x14ac:dyDescent="0.25">
      <c r="H14" s="72"/>
      <c r="W14" s="133">
        <v>42752</v>
      </c>
      <c r="X14" s="10">
        <v>50.88</v>
      </c>
      <c r="Y14" s="10">
        <v>51.34</v>
      </c>
      <c r="Z14" s="10">
        <v>50.22</v>
      </c>
      <c r="AA14" s="10">
        <v>50.24</v>
      </c>
      <c r="AB14" s="95">
        <v>4214900</v>
      </c>
      <c r="AC14" s="10">
        <v>50.24</v>
      </c>
      <c r="AD14">
        <f t="shared" si="2"/>
        <v>1.1200000000000045</v>
      </c>
      <c r="AE14" s="138">
        <f t="shared" si="3"/>
        <v>-1.7790811339198354E-2</v>
      </c>
    </row>
    <row r="15" spans="1:31" x14ac:dyDescent="0.25">
      <c r="H15" s="72"/>
      <c r="W15" s="133">
        <v>42748</v>
      </c>
      <c r="X15" s="10">
        <v>51</v>
      </c>
      <c r="Y15" s="10">
        <v>51.34</v>
      </c>
      <c r="Z15" s="10">
        <v>50.78</v>
      </c>
      <c r="AA15" s="10">
        <v>51.15</v>
      </c>
      <c r="AB15" s="95">
        <v>2611300</v>
      </c>
      <c r="AC15" s="10">
        <v>51.15</v>
      </c>
      <c r="AD15">
        <f t="shared" si="2"/>
        <v>0.56000000000000227</v>
      </c>
      <c r="AE15" s="138">
        <f t="shared" si="3"/>
        <v>2.7445598902176016E-3</v>
      </c>
    </row>
    <row r="16" spans="1:31" x14ac:dyDescent="0.25">
      <c r="H16" s="72"/>
      <c r="W16" s="133">
        <v>42747</v>
      </c>
      <c r="X16" s="10">
        <v>51.68</v>
      </c>
      <c r="Y16" s="10">
        <v>51.95</v>
      </c>
      <c r="Z16" s="10">
        <v>50.26</v>
      </c>
      <c r="AA16" s="10">
        <v>51.01</v>
      </c>
      <c r="AB16" s="95">
        <v>6033600</v>
      </c>
      <c r="AC16" s="10">
        <v>51.01</v>
      </c>
      <c r="AD16">
        <f t="shared" si="2"/>
        <v>1.6900000000000048</v>
      </c>
      <c r="AE16" s="138">
        <f t="shared" si="3"/>
        <v>-1.2964396284829705E-2</v>
      </c>
    </row>
    <row r="17" spans="1:31" x14ac:dyDescent="0.25">
      <c r="W17" s="133">
        <v>42746</v>
      </c>
      <c r="X17" s="10">
        <v>51.77</v>
      </c>
      <c r="Y17" s="10">
        <v>52.2</v>
      </c>
      <c r="Z17" s="10">
        <v>51.47</v>
      </c>
      <c r="AA17" s="10">
        <v>51.68</v>
      </c>
      <c r="AB17" s="95">
        <v>5928700</v>
      </c>
      <c r="AC17" s="10">
        <v>51.68</v>
      </c>
      <c r="AD17">
        <f t="shared" si="2"/>
        <v>0.73000000000000398</v>
      </c>
      <c r="AE17" s="138">
        <f t="shared" si="3"/>
        <v>6.6225165562914245E-3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42745</v>
      </c>
      <c r="X18" s="10">
        <v>50.55</v>
      </c>
      <c r="Y18" s="10">
        <v>51.89</v>
      </c>
      <c r="Z18" s="10">
        <v>50.53</v>
      </c>
      <c r="AA18" s="10">
        <v>51.34</v>
      </c>
      <c r="AB18" s="95">
        <v>5522900</v>
      </c>
      <c r="AC18" s="10">
        <v>51.34</v>
      </c>
      <c r="AD18">
        <f t="shared" si="2"/>
        <v>1.3599999999999994</v>
      </c>
      <c r="AE18" s="138">
        <f t="shared" si="3"/>
        <v>2.067594433399611E-2</v>
      </c>
    </row>
    <row r="19" spans="1:31" ht="15.75" thickBot="1" x14ac:dyDescent="0.3">
      <c r="A19" s="356" t="s">
        <v>198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 t="shared" ref="M19" si="4">SumByColor($A$19,M2:M17)</f>
        <v>0</v>
      </c>
      <c r="W19" s="133">
        <v>42744</v>
      </c>
      <c r="X19" s="10">
        <v>50</v>
      </c>
      <c r="Y19" s="10">
        <v>50.93</v>
      </c>
      <c r="Z19" s="10">
        <v>49.8</v>
      </c>
      <c r="AA19" s="10">
        <v>50.3</v>
      </c>
      <c r="AB19" s="95">
        <v>4965600</v>
      </c>
      <c r="AC19" s="10">
        <v>50.3</v>
      </c>
      <c r="AD19">
        <f t="shared" si="2"/>
        <v>1.1300000000000026</v>
      </c>
      <c r="AE19" s="138">
        <f t="shared" si="3"/>
        <v>7.410374524333907E-3</v>
      </c>
    </row>
    <row r="20" spans="1:31" x14ac:dyDescent="0.25">
      <c r="W20" s="133">
        <v>42741</v>
      </c>
      <c r="X20" s="10">
        <v>50.49</v>
      </c>
      <c r="Y20" s="10">
        <v>50.65</v>
      </c>
      <c r="Z20" s="10">
        <v>49.45</v>
      </c>
      <c r="AA20" s="10">
        <v>49.93</v>
      </c>
      <c r="AB20" s="95">
        <v>5650200</v>
      </c>
      <c r="AC20" s="10">
        <v>49.93</v>
      </c>
      <c r="AD20">
        <f t="shared" si="2"/>
        <v>1.1999999999999957</v>
      </c>
      <c r="AE20" s="138">
        <f t="shared" si="3"/>
        <v>-1.069942540122848E-2</v>
      </c>
    </row>
    <row r="21" spans="1:31" x14ac:dyDescent="0.25">
      <c r="W21" s="133">
        <v>42740</v>
      </c>
      <c r="X21" s="10">
        <v>51.44</v>
      </c>
      <c r="Y21" s="10">
        <v>52.12</v>
      </c>
      <c r="Z21" s="10">
        <v>50.12</v>
      </c>
      <c r="AA21" s="10">
        <v>50.47</v>
      </c>
      <c r="AB21" s="95">
        <v>6435100</v>
      </c>
      <c r="AC21" s="10">
        <v>50.47</v>
      </c>
      <c r="AD21">
        <f t="shared" si="2"/>
        <v>2</v>
      </c>
      <c r="AE21" s="138">
        <f t="shared" si="3"/>
        <v>-1.6179337231968738E-2</v>
      </c>
    </row>
    <row r="22" spans="1:31" x14ac:dyDescent="0.25">
      <c r="W22" s="133">
        <v>42739</v>
      </c>
      <c r="X22" s="10">
        <v>50.25</v>
      </c>
      <c r="Y22" s="10">
        <v>51.42</v>
      </c>
      <c r="Z22" s="10">
        <v>50.15</v>
      </c>
      <c r="AA22" s="10">
        <v>51.3</v>
      </c>
      <c r="AB22" s="95">
        <v>4860900</v>
      </c>
      <c r="AC22" s="10">
        <v>51.3</v>
      </c>
      <c r="AD22">
        <f t="shared" si="2"/>
        <v>1.2700000000000031</v>
      </c>
      <c r="AE22" s="138">
        <f t="shared" si="3"/>
        <v>2.6410564225690214E-2</v>
      </c>
    </row>
    <row r="23" spans="1:31" x14ac:dyDescent="0.25">
      <c r="W23" s="133">
        <v>42738</v>
      </c>
      <c r="X23" s="10">
        <v>50.4</v>
      </c>
      <c r="Y23" s="10">
        <v>51.16</v>
      </c>
      <c r="Z23" s="10">
        <v>49.81</v>
      </c>
      <c r="AA23" s="10">
        <v>49.98</v>
      </c>
      <c r="AB23" s="95">
        <v>4207500</v>
      </c>
      <c r="AC23" s="10">
        <v>49.98</v>
      </c>
      <c r="AD23">
        <f t="shared" si="2"/>
        <v>1.3499999999999943</v>
      </c>
      <c r="AE23" s="138">
        <f t="shared" si="3"/>
        <v>2.8089887640447841E-3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155</v>
      </c>
      <c r="W24" s="133">
        <v>42734</v>
      </c>
      <c r="X24" s="10">
        <v>50.19</v>
      </c>
      <c r="Y24" s="10">
        <v>50.37</v>
      </c>
      <c r="Z24" s="10">
        <v>49.53</v>
      </c>
      <c r="AA24" s="10">
        <v>49.84</v>
      </c>
      <c r="AB24" s="95">
        <v>3257200</v>
      </c>
      <c r="AC24" s="10">
        <v>49.84</v>
      </c>
      <c r="AD24">
        <f t="shared" si="2"/>
        <v>0.83999999999999631</v>
      </c>
      <c r="AE24" s="138">
        <f t="shared" si="3"/>
        <v>-7.171314741035828E-3</v>
      </c>
    </row>
    <row r="25" spans="1:31" x14ac:dyDescent="0.25">
      <c r="B25" s="193">
        <v>42572</v>
      </c>
      <c r="C25" s="7">
        <v>140</v>
      </c>
      <c r="D25" s="44">
        <v>38.5229</v>
      </c>
      <c r="E25" s="40">
        <v>37.32</v>
      </c>
      <c r="F25" s="40">
        <f t="shared" ref="F25" si="5">C25*(E25-D25)</f>
        <v>-168.40599999999995</v>
      </c>
      <c r="G25" s="40">
        <f t="shared" ref="G25" si="6">D25*C25</f>
        <v>5393.2060000000001</v>
      </c>
      <c r="H25" s="231">
        <f t="shared" ref="H25" si="7">(E25-D25)/D25</f>
        <v>-3.1225582705351872E-2</v>
      </c>
      <c r="I25" s="40"/>
      <c r="W25" s="133">
        <v>42733</v>
      </c>
      <c r="X25" s="10">
        <v>50.19</v>
      </c>
      <c r="Y25" s="10">
        <v>50.62</v>
      </c>
      <c r="Z25" s="10">
        <v>49.96</v>
      </c>
      <c r="AA25" s="10">
        <v>50.2</v>
      </c>
      <c r="AB25" s="95">
        <v>2160500</v>
      </c>
      <c r="AC25" s="10">
        <v>50.2</v>
      </c>
      <c r="AD25">
        <f t="shared" si="2"/>
        <v>0.65999999999999659</v>
      </c>
      <c r="AE25" s="138">
        <f t="shared" si="3"/>
        <v>5.9796691249758283E-4</v>
      </c>
    </row>
    <row r="26" spans="1:31" x14ac:dyDescent="0.25">
      <c r="B26" s="193">
        <v>42575</v>
      </c>
      <c r="C26" s="10">
        <v>140</v>
      </c>
      <c r="D26" s="40">
        <v>38.5229</v>
      </c>
      <c r="E26" s="40">
        <v>37.83</v>
      </c>
      <c r="F26" s="40">
        <f t="shared" ref="F26" si="8">C26*(E26-D26)</f>
        <v>-97.006000000000228</v>
      </c>
      <c r="G26" s="40">
        <f t="shared" ref="G26" si="9">D26*C26</f>
        <v>5393.2060000000001</v>
      </c>
      <c r="H26" s="231">
        <f t="shared" ref="H26" si="10">(E26-D26)/D26</f>
        <v>-1.7986704012418631E-2</v>
      </c>
      <c r="I26" s="40"/>
      <c r="W26" s="133">
        <v>42732</v>
      </c>
      <c r="X26" s="10">
        <v>50.53</v>
      </c>
      <c r="Y26" s="10">
        <v>50.96</v>
      </c>
      <c r="Z26" s="10">
        <v>50.07</v>
      </c>
      <c r="AA26" s="10">
        <v>50.17</v>
      </c>
      <c r="AB26" s="95">
        <v>3161500</v>
      </c>
      <c r="AC26" s="10">
        <v>50.17</v>
      </c>
      <c r="AD26">
        <f t="shared" si="2"/>
        <v>0.89000000000000057</v>
      </c>
      <c r="AE26" s="138">
        <f t="shared" si="3"/>
        <v>-6.3378886908298515E-3</v>
      </c>
    </row>
    <row r="27" spans="1:31" x14ac:dyDescent="0.25">
      <c r="B27" s="193">
        <v>42576</v>
      </c>
      <c r="C27" s="10">
        <v>170</v>
      </c>
      <c r="D27" s="40">
        <v>38.2806</v>
      </c>
      <c r="E27" s="40">
        <v>37.36</v>
      </c>
      <c r="F27" s="40">
        <f t="shared" ref="F27:F32" si="11">C27*(E27-D27)</f>
        <v>-156.50200000000007</v>
      </c>
      <c r="G27" s="40">
        <f t="shared" ref="G27" si="12">D27*C27</f>
        <v>6507.7020000000002</v>
      </c>
      <c r="H27" s="231">
        <f t="shared" ref="H27" si="13">(E27-D27)/D27</f>
        <v>-2.4048734868314506E-2</v>
      </c>
      <c r="I27" s="40"/>
      <c r="W27" s="133">
        <v>42731</v>
      </c>
      <c r="X27" s="10">
        <v>50.46</v>
      </c>
      <c r="Y27" s="10">
        <v>50.78</v>
      </c>
      <c r="Z27" s="10">
        <v>50.26</v>
      </c>
      <c r="AA27" s="10">
        <v>50.49</v>
      </c>
      <c r="AB27" s="95">
        <v>1874200</v>
      </c>
      <c r="AC27" s="10">
        <v>50.49</v>
      </c>
      <c r="AD27">
        <f t="shared" si="2"/>
        <v>0.52000000000000313</v>
      </c>
      <c r="AE27" s="138">
        <f t="shared" si="3"/>
        <v>7.9286422200186557E-4</v>
      </c>
    </row>
    <row r="28" spans="1:31" x14ac:dyDescent="0.25">
      <c r="B28" s="193">
        <v>42577</v>
      </c>
      <c r="C28" s="10">
        <v>170</v>
      </c>
      <c r="D28" s="40">
        <v>38.2806</v>
      </c>
      <c r="E28" s="40">
        <v>38.28</v>
      </c>
      <c r="F28" s="40">
        <f t="shared" si="11"/>
        <v>-0.10199999999976228</v>
      </c>
      <c r="G28" s="40">
        <f t="shared" ref="G28" si="14">D28*C28</f>
        <v>6507.7020000000002</v>
      </c>
      <c r="H28" s="231">
        <f t="shared" ref="H28" si="15">(E28-D28)/D28</f>
        <v>-1.5673735521350285E-5</v>
      </c>
      <c r="I28" s="40"/>
      <c r="W28" s="133">
        <v>42727</v>
      </c>
      <c r="X28" s="10">
        <v>50.36</v>
      </c>
      <c r="Y28" s="10">
        <v>50.72</v>
      </c>
      <c r="Z28" s="10">
        <v>50.19</v>
      </c>
      <c r="AA28" s="10">
        <v>50.45</v>
      </c>
      <c r="AB28" s="95">
        <v>1616700</v>
      </c>
      <c r="AC28" s="10">
        <v>50.45</v>
      </c>
      <c r="AD28">
        <f t="shared" si="2"/>
        <v>0.53000000000000114</v>
      </c>
      <c r="AE28" s="138">
        <f t="shared" si="3"/>
        <v>3.9800995024876773E-3</v>
      </c>
    </row>
    <row r="29" spans="1:31" x14ac:dyDescent="0.25">
      <c r="B29" s="193">
        <v>42580</v>
      </c>
      <c r="C29" s="10">
        <v>170</v>
      </c>
      <c r="D29" s="40">
        <v>38.2806</v>
      </c>
      <c r="E29" s="40">
        <v>37.01</v>
      </c>
      <c r="F29" s="40">
        <f t="shared" si="11"/>
        <v>-216.00200000000029</v>
      </c>
      <c r="G29" s="40">
        <f t="shared" ref="G29" si="16">D29*C29</f>
        <v>6507.7020000000002</v>
      </c>
      <c r="H29" s="231">
        <f t="shared" ref="H29" si="17">(E29-D29)/D29</f>
        <v>-3.3191747255790181E-2</v>
      </c>
      <c r="I29" s="40"/>
      <c r="W29" s="133">
        <v>42726</v>
      </c>
      <c r="X29" s="10">
        <v>50.72</v>
      </c>
      <c r="Y29" s="10">
        <v>51.03</v>
      </c>
      <c r="Z29" s="10">
        <v>50.08</v>
      </c>
      <c r="AA29" s="10">
        <v>50.25</v>
      </c>
      <c r="AB29" s="95">
        <v>2486200</v>
      </c>
      <c r="AC29" s="10">
        <v>50.25</v>
      </c>
      <c r="AD29">
        <f t="shared" si="2"/>
        <v>0.95000000000000284</v>
      </c>
      <c r="AE29" s="138">
        <f t="shared" si="3"/>
        <v>-7.8973346495557761E-3</v>
      </c>
    </row>
    <row r="30" spans="1:31" x14ac:dyDescent="0.25">
      <c r="B30" s="193">
        <v>42585</v>
      </c>
      <c r="C30" s="10">
        <v>170</v>
      </c>
      <c r="D30" s="40">
        <v>38.2806</v>
      </c>
      <c r="E30" s="40">
        <v>35.54</v>
      </c>
      <c r="F30" s="40">
        <f t="shared" si="11"/>
        <v>-465.9020000000001</v>
      </c>
      <c r="G30" s="40">
        <f t="shared" ref="G30" si="18">D30*C30</f>
        <v>6507.7020000000002</v>
      </c>
      <c r="H30" s="231">
        <f t="shared" ref="H30" si="19">(E30-D30)/D30</f>
        <v>-7.1592399283187849E-2</v>
      </c>
      <c r="I30" s="40"/>
      <c r="W30" s="133">
        <v>42725</v>
      </c>
      <c r="X30" s="10">
        <v>50.77</v>
      </c>
      <c r="Y30" s="10">
        <v>51.08</v>
      </c>
      <c r="Z30" s="10">
        <v>50.52</v>
      </c>
      <c r="AA30" s="10">
        <v>50.65</v>
      </c>
      <c r="AB30" s="95">
        <v>3954100</v>
      </c>
      <c r="AC30" s="10">
        <v>50.65</v>
      </c>
      <c r="AD30">
        <f t="shared" si="2"/>
        <v>0.55999999999999517</v>
      </c>
      <c r="AE30" s="138">
        <f t="shared" si="3"/>
        <v>-4.7160542346237344E-3</v>
      </c>
    </row>
    <row r="31" spans="1:31" x14ac:dyDescent="0.25">
      <c r="B31" s="193">
        <v>42593</v>
      </c>
      <c r="C31" s="10">
        <v>170</v>
      </c>
      <c r="D31" s="40">
        <v>38.2806</v>
      </c>
      <c r="E31" s="40">
        <v>36.99</v>
      </c>
      <c r="F31" s="40">
        <f t="shared" si="11"/>
        <v>-219.40199999999962</v>
      </c>
      <c r="G31" s="40">
        <f t="shared" ref="G31:G32" si="20">D31*C31</f>
        <v>6507.7020000000002</v>
      </c>
      <c r="H31" s="231">
        <f t="shared" ref="H31:H32" si="21">(E31-D31)/D31</f>
        <v>-3.3714205106502977E-2</v>
      </c>
      <c r="I31" s="40"/>
      <c r="W31" s="133">
        <v>42724</v>
      </c>
      <c r="X31" s="10">
        <v>50.55</v>
      </c>
      <c r="Y31" s="10">
        <v>51.19</v>
      </c>
      <c r="Z31" s="10">
        <v>50.41</v>
      </c>
      <c r="AA31" s="10">
        <v>50.89</v>
      </c>
      <c r="AB31" s="95">
        <v>3698500</v>
      </c>
      <c r="AC31" s="10">
        <v>50.89</v>
      </c>
      <c r="AD31">
        <f t="shared" si="2"/>
        <v>0.78000000000000114</v>
      </c>
      <c r="AE31" s="138">
        <f t="shared" si="3"/>
        <v>1.0724925521350626E-2</v>
      </c>
    </row>
    <row r="32" spans="1:31" x14ac:dyDescent="0.25">
      <c r="B32" s="193">
        <v>42598</v>
      </c>
      <c r="C32" s="493">
        <v>200</v>
      </c>
      <c r="D32" s="496">
        <v>38.025500000000001</v>
      </c>
      <c r="E32" s="40">
        <v>36.520000000000003</v>
      </c>
      <c r="F32" s="40">
        <f t="shared" si="11"/>
        <v>-301.09999999999957</v>
      </c>
      <c r="G32" s="40">
        <f t="shared" si="20"/>
        <v>7605.1</v>
      </c>
      <c r="H32" s="231">
        <f t="shared" si="21"/>
        <v>-3.9591852835597109E-2</v>
      </c>
      <c r="I32" s="40"/>
      <c r="W32" s="133">
        <v>42723</v>
      </c>
      <c r="X32" s="10">
        <v>50.26</v>
      </c>
      <c r="Y32" s="10">
        <v>50.53</v>
      </c>
      <c r="Z32" s="10">
        <v>49.72</v>
      </c>
      <c r="AA32" s="10">
        <v>50.35</v>
      </c>
      <c r="AB32" s="95">
        <v>3191700</v>
      </c>
      <c r="AC32" s="10">
        <v>50.35</v>
      </c>
      <c r="AD32">
        <f t="shared" si="2"/>
        <v>0.81000000000000227</v>
      </c>
      <c r="AE32" s="138">
        <f t="shared" si="3"/>
        <v>8.4117764870819123E-3</v>
      </c>
    </row>
    <row r="33" spans="2:31" x14ac:dyDescent="0.25">
      <c r="B33" s="193">
        <v>42599</v>
      </c>
      <c r="C33" s="10">
        <v>200</v>
      </c>
      <c r="D33" s="40">
        <v>38.025500000000001</v>
      </c>
      <c r="E33" s="40">
        <v>36.85</v>
      </c>
      <c r="F33" s="40">
        <f t="shared" ref="F33" si="22">C33*(E33-D33)</f>
        <v>-235.09999999999991</v>
      </c>
      <c r="G33" s="40">
        <f t="shared" ref="G33" si="23">D33*C33</f>
        <v>7605.1</v>
      </c>
      <c r="H33" s="231">
        <f t="shared" ref="H33" si="24">(E33-D33)/D33</f>
        <v>-3.0913465963629656E-2</v>
      </c>
      <c r="I33" s="236"/>
      <c r="W33" s="133">
        <v>42720</v>
      </c>
      <c r="X33" s="10">
        <v>50.74</v>
      </c>
      <c r="Y33" s="10">
        <v>51.13</v>
      </c>
      <c r="Z33" s="10">
        <v>49.89</v>
      </c>
      <c r="AA33" s="10">
        <v>49.93</v>
      </c>
      <c r="AB33" s="95">
        <v>7358700</v>
      </c>
      <c r="AC33" s="10">
        <v>49.93</v>
      </c>
      <c r="AD33">
        <f t="shared" si="2"/>
        <v>1.240000000000002</v>
      </c>
      <c r="AE33" s="138">
        <f t="shared" si="3"/>
        <v>-1.3046056532911687E-2</v>
      </c>
    </row>
    <row r="34" spans="2:31" x14ac:dyDescent="0.25">
      <c r="B34" s="193">
        <v>42601</v>
      </c>
      <c r="C34" s="10">
        <v>200</v>
      </c>
      <c r="D34" s="40">
        <v>38.025500000000001</v>
      </c>
      <c r="E34" s="40">
        <v>36.35</v>
      </c>
      <c r="F34" s="40">
        <f t="shared" ref="F34" si="25">C34*(E34-D34)</f>
        <v>-335.09999999999991</v>
      </c>
      <c r="G34" s="40">
        <f t="shared" ref="G34" si="26">D34*C34</f>
        <v>7605.1</v>
      </c>
      <c r="H34" s="231">
        <f t="shared" ref="H34" si="27">(E34-D34)/D34</f>
        <v>-4.4062536981762226E-2</v>
      </c>
      <c r="I34" s="40"/>
      <c r="W34" s="133">
        <v>42719</v>
      </c>
      <c r="X34" s="10">
        <v>49.43</v>
      </c>
      <c r="Y34" s="10">
        <v>51.31</v>
      </c>
      <c r="Z34" s="10">
        <v>49.4</v>
      </c>
      <c r="AA34" s="10">
        <v>50.59</v>
      </c>
      <c r="AB34" s="95">
        <v>8906800</v>
      </c>
      <c r="AC34" s="10">
        <v>50.59</v>
      </c>
      <c r="AD34">
        <f t="shared" si="2"/>
        <v>1.9100000000000037</v>
      </c>
      <c r="AE34" s="138">
        <f t="shared" si="3"/>
        <v>2.6582792207792361E-2</v>
      </c>
    </row>
    <row r="35" spans="2:31" x14ac:dyDescent="0.25">
      <c r="B35" s="193">
        <v>42605</v>
      </c>
      <c r="C35" s="10">
        <v>200</v>
      </c>
      <c r="D35" s="40">
        <v>38.025500000000001</v>
      </c>
      <c r="E35" s="40">
        <v>36.69</v>
      </c>
      <c r="F35" s="40">
        <f t="shared" ref="F35" si="28">C35*(E35-D35)</f>
        <v>-267.10000000000065</v>
      </c>
      <c r="G35" s="40">
        <f t="shared" ref="G35" si="29">D35*C35</f>
        <v>7605.1</v>
      </c>
      <c r="H35" s="231">
        <f t="shared" ref="H35" si="30">(E35-D35)/D35</f>
        <v>-3.5121168689432179E-2</v>
      </c>
      <c r="I35" s="40"/>
      <c r="W35" s="133">
        <v>42718</v>
      </c>
      <c r="X35" s="10">
        <v>49.5</v>
      </c>
      <c r="Y35" s="10">
        <v>50</v>
      </c>
      <c r="Z35" s="10">
        <v>48.9</v>
      </c>
      <c r="AA35" s="10">
        <v>49.28</v>
      </c>
      <c r="AB35" s="95">
        <v>5822600</v>
      </c>
      <c r="AC35" s="10">
        <v>49.28</v>
      </c>
      <c r="AD35">
        <f t="shared" si="2"/>
        <v>1.1000000000000014</v>
      </c>
      <c r="AE35" s="138">
        <f t="shared" si="3"/>
        <v>-5.4490413723510267E-3</v>
      </c>
    </row>
    <row r="36" spans="2:31" x14ac:dyDescent="0.25">
      <c r="B36" s="193">
        <v>42611</v>
      </c>
      <c r="C36" s="10">
        <v>200</v>
      </c>
      <c r="D36" s="40">
        <v>38.025500000000001</v>
      </c>
      <c r="E36" s="40">
        <v>36.450000000000003</v>
      </c>
      <c r="F36" s="40">
        <f t="shared" ref="F36" si="31">C36*(E36-D36)</f>
        <v>-315.09999999999962</v>
      </c>
      <c r="G36" s="40">
        <f t="shared" ref="G36" si="32">D36*C36</f>
        <v>7605.1</v>
      </c>
      <c r="H36" s="231">
        <f t="shared" ref="H36" si="33">(E36-D36)/D36</f>
        <v>-4.1432722778135672E-2</v>
      </c>
      <c r="I36" s="40"/>
      <c r="W36" s="133">
        <v>42717</v>
      </c>
      <c r="X36" s="10">
        <v>49.47</v>
      </c>
      <c r="Y36" s="10">
        <v>50.43</v>
      </c>
      <c r="Z36" s="10">
        <v>49.45</v>
      </c>
      <c r="AA36" s="10">
        <v>49.55</v>
      </c>
      <c r="AB36" s="95">
        <v>6552400</v>
      </c>
      <c r="AC36" s="10">
        <v>49.55</v>
      </c>
      <c r="AD36">
        <f t="shared" si="2"/>
        <v>0.97999999999999687</v>
      </c>
      <c r="AE36" s="138">
        <f t="shared" si="3"/>
        <v>3.6459388292484629E-3</v>
      </c>
    </row>
    <row r="37" spans="2:31" x14ac:dyDescent="0.25">
      <c r="B37" s="193">
        <v>42612</v>
      </c>
      <c r="C37" s="10">
        <v>200</v>
      </c>
      <c r="D37" s="40">
        <v>38.025500000000001</v>
      </c>
      <c r="E37" s="40">
        <v>37.18</v>
      </c>
      <c r="F37" s="40">
        <f t="shared" ref="F37" si="34">C37*(E37-D37)</f>
        <v>-169.10000000000025</v>
      </c>
      <c r="G37" s="40">
        <f t="shared" ref="G37" si="35">D37*C37</f>
        <v>7605.1</v>
      </c>
      <c r="H37" s="231">
        <f t="shared" ref="H37" si="36">(E37-D37)/D37</f>
        <v>-2.2235079091662207E-2</v>
      </c>
      <c r="I37" s="40"/>
      <c r="W37" s="133">
        <v>42716</v>
      </c>
      <c r="X37" s="10">
        <v>49.36</v>
      </c>
      <c r="Y37" s="10">
        <v>49.69</v>
      </c>
      <c r="Z37" s="10">
        <v>48.92</v>
      </c>
      <c r="AA37" s="10">
        <v>49.37</v>
      </c>
      <c r="AB37" s="95">
        <v>8756200</v>
      </c>
      <c r="AC37" s="10">
        <v>49.37</v>
      </c>
      <c r="AD37">
        <f t="shared" si="2"/>
        <v>0.76999999999999602</v>
      </c>
      <c r="AE37" s="138">
        <f t="shared" si="3"/>
        <v>-8.4354288009640399E-3</v>
      </c>
    </row>
    <row r="38" spans="2:31" x14ac:dyDescent="0.25">
      <c r="B38" s="193">
        <v>42615</v>
      </c>
      <c r="C38" s="10">
        <v>200</v>
      </c>
      <c r="D38" s="40">
        <v>38.025500000000001</v>
      </c>
      <c r="E38" s="40">
        <v>36.89</v>
      </c>
      <c r="F38" s="40">
        <f t="shared" ref="F38:F39" si="37">C38*(E38-D38)</f>
        <v>-227.10000000000008</v>
      </c>
      <c r="G38" s="40">
        <f t="shared" ref="G38:G39" si="38">D38*C38</f>
        <v>7605.1</v>
      </c>
      <c r="H38" s="231">
        <f t="shared" ref="H38:H39" si="39">(E38-D38)/D38</f>
        <v>-2.9861540282179074E-2</v>
      </c>
      <c r="I38" s="40"/>
      <c r="W38" s="133">
        <v>42713</v>
      </c>
      <c r="X38" s="10">
        <v>49.89</v>
      </c>
      <c r="Y38" s="10">
        <v>50.68</v>
      </c>
      <c r="Z38" s="10">
        <v>49.22</v>
      </c>
      <c r="AA38" s="10">
        <v>49.79</v>
      </c>
      <c r="AB38" s="95">
        <v>6676600</v>
      </c>
      <c r="AC38" s="10">
        <v>49.79</v>
      </c>
      <c r="AD38">
        <f t="shared" si="2"/>
        <v>1.4600000000000009</v>
      </c>
      <c r="AE38" s="138">
        <f t="shared" si="3"/>
        <v>3.8306451612901693E-3</v>
      </c>
    </row>
    <row r="39" spans="2:31" x14ac:dyDescent="0.25">
      <c r="B39" s="193">
        <v>42620</v>
      </c>
      <c r="C39" s="10">
        <v>100</v>
      </c>
      <c r="D39" s="40">
        <v>37.571800000000003</v>
      </c>
      <c r="E39" s="40">
        <v>38.68</v>
      </c>
      <c r="F39" s="40">
        <f t="shared" si="37"/>
        <v>110.81999999999965</v>
      </c>
      <c r="G39" s="40">
        <f t="shared" si="38"/>
        <v>3757.1800000000003</v>
      </c>
      <c r="H39" s="231">
        <f t="shared" si="39"/>
        <v>2.9495525899743861E-2</v>
      </c>
      <c r="I39" s="40"/>
      <c r="W39" s="133">
        <v>42712</v>
      </c>
      <c r="X39" s="10">
        <v>49.98</v>
      </c>
      <c r="Y39" s="10">
        <v>49.98</v>
      </c>
      <c r="Z39" s="10">
        <v>49.24</v>
      </c>
      <c r="AA39" s="10">
        <v>49.6</v>
      </c>
      <c r="AB39" s="95">
        <v>6641500</v>
      </c>
      <c r="AC39" s="10">
        <v>49.6</v>
      </c>
      <c r="AD39">
        <f t="shared" si="2"/>
        <v>0.73999999999999488</v>
      </c>
      <c r="AE39" s="138">
        <f t="shared" si="3"/>
        <v>-5.015045135406182E-3</v>
      </c>
    </row>
    <row r="40" spans="2:31" ht="20.25" thickBot="1" x14ac:dyDescent="0.35">
      <c r="B40" s="193">
        <v>42621</v>
      </c>
      <c r="C40" s="10">
        <v>100</v>
      </c>
      <c r="D40" s="40">
        <v>37.3718</v>
      </c>
      <c r="E40" s="40">
        <v>38.76</v>
      </c>
      <c r="F40" s="40">
        <f t="shared" ref="F40" si="40">C40*(E40-D40)</f>
        <v>138.81999999999977</v>
      </c>
      <c r="G40" s="40">
        <f t="shared" ref="G40" si="41">D40*C40</f>
        <v>3737.18</v>
      </c>
      <c r="H40" s="231">
        <f t="shared" ref="H40" si="42">(E40-D40)/D40</f>
        <v>3.7145655280184459E-2</v>
      </c>
      <c r="I40" s="40"/>
      <c r="O40" s="638" t="s">
        <v>78</v>
      </c>
      <c r="P40" s="638"/>
      <c r="W40" s="133">
        <v>42711</v>
      </c>
      <c r="X40" s="10">
        <v>47.71</v>
      </c>
      <c r="Y40" s="10">
        <v>49.88</v>
      </c>
      <c r="Z40" s="10">
        <v>47.4</v>
      </c>
      <c r="AA40" s="10">
        <v>49.85</v>
      </c>
      <c r="AB40" s="95">
        <v>7534300</v>
      </c>
      <c r="AC40" s="10">
        <v>49.85</v>
      </c>
      <c r="AD40">
        <f t="shared" si="2"/>
        <v>2.480000000000004</v>
      </c>
      <c r="AE40" s="138">
        <f t="shared" si="3"/>
        <v>4.5511744966443057E-2</v>
      </c>
    </row>
    <row r="41" spans="2:31" ht="15.75" thickTop="1" x14ac:dyDescent="0.25">
      <c r="B41" s="193">
        <v>42622</v>
      </c>
      <c r="C41" s="10">
        <v>100</v>
      </c>
      <c r="D41" s="40">
        <v>37.3718</v>
      </c>
      <c r="E41" s="40">
        <v>37.340000000000003</v>
      </c>
      <c r="F41" s="40">
        <f t="shared" ref="F41" si="43">C41*(E41-D41)</f>
        <v>-3.1799999999996942</v>
      </c>
      <c r="G41" s="40">
        <f t="shared" ref="G41" si="44">D41*C41</f>
        <v>3737.18</v>
      </c>
      <c r="H41" s="231">
        <f t="shared" ref="H41" si="45">(E41-D41)/D41</f>
        <v>-8.5090897414619962E-4</v>
      </c>
      <c r="I41" s="40"/>
      <c r="O41" s="83">
        <v>1.1000000000000001</v>
      </c>
      <c r="P41" s="83">
        <f>O41*$Q$4</f>
        <v>58.168000000000006</v>
      </c>
      <c r="Q41" s="2"/>
      <c r="W41" s="133">
        <v>42710</v>
      </c>
      <c r="X41" s="10">
        <v>47.39</v>
      </c>
      <c r="Y41" s="10">
        <v>47.9</v>
      </c>
      <c r="Z41" s="10">
        <v>47.16</v>
      </c>
      <c r="AA41" s="10">
        <v>47.68</v>
      </c>
      <c r="AB41" s="95">
        <v>4548300</v>
      </c>
      <c r="AC41" s="10">
        <v>47.68</v>
      </c>
      <c r="AD41">
        <f t="shared" si="2"/>
        <v>0.74000000000000199</v>
      </c>
      <c r="AE41" s="138" t="e">
        <f t="shared" si="3"/>
        <v>#DIV/0!</v>
      </c>
    </row>
    <row r="42" spans="2:31" ht="20.25" thickBot="1" x14ac:dyDescent="0.35">
      <c r="B42" s="193">
        <v>42625</v>
      </c>
      <c r="C42" s="10">
        <v>100</v>
      </c>
      <c r="D42" s="40">
        <v>37.3718</v>
      </c>
      <c r="E42" s="40">
        <v>37.82</v>
      </c>
      <c r="F42" s="40">
        <f t="shared" ref="F42" si="46">C42*(E42-D42)</f>
        <v>44.819999999999993</v>
      </c>
      <c r="G42" s="40">
        <f t="shared" ref="G42" si="47">D42*C42</f>
        <v>3737.18</v>
      </c>
      <c r="H42" s="231">
        <f t="shared" ref="H42" si="48">(E42-D42)/D42</f>
        <v>1.1993000069571172E-2</v>
      </c>
      <c r="I42" s="40"/>
      <c r="O42" s="83">
        <v>1.0900000000000001</v>
      </c>
      <c r="P42" s="83">
        <f t="shared" ref="P42:P61" si="49">O42*$Q$4</f>
        <v>57.63920000000001</v>
      </c>
      <c r="Q42" s="2"/>
      <c r="T42" s="91" t="s">
        <v>113</v>
      </c>
      <c r="W42" s="133">
        <v>42710</v>
      </c>
      <c r="X42" s="10" t="s">
        <v>346</v>
      </c>
      <c r="Y42" s="10"/>
      <c r="Z42" s="10"/>
      <c r="AA42" s="10"/>
      <c r="AB42" s="95"/>
      <c r="AC42" s="10"/>
      <c r="AD42">
        <f t="shared" si="2"/>
        <v>0</v>
      </c>
      <c r="AE42" s="138">
        <f t="shared" si="3"/>
        <v>-1</v>
      </c>
    </row>
    <row r="43" spans="2:31" ht="15.75" thickTop="1" x14ac:dyDescent="0.25">
      <c r="B43" s="193">
        <v>42635</v>
      </c>
      <c r="C43" s="10">
        <v>100</v>
      </c>
      <c r="D43" s="40">
        <v>37.3718</v>
      </c>
      <c r="E43" s="40">
        <v>37.33</v>
      </c>
      <c r="F43" s="40">
        <f t="shared" ref="F43" si="50">C43*(E43-D43)</f>
        <v>-4.1800000000002058</v>
      </c>
      <c r="G43" s="40">
        <f t="shared" ref="G43" si="51">D43*C43</f>
        <v>3737.18</v>
      </c>
      <c r="H43" s="231">
        <f t="shared" ref="H43" si="52">(E43-D43)/D43</f>
        <v>-1.1184904125571167E-3</v>
      </c>
      <c r="I43" s="40"/>
      <c r="O43" s="83">
        <v>1.08</v>
      </c>
      <c r="P43" s="83">
        <f t="shared" si="49"/>
        <v>57.110400000000006</v>
      </c>
      <c r="Q43" s="2"/>
      <c r="T43" s="128" t="s">
        <v>98</v>
      </c>
      <c r="U43" s="129">
        <v>52.73</v>
      </c>
      <c r="W43" s="133">
        <v>42709</v>
      </c>
      <c r="X43" s="10">
        <v>48.08</v>
      </c>
      <c r="Y43" s="10">
        <v>48.46</v>
      </c>
      <c r="Z43" s="10">
        <v>47.04</v>
      </c>
      <c r="AA43" s="10">
        <v>47.07</v>
      </c>
      <c r="AB43" s="95">
        <v>4734200</v>
      </c>
      <c r="AC43" s="10">
        <v>46.97</v>
      </c>
      <c r="AD43">
        <f t="shared" si="2"/>
        <v>1.4200000000000017</v>
      </c>
      <c r="AE43" s="138">
        <f t="shared" si="3"/>
        <v>-1.7569546120058677E-2</v>
      </c>
    </row>
    <row r="44" spans="2:31" x14ac:dyDescent="0.25">
      <c r="B44" s="193">
        <v>42640</v>
      </c>
      <c r="C44" s="10">
        <v>0</v>
      </c>
      <c r="D44" s="40"/>
      <c r="E44" s="40"/>
      <c r="F44" s="40">
        <v>117.74</v>
      </c>
      <c r="G44" s="40"/>
      <c r="H44" s="231"/>
      <c r="I44" s="40"/>
      <c r="O44" s="83">
        <v>1.07</v>
      </c>
      <c r="P44" s="83">
        <f t="shared" si="49"/>
        <v>56.581600000000009</v>
      </c>
      <c r="Q44" s="2"/>
      <c r="T44" s="93" t="s">
        <v>99</v>
      </c>
      <c r="U44" s="130">
        <v>52.27</v>
      </c>
      <c r="W44" s="133">
        <v>42706</v>
      </c>
      <c r="X44" s="10">
        <v>47.37</v>
      </c>
      <c r="Y44" s="10">
        <v>48.24</v>
      </c>
      <c r="Z44" s="10">
        <v>47.3</v>
      </c>
      <c r="AA44" s="10">
        <v>47.91</v>
      </c>
      <c r="AB44" s="95">
        <v>4843600</v>
      </c>
      <c r="AC44" s="10">
        <v>47.81</v>
      </c>
      <c r="AD44">
        <f t="shared" si="2"/>
        <v>0.94000000000000483</v>
      </c>
      <c r="AE44" s="138">
        <f t="shared" si="3"/>
        <v>1.7883755588673722E-2</v>
      </c>
    </row>
    <row r="45" spans="2:31" x14ac:dyDescent="0.25">
      <c r="B45" s="193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49"/>
        <v>56.052800000000005</v>
      </c>
      <c r="Q45" s="2"/>
      <c r="T45" s="93" t="s">
        <v>100</v>
      </c>
      <c r="U45" s="130" t="s">
        <v>129</v>
      </c>
      <c r="W45" s="133">
        <v>42705</v>
      </c>
      <c r="X45" s="10">
        <v>46.36</v>
      </c>
      <c r="Y45" s="10">
        <v>47.44</v>
      </c>
      <c r="Z45" s="10">
        <v>46.19</v>
      </c>
      <c r="AA45" s="10">
        <v>47.07</v>
      </c>
      <c r="AB45" s="95">
        <v>5594800</v>
      </c>
      <c r="AC45" s="10">
        <v>46.97</v>
      </c>
      <c r="AD45">
        <f t="shared" si="2"/>
        <v>1.25</v>
      </c>
      <c r="AE45" s="138">
        <f t="shared" si="3"/>
        <v>9.890346162115593E-3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49"/>
        <v>55.524000000000008</v>
      </c>
      <c r="Q46" s="2"/>
      <c r="T46" s="93" t="s">
        <v>101</v>
      </c>
      <c r="U46" s="130" t="s">
        <v>129</v>
      </c>
      <c r="W46" s="133">
        <v>42704</v>
      </c>
      <c r="X46" s="10">
        <v>46.1</v>
      </c>
      <c r="Y46" s="10">
        <v>47.33</v>
      </c>
      <c r="Z46" s="10">
        <v>44.7</v>
      </c>
      <c r="AA46" s="10">
        <v>46.61</v>
      </c>
      <c r="AB46" s="95">
        <v>6640900</v>
      </c>
      <c r="AC46" s="10">
        <v>46.51</v>
      </c>
      <c r="AD46">
        <f t="shared" si="2"/>
        <v>2.6299999999999955</v>
      </c>
      <c r="AE46" s="138">
        <f t="shared" si="3"/>
        <v>-1.3364446330080715E-2</v>
      </c>
    </row>
    <row r="47" spans="2:31" x14ac:dyDescent="0.25">
      <c r="B47" s="193"/>
      <c r="C47" s="10"/>
      <c r="D47" s="40"/>
      <c r="E47" s="40"/>
      <c r="F47" s="40"/>
      <c r="G47" s="40"/>
      <c r="H47" s="231"/>
      <c r="I47" s="40"/>
      <c r="O47" s="83">
        <v>1.04</v>
      </c>
      <c r="P47" s="83">
        <f t="shared" si="49"/>
        <v>54.995200000000004</v>
      </c>
      <c r="Q47" s="2"/>
      <c r="T47" s="93" t="s">
        <v>102</v>
      </c>
      <c r="U47" s="130">
        <v>62.4</v>
      </c>
      <c r="W47" s="133">
        <v>42703</v>
      </c>
      <c r="X47" s="10">
        <v>47.56</v>
      </c>
      <c r="Y47" s="10">
        <v>47.83</v>
      </c>
      <c r="Z47" s="10">
        <v>47.21</v>
      </c>
      <c r="AA47" s="10">
        <v>47.24</v>
      </c>
      <c r="AB47" s="95">
        <v>4453400</v>
      </c>
      <c r="AC47" s="10">
        <v>47.14</v>
      </c>
      <c r="AD47">
        <f t="shared" si="2"/>
        <v>0.61999999999999744</v>
      </c>
      <c r="AE47" s="138">
        <f t="shared" si="3"/>
        <v>-5.9046815689582921E-3</v>
      </c>
    </row>
    <row r="48" spans="2:31" x14ac:dyDescent="0.25">
      <c r="O48" s="83">
        <v>1.03</v>
      </c>
      <c r="P48" s="83">
        <f t="shared" si="49"/>
        <v>54.466400000000007</v>
      </c>
      <c r="Q48" s="2"/>
      <c r="T48" s="93" t="s">
        <v>103</v>
      </c>
      <c r="U48" s="130">
        <v>0.99245300000000003</v>
      </c>
      <c r="W48" s="133">
        <v>42702</v>
      </c>
      <c r="X48" s="10">
        <v>47.41</v>
      </c>
      <c r="Y48" s="10">
        <v>47.77</v>
      </c>
      <c r="Z48" s="10">
        <v>47.15</v>
      </c>
      <c r="AA48" s="10">
        <v>47.52</v>
      </c>
      <c r="AB48" s="95">
        <v>4230900</v>
      </c>
      <c r="AC48" s="10">
        <v>47.42</v>
      </c>
      <c r="AD48">
        <f t="shared" si="2"/>
        <v>0.62000000000000455</v>
      </c>
      <c r="AE48" s="138">
        <f t="shared" si="3"/>
        <v>1.4783526927137913E-3</v>
      </c>
    </row>
    <row r="49" spans="1:31" x14ac:dyDescent="0.25">
      <c r="O49" s="83">
        <v>1.02</v>
      </c>
      <c r="P49" s="83">
        <f t="shared" si="49"/>
        <v>53.937600000000003</v>
      </c>
      <c r="Q49" s="2"/>
      <c r="T49" s="93" t="s">
        <v>104</v>
      </c>
      <c r="U49" s="130" t="s">
        <v>474</v>
      </c>
      <c r="W49" s="133">
        <v>42699</v>
      </c>
      <c r="X49" s="10">
        <v>47.31</v>
      </c>
      <c r="Y49" s="10">
        <v>47.91</v>
      </c>
      <c r="Z49" s="10">
        <v>47.23</v>
      </c>
      <c r="AA49" s="10">
        <v>47.45</v>
      </c>
      <c r="AB49" s="95">
        <v>2499100</v>
      </c>
      <c r="AC49" s="10">
        <v>47.35</v>
      </c>
      <c r="AD49">
        <f t="shared" si="2"/>
        <v>0.67999999999999972</v>
      </c>
      <c r="AE49" s="138">
        <f t="shared" si="3"/>
        <v>1.6924053310767295E-3</v>
      </c>
    </row>
    <row r="50" spans="1:31" x14ac:dyDescent="0.25">
      <c r="O50" s="83">
        <v>1.01</v>
      </c>
      <c r="P50" s="83">
        <f t="shared" si="49"/>
        <v>53.408800000000006</v>
      </c>
      <c r="Q50" s="2"/>
      <c r="T50" s="93"/>
      <c r="U50" s="130"/>
      <c r="W50" s="133">
        <v>42697</v>
      </c>
      <c r="X50" s="10">
        <v>46.99</v>
      </c>
      <c r="Y50" s="10">
        <v>47.46</v>
      </c>
      <c r="Z50" s="10">
        <v>46.13</v>
      </c>
      <c r="AA50" s="10">
        <v>47.37</v>
      </c>
      <c r="AB50" s="95">
        <v>5316200</v>
      </c>
      <c r="AC50" s="10">
        <v>47.27</v>
      </c>
      <c r="AD50">
        <f t="shared" si="2"/>
        <v>1.3299999999999983</v>
      </c>
      <c r="AE50" s="138">
        <f t="shared" si="3"/>
        <v>5.7446808510639435E-3</v>
      </c>
    </row>
    <row r="51" spans="1:31" x14ac:dyDescent="0.25">
      <c r="O51" s="83">
        <v>1</v>
      </c>
      <c r="P51" s="83">
        <f t="shared" si="49"/>
        <v>52.88</v>
      </c>
      <c r="Q51" s="2"/>
      <c r="T51" s="93" t="s">
        <v>105</v>
      </c>
      <c r="U51" s="130" t="s">
        <v>557</v>
      </c>
      <c r="W51" s="133">
        <v>42696</v>
      </c>
      <c r="X51" s="10">
        <v>47.69</v>
      </c>
      <c r="Y51" s="10">
        <v>47.99</v>
      </c>
      <c r="Z51" s="10">
        <v>46.75</v>
      </c>
      <c r="AA51" s="10">
        <v>47.1</v>
      </c>
      <c r="AB51" s="95">
        <v>7401300</v>
      </c>
      <c r="AC51" s="10">
        <v>47</v>
      </c>
      <c r="AD51">
        <f t="shared" si="2"/>
        <v>1.240000000000002</v>
      </c>
      <c r="AE51" s="138">
        <f t="shared" si="3"/>
        <v>-5.5014811680067499E-3</v>
      </c>
    </row>
    <row r="52" spans="1:31" x14ac:dyDescent="0.25">
      <c r="O52" s="83">
        <v>0.99</v>
      </c>
      <c r="P52" s="83">
        <f t="shared" si="49"/>
        <v>52.351199999999999</v>
      </c>
      <c r="Q52" s="2"/>
      <c r="T52" s="93" t="s">
        <v>106</v>
      </c>
      <c r="U52" s="130" t="s">
        <v>475</v>
      </c>
      <c r="W52" s="133">
        <v>42695</v>
      </c>
      <c r="X52" s="10">
        <v>47.08</v>
      </c>
      <c r="Y52" s="10">
        <v>47.68</v>
      </c>
      <c r="Z52" s="10">
        <v>46.98</v>
      </c>
      <c r="AA52" s="10">
        <v>47.36</v>
      </c>
      <c r="AB52" s="95">
        <v>6760700</v>
      </c>
      <c r="AC52" s="10">
        <v>47.26</v>
      </c>
      <c r="AD52">
        <f t="shared" si="2"/>
        <v>0.70000000000000284</v>
      </c>
      <c r="AE52" s="138">
        <f t="shared" si="3"/>
        <v>6.3884156729130392E-3</v>
      </c>
    </row>
    <row r="53" spans="1:31" x14ac:dyDescent="0.25">
      <c r="O53" s="83">
        <v>0.98</v>
      </c>
      <c r="P53" s="83">
        <f t="shared" si="49"/>
        <v>51.822400000000002</v>
      </c>
      <c r="Q53" s="2"/>
      <c r="T53" s="93" t="s">
        <v>107</v>
      </c>
      <c r="U53" s="131">
        <v>4563728</v>
      </c>
      <c r="W53" s="133">
        <v>42692</v>
      </c>
      <c r="X53" s="10">
        <v>46.91</v>
      </c>
      <c r="Y53" s="10">
        <v>47.25</v>
      </c>
      <c r="Z53" s="10">
        <v>46.68</v>
      </c>
      <c r="AA53" s="10">
        <v>47.06</v>
      </c>
      <c r="AB53" s="95">
        <v>6783000</v>
      </c>
      <c r="AC53" s="10">
        <v>46.96</v>
      </c>
      <c r="AD53">
        <f t="shared" si="2"/>
        <v>0.57000000000000028</v>
      </c>
      <c r="AE53" s="138">
        <f t="shared" si="3"/>
        <v>7.9416183730414147E-3</v>
      </c>
    </row>
    <row r="54" spans="1:31" x14ac:dyDescent="0.25">
      <c r="O54" s="83">
        <v>0.97</v>
      </c>
      <c r="P54" s="83">
        <f t="shared" si="49"/>
        <v>51.293599999999998</v>
      </c>
      <c r="T54" s="93" t="s">
        <v>110</v>
      </c>
      <c r="U54" s="131">
        <v>5986350</v>
      </c>
      <c r="W54" s="133">
        <v>42691</v>
      </c>
      <c r="X54" s="10">
        <v>45.69</v>
      </c>
      <c r="Y54" s="10">
        <v>46.74</v>
      </c>
      <c r="Z54" s="10">
        <v>45.35</v>
      </c>
      <c r="AA54" s="10">
        <v>46.69</v>
      </c>
      <c r="AB54" s="95">
        <v>5915500</v>
      </c>
      <c r="AC54" s="10">
        <v>46.59</v>
      </c>
      <c r="AD54">
        <f t="shared" si="2"/>
        <v>1.3900000000000006</v>
      </c>
      <c r="AE54" s="138">
        <f t="shared" si="3"/>
        <v>1.8360655737704956E-2</v>
      </c>
    </row>
    <row r="55" spans="1:31" x14ac:dyDescent="0.25">
      <c r="L55" t="s">
        <v>65</v>
      </c>
      <c r="M55" s="2">
        <f>M73+K73-F73</f>
        <v>117.73999999999978</v>
      </c>
      <c r="O55" s="83">
        <v>0.96</v>
      </c>
      <c r="P55" s="83">
        <f t="shared" si="49"/>
        <v>50.764800000000001</v>
      </c>
      <c r="T55" s="93" t="s">
        <v>108</v>
      </c>
      <c r="U55" s="130" t="s">
        <v>558</v>
      </c>
      <c r="W55" s="133">
        <v>42690</v>
      </c>
      <c r="X55" s="10">
        <v>46.04</v>
      </c>
      <c r="Y55" s="10">
        <v>46.34</v>
      </c>
      <c r="Z55" s="10">
        <v>45.45</v>
      </c>
      <c r="AA55" s="10">
        <v>45.85</v>
      </c>
      <c r="AB55" s="95">
        <v>6502600</v>
      </c>
      <c r="AC55" s="10">
        <v>45.75</v>
      </c>
      <c r="AD55">
        <f t="shared" si="2"/>
        <v>0.89000000000000057</v>
      </c>
      <c r="AE55" s="138">
        <f t="shared" si="3"/>
        <v>-8.6673889490790357E-3</v>
      </c>
    </row>
    <row r="56" spans="1:31" x14ac:dyDescent="0.25">
      <c r="A56" s="387" t="s">
        <v>1</v>
      </c>
      <c r="B56" s="387" t="s">
        <v>2</v>
      </c>
      <c r="C56" s="387" t="s">
        <v>4</v>
      </c>
      <c r="D56" s="389" t="s">
        <v>5</v>
      </c>
      <c r="E56" s="389" t="s">
        <v>94</v>
      </c>
      <c r="F56" s="389" t="s">
        <v>60</v>
      </c>
      <c r="G56" s="387" t="s">
        <v>3</v>
      </c>
      <c r="H56" s="387" t="s">
        <v>6</v>
      </c>
      <c r="I56" s="389" t="s">
        <v>7</v>
      </c>
      <c r="J56" s="389" t="s">
        <v>95</v>
      </c>
      <c r="K56" s="389" t="s">
        <v>61</v>
      </c>
      <c r="L56" s="387" t="s">
        <v>37</v>
      </c>
      <c r="M56" s="387" t="s">
        <v>38</v>
      </c>
      <c r="O56" s="83">
        <v>0.95</v>
      </c>
      <c r="P56" s="83">
        <f t="shared" si="49"/>
        <v>50.235999999999997</v>
      </c>
      <c r="T56" s="93" t="s">
        <v>111</v>
      </c>
      <c r="U56" s="130">
        <v>14.89</v>
      </c>
      <c r="W56" s="133">
        <v>42689</v>
      </c>
      <c r="X56" s="10">
        <v>46.55</v>
      </c>
      <c r="Y56" s="10">
        <v>47.3</v>
      </c>
      <c r="Z56" s="10">
        <v>45.68</v>
      </c>
      <c r="AA56" s="10">
        <v>46.25</v>
      </c>
      <c r="AB56" s="95">
        <v>9921400</v>
      </c>
      <c r="AC56" s="10">
        <v>46.15</v>
      </c>
      <c r="AD56">
        <f t="shared" si="2"/>
        <v>1.6199999999999974</v>
      </c>
      <c r="AE56" s="138">
        <f t="shared" si="3"/>
        <v>1.9889502762430844E-2</v>
      </c>
    </row>
    <row r="57" spans="1:31" x14ac:dyDescent="0.25">
      <c r="A57" s="390" t="s">
        <v>36</v>
      </c>
      <c r="B57" s="380">
        <v>42572</v>
      </c>
      <c r="C57" s="381">
        <v>60</v>
      </c>
      <c r="D57" s="382">
        <v>39.58</v>
      </c>
      <c r="E57" s="382">
        <v>0</v>
      </c>
      <c r="F57" s="382">
        <f>C57*D57+E57</f>
        <v>2374.7999999999997</v>
      </c>
      <c r="G57" s="380">
        <v>42620</v>
      </c>
      <c r="H57" s="385">
        <v>100</v>
      </c>
      <c r="I57" s="382">
        <v>38.479999999999997</v>
      </c>
      <c r="J57" s="382">
        <v>0.08</v>
      </c>
      <c r="K57" s="382">
        <f>I57*H57-J57</f>
        <v>3847.9199999999996</v>
      </c>
      <c r="L57" s="380">
        <v>42621</v>
      </c>
      <c r="M57" s="382">
        <v>20</v>
      </c>
      <c r="O57" s="83">
        <v>0.94</v>
      </c>
      <c r="P57" s="83">
        <f t="shared" si="49"/>
        <v>49.7072</v>
      </c>
      <c r="T57" s="93" t="s">
        <v>112</v>
      </c>
      <c r="U57" s="130">
        <v>3.55</v>
      </c>
      <c r="W57" s="133">
        <v>42688</v>
      </c>
      <c r="X57" s="10">
        <v>43.9</v>
      </c>
      <c r="Y57" s="10">
        <v>45.45</v>
      </c>
      <c r="Z57" s="10">
        <v>43.88</v>
      </c>
      <c r="AA57" s="10">
        <v>45.35</v>
      </c>
      <c r="AB57" s="95">
        <v>11144700</v>
      </c>
      <c r="AC57" s="10">
        <v>45.25</v>
      </c>
      <c r="AD57">
        <f t="shared" si="2"/>
        <v>1.5700000000000003</v>
      </c>
      <c r="AE57" s="138">
        <f t="shared" si="3"/>
        <v>3.4285714285714253E-2</v>
      </c>
    </row>
    <row r="58" spans="1:31" x14ac:dyDescent="0.25">
      <c r="A58" s="391" t="s">
        <v>71</v>
      </c>
      <c r="B58" s="380">
        <v>42572</v>
      </c>
      <c r="C58" s="381">
        <v>40</v>
      </c>
      <c r="D58" s="382">
        <v>37.880000000000003</v>
      </c>
      <c r="E58" s="382">
        <v>0</v>
      </c>
      <c r="F58" s="382">
        <f t="shared" ref="F58:F61" si="53">C58*D58+E58</f>
        <v>1515.2</v>
      </c>
      <c r="G58" s="380">
        <v>42640</v>
      </c>
      <c r="H58" s="385">
        <v>100</v>
      </c>
      <c r="I58" s="382">
        <v>38.549999999999997</v>
      </c>
      <c r="J58" s="382">
        <v>0.08</v>
      </c>
      <c r="K58" s="382">
        <f>I58*H58-J58</f>
        <v>3854.9199999999996</v>
      </c>
      <c r="L58" s="381"/>
      <c r="M58" s="381"/>
      <c r="O58" s="83">
        <v>0.93</v>
      </c>
      <c r="P58" s="83">
        <f t="shared" si="49"/>
        <v>49.178400000000003</v>
      </c>
      <c r="T58" s="93" t="s">
        <v>109</v>
      </c>
      <c r="U58" s="130" t="s">
        <v>504</v>
      </c>
      <c r="W58" s="133">
        <v>42685</v>
      </c>
      <c r="X58" s="10">
        <v>43.5</v>
      </c>
      <c r="Y58" s="10">
        <v>43.85</v>
      </c>
      <c r="Z58" s="10">
        <v>42.99</v>
      </c>
      <c r="AA58" s="10">
        <v>43.84</v>
      </c>
      <c r="AB58" s="95">
        <v>7906600</v>
      </c>
      <c r="AC58" s="10">
        <v>43.75</v>
      </c>
      <c r="AD58">
        <f t="shared" si="2"/>
        <v>0.85999999999999943</v>
      </c>
      <c r="AE58" s="138">
        <f t="shared" si="3"/>
        <v>4.5924225028703969E-3</v>
      </c>
    </row>
    <row r="59" spans="1:31" x14ac:dyDescent="0.25">
      <c r="A59" s="381"/>
      <c r="B59" s="380">
        <v>42572</v>
      </c>
      <c r="C59" s="381">
        <v>40</v>
      </c>
      <c r="D59" s="382">
        <v>37.58</v>
      </c>
      <c r="E59" s="382">
        <v>0</v>
      </c>
      <c r="F59" s="382">
        <f t="shared" si="53"/>
        <v>1503.1999999999998</v>
      </c>
      <c r="G59" s="381"/>
      <c r="H59" s="385"/>
      <c r="I59" s="382"/>
      <c r="J59" s="382"/>
      <c r="K59" s="382"/>
      <c r="L59" s="381"/>
      <c r="M59" s="381"/>
      <c r="O59" s="83">
        <v>0.92</v>
      </c>
      <c r="P59" s="83">
        <f t="shared" si="49"/>
        <v>48.649600000000007</v>
      </c>
      <c r="W59" s="133">
        <v>42684</v>
      </c>
      <c r="X59" s="10">
        <v>42.64</v>
      </c>
      <c r="Y59" s="10">
        <v>43.85</v>
      </c>
      <c r="Z59" s="10">
        <v>42.58</v>
      </c>
      <c r="AA59" s="10">
        <v>43.64</v>
      </c>
      <c r="AB59" s="95">
        <v>10325700</v>
      </c>
      <c r="AC59" s="10">
        <v>43.55</v>
      </c>
      <c r="AD59">
        <f t="shared" si="2"/>
        <v>1.2700000000000031</v>
      </c>
      <c r="AE59" s="138">
        <f t="shared" si="3"/>
        <v>3.0037842951750049E-2</v>
      </c>
    </row>
    <row r="60" spans="1:31" x14ac:dyDescent="0.25">
      <c r="A60" s="381"/>
      <c r="B60" s="380">
        <v>42576</v>
      </c>
      <c r="C60" s="381">
        <v>30</v>
      </c>
      <c r="D60" s="382">
        <v>37.15</v>
      </c>
      <c r="E60" s="382">
        <v>0</v>
      </c>
      <c r="F60" s="382">
        <f t="shared" si="53"/>
        <v>1114.5</v>
      </c>
      <c r="G60" s="381"/>
      <c r="H60" s="385"/>
      <c r="I60" s="382"/>
      <c r="J60" s="382"/>
      <c r="K60" s="382"/>
      <c r="L60" s="381"/>
      <c r="M60" s="381"/>
      <c r="O60" s="83">
        <v>0.91</v>
      </c>
      <c r="P60" s="83">
        <f t="shared" si="49"/>
        <v>48.120800000000003</v>
      </c>
      <c r="W60" s="133">
        <v>42683</v>
      </c>
      <c r="X60" s="10">
        <v>40.799999999999997</v>
      </c>
      <c r="Y60" s="10">
        <v>42.46</v>
      </c>
      <c r="Z60" s="10">
        <v>40.75</v>
      </c>
      <c r="AA60" s="10">
        <v>42.37</v>
      </c>
      <c r="AB60" s="95">
        <v>8472600</v>
      </c>
      <c r="AC60" s="10">
        <v>42.28</v>
      </c>
      <c r="AD60">
        <f t="shared" si="2"/>
        <v>1.7100000000000009</v>
      </c>
      <c r="AE60" s="138">
        <f t="shared" si="3"/>
        <v>1.0516252390057268E-2</v>
      </c>
    </row>
    <row r="61" spans="1:31" x14ac:dyDescent="0.25">
      <c r="A61" s="381"/>
      <c r="B61" s="380">
        <v>42594</v>
      </c>
      <c r="C61" s="381">
        <v>30</v>
      </c>
      <c r="D61" s="382">
        <v>36.58</v>
      </c>
      <c r="E61" s="382">
        <v>0</v>
      </c>
      <c r="F61" s="382">
        <f t="shared" si="53"/>
        <v>1097.3999999999999</v>
      </c>
      <c r="G61" s="381"/>
      <c r="H61" s="385"/>
      <c r="I61" s="382"/>
      <c r="J61" s="382"/>
      <c r="K61" s="382"/>
      <c r="L61" s="381"/>
      <c r="M61" s="381"/>
      <c r="O61" s="83">
        <v>0.9</v>
      </c>
      <c r="P61" s="83">
        <f t="shared" si="49"/>
        <v>47.592000000000006</v>
      </c>
      <c r="W61" s="133">
        <v>42682</v>
      </c>
      <c r="X61" s="10">
        <v>41.57</v>
      </c>
      <c r="Y61" s="10">
        <v>42</v>
      </c>
      <c r="Z61" s="10">
        <v>41.22</v>
      </c>
      <c r="AA61" s="10">
        <v>41.93</v>
      </c>
      <c r="AB61" s="95">
        <v>8784000</v>
      </c>
      <c r="AC61" s="10">
        <v>41.84</v>
      </c>
      <c r="AD61">
        <f t="shared" si="2"/>
        <v>0.78000000000000114</v>
      </c>
      <c r="AE61" s="138">
        <f t="shared" si="3"/>
        <v>8.6788813886211624E-3</v>
      </c>
    </row>
    <row r="62" spans="1:31" x14ac:dyDescent="0.25">
      <c r="A62" s="381"/>
      <c r="B62" s="381"/>
      <c r="C62" s="381"/>
      <c r="D62" s="382"/>
      <c r="E62" s="382"/>
      <c r="F62" s="382"/>
      <c r="G62" s="381"/>
      <c r="H62" s="385"/>
      <c r="I62" s="382"/>
      <c r="J62" s="382"/>
      <c r="K62" s="382"/>
      <c r="L62" s="381"/>
      <c r="M62" s="381"/>
      <c r="W62" s="133">
        <v>42681</v>
      </c>
      <c r="X62" s="10">
        <v>41</v>
      </c>
      <c r="Y62" s="10">
        <v>41.57</v>
      </c>
      <c r="Z62" s="10">
        <v>40.71</v>
      </c>
      <c r="AA62" s="10">
        <v>41.57</v>
      </c>
      <c r="AB62" s="95">
        <v>7740800</v>
      </c>
      <c r="AC62" s="10">
        <v>41.48</v>
      </c>
      <c r="AD62">
        <f t="shared" si="2"/>
        <v>0.85999999999999943</v>
      </c>
      <c r="AE62" s="138">
        <f t="shared" si="3"/>
        <v>2.9535864978902815E-2</v>
      </c>
    </row>
    <row r="63" spans="1:31" x14ac:dyDescent="0.25">
      <c r="A63" s="381"/>
      <c r="B63" s="381"/>
      <c r="C63" s="381"/>
      <c r="D63" s="382"/>
      <c r="E63" s="382"/>
      <c r="F63" s="382"/>
      <c r="G63" s="381"/>
      <c r="H63" s="385"/>
      <c r="I63" s="382"/>
      <c r="J63" s="382"/>
      <c r="K63" s="382"/>
      <c r="L63" s="381"/>
      <c r="M63" s="381"/>
      <c r="W63" s="133">
        <v>42678</v>
      </c>
      <c r="X63" s="10">
        <v>39.69</v>
      </c>
      <c r="Y63" s="10">
        <v>40.93</v>
      </c>
      <c r="Z63" s="10">
        <v>39.56</v>
      </c>
      <c r="AA63" s="10">
        <v>40.380000000000003</v>
      </c>
      <c r="AB63" s="95">
        <v>7294000</v>
      </c>
      <c r="AC63" s="10">
        <v>40.29</v>
      </c>
      <c r="AD63">
        <f t="shared" si="2"/>
        <v>1.3699999999999974</v>
      </c>
      <c r="AE63" s="138">
        <f t="shared" si="3"/>
        <v>1.6910651186269554E-2</v>
      </c>
    </row>
    <row r="64" spans="1:31" x14ac:dyDescent="0.25">
      <c r="A64" s="381"/>
      <c r="B64" s="381"/>
      <c r="C64" s="381"/>
      <c r="D64" s="382"/>
      <c r="E64" s="382"/>
      <c r="F64" s="382"/>
      <c r="G64" s="381"/>
      <c r="H64" s="385"/>
      <c r="I64" s="382"/>
      <c r="J64" s="382"/>
      <c r="K64" s="382"/>
      <c r="L64" s="381"/>
      <c r="M64" s="381"/>
      <c r="W64" s="133">
        <v>42677</v>
      </c>
      <c r="X64" s="10">
        <v>39.82</v>
      </c>
      <c r="Y64" s="10">
        <v>40.39</v>
      </c>
      <c r="Z64" s="10">
        <v>39.51</v>
      </c>
      <c r="AA64" s="10">
        <v>39.700000000000003</v>
      </c>
      <c r="AB64" s="95">
        <v>5187600</v>
      </c>
      <c r="AC64" s="10">
        <v>39.619999999999997</v>
      </c>
      <c r="AD64">
        <f t="shared" si="2"/>
        <v>0.88000000000000256</v>
      </c>
      <c r="AE64" s="138">
        <f t="shared" si="3"/>
        <v>2.2767518340500725E-3</v>
      </c>
    </row>
    <row r="65" spans="1:31" x14ac:dyDescent="0.25">
      <c r="A65" s="381"/>
      <c r="B65" s="381"/>
      <c r="C65" s="381"/>
      <c r="D65" s="382"/>
      <c r="E65" s="382"/>
      <c r="F65" s="382"/>
      <c r="G65" s="381"/>
      <c r="H65" s="385"/>
      <c r="I65" s="382"/>
      <c r="J65" s="382"/>
      <c r="K65" s="382"/>
      <c r="L65" s="381"/>
      <c r="M65" s="381"/>
      <c r="W65" s="133">
        <v>42676</v>
      </c>
      <c r="X65" s="10">
        <v>39.57</v>
      </c>
      <c r="Y65" s="10">
        <v>40.1</v>
      </c>
      <c r="Z65" s="10">
        <v>39.43</v>
      </c>
      <c r="AA65" s="10">
        <v>39.61</v>
      </c>
      <c r="AB65" s="95">
        <v>6691500</v>
      </c>
      <c r="AC65" s="10">
        <v>39.53</v>
      </c>
      <c r="AD65">
        <f t="shared" si="2"/>
        <v>0.67000000000000171</v>
      </c>
      <c r="AE65" s="138">
        <f t="shared" si="3"/>
        <v>-1.7676767676767513E-3</v>
      </c>
    </row>
    <row r="66" spans="1:31" x14ac:dyDescent="0.25">
      <c r="A66" s="381"/>
      <c r="B66" s="381"/>
      <c r="C66" s="381"/>
      <c r="D66" s="382"/>
      <c r="E66" s="382"/>
      <c r="F66" s="382"/>
      <c r="G66" s="381"/>
      <c r="H66" s="385"/>
      <c r="I66" s="382"/>
      <c r="J66" s="382"/>
      <c r="K66" s="382"/>
      <c r="L66" s="381"/>
      <c r="M66" s="381"/>
      <c r="W66" s="133">
        <v>42675</v>
      </c>
      <c r="X66" s="10">
        <v>39.979999999999997</v>
      </c>
      <c r="Y66" s="10">
        <v>40.42</v>
      </c>
      <c r="Z66" s="10">
        <v>39.33</v>
      </c>
      <c r="AA66" s="10">
        <v>39.68</v>
      </c>
      <c r="AB66" s="95">
        <v>8004600</v>
      </c>
      <c r="AC66" s="10">
        <v>39.6</v>
      </c>
      <c r="AD66">
        <f t="shared" si="2"/>
        <v>1.0900000000000034</v>
      </c>
      <c r="AE66" s="138">
        <f t="shared" si="3"/>
        <v>-9.009009009009028E-3</v>
      </c>
    </row>
    <row r="67" spans="1:31" x14ac:dyDescent="0.25">
      <c r="A67" s="381"/>
      <c r="B67" s="381"/>
      <c r="C67" s="381"/>
      <c r="D67" s="382"/>
      <c r="E67" s="382"/>
      <c r="F67" s="382"/>
      <c r="G67" s="381"/>
      <c r="H67" s="385"/>
      <c r="I67" s="382"/>
      <c r="J67" s="382"/>
      <c r="K67" s="382"/>
      <c r="L67" s="381"/>
      <c r="M67" s="381"/>
      <c r="W67" s="133">
        <v>42674</v>
      </c>
      <c r="X67" s="10">
        <v>39.49</v>
      </c>
      <c r="Y67" s="10">
        <v>40.47</v>
      </c>
      <c r="Z67" s="10">
        <v>39.15</v>
      </c>
      <c r="AA67" s="10">
        <v>40.049999999999997</v>
      </c>
      <c r="AB67" s="95">
        <v>8148800</v>
      </c>
      <c r="AC67" s="10">
        <v>39.96</v>
      </c>
      <c r="AD67">
        <f t="shared" si="2"/>
        <v>1.3200000000000003</v>
      </c>
      <c r="AE67" s="138" t="e">
        <f>AC67/#REF!-1</f>
        <v>#REF!</v>
      </c>
    </row>
    <row r="68" spans="1:31" x14ac:dyDescent="0.25">
      <c r="A68" s="381"/>
      <c r="B68" s="381"/>
      <c r="C68" s="381"/>
      <c r="D68" s="382"/>
      <c r="E68" s="382"/>
      <c r="F68" s="382"/>
      <c r="G68" s="381"/>
      <c r="H68" s="385"/>
      <c r="I68" s="382"/>
      <c r="J68" s="382"/>
      <c r="K68" s="382"/>
      <c r="L68" s="381"/>
      <c r="M68" s="381"/>
      <c r="W68" s="133">
        <v>42671</v>
      </c>
      <c r="X68" s="10">
        <v>39.29</v>
      </c>
      <c r="Y68" s="10">
        <v>39.840000000000003</v>
      </c>
      <c r="Z68" s="10">
        <v>38.950000000000003</v>
      </c>
      <c r="AA68" s="10">
        <v>39.18</v>
      </c>
      <c r="AB68" s="95">
        <v>10321200</v>
      </c>
      <c r="AC68" s="10">
        <v>39.1</v>
      </c>
      <c r="AD68" t="e">
        <f>#REF!-#REF!</f>
        <v>#REF!</v>
      </c>
      <c r="AE68" s="138" t="e">
        <f>#REF!/AC69-1</f>
        <v>#REF!</v>
      </c>
    </row>
    <row r="69" spans="1:31" x14ac:dyDescent="0.25">
      <c r="A69" s="381"/>
      <c r="B69" s="381"/>
      <c r="C69" s="381"/>
      <c r="D69" s="382"/>
      <c r="E69" s="382"/>
      <c r="F69" s="382"/>
      <c r="G69" s="381"/>
      <c r="H69" s="385"/>
      <c r="I69" s="382"/>
      <c r="J69" s="382"/>
      <c r="K69" s="382"/>
      <c r="L69" s="381"/>
      <c r="M69" s="381"/>
      <c r="W69" s="133" t="s">
        <v>121</v>
      </c>
      <c r="X69" s="10"/>
      <c r="Y69" s="10"/>
      <c r="Z69" s="10"/>
      <c r="AA69" s="10"/>
      <c r="AB69" s="95"/>
      <c r="AC69" s="10"/>
      <c r="AD69">
        <f t="shared" ref="AD69" si="54">Y69-Z69</f>
        <v>0</v>
      </c>
      <c r="AE69" s="138" t="e">
        <f t="shared" ref="AE69" si="55">AC69/AC70-1</f>
        <v>#DIV/0!</v>
      </c>
    </row>
    <row r="70" spans="1:31" x14ac:dyDescent="0.25">
      <c r="A70" s="381"/>
      <c r="B70" s="381"/>
      <c r="C70" s="381"/>
      <c r="D70" s="382"/>
      <c r="E70" s="382"/>
      <c r="F70" s="382"/>
      <c r="G70" s="381"/>
      <c r="H70" s="385"/>
      <c r="I70" s="382"/>
      <c r="J70" s="382"/>
      <c r="K70" s="382"/>
      <c r="L70" s="381"/>
      <c r="M70" s="381"/>
    </row>
    <row r="71" spans="1:31" x14ac:dyDescent="0.25">
      <c r="A71" s="381"/>
      <c r="B71" s="381"/>
      <c r="C71" s="381"/>
      <c r="D71" s="382"/>
      <c r="E71" s="382"/>
      <c r="F71" s="382"/>
      <c r="G71" s="381"/>
      <c r="H71" s="385"/>
      <c r="I71" s="382"/>
      <c r="J71" s="382"/>
      <c r="K71" s="382"/>
      <c r="L71" s="381"/>
      <c r="M71" s="381"/>
    </row>
    <row r="72" spans="1:31" x14ac:dyDescent="0.25">
      <c r="A72" s="381"/>
      <c r="B72" s="381"/>
      <c r="C72" s="381"/>
      <c r="D72" s="382"/>
      <c r="E72" s="382"/>
      <c r="F72" s="382"/>
      <c r="G72" s="381"/>
      <c r="H72" s="381"/>
      <c r="I72" s="382"/>
      <c r="J72" s="382"/>
      <c r="K72" s="382"/>
      <c r="L72" s="381"/>
      <c r="M72" s="381"/>
    </row>
    <row r="73" spans="1:31" x14ac:dyDescent="0.25">
      <c r="A73" s="22" t="s">
        <v>81</v>
      </c>
      <c r="B73" s="12"/>
      <c r="C73" s="12">
        <f>SUM(C57:C61)</f>
        <v>200</v>
      </c>
      <c r="D73" s="13"/>
      <c r="E73" s="13"/>
      <c r="F73" s="13">
        <f>SUM(F57:F61)</f>
        <v>7605.0999999999995</v>
      </c>
      <c r="G73" s="12"/>
      <c r="H73" s="12">
        <f>SUM(H57:H60)</f>
        <v>200</v>
      </c>
      <c r="I73" s="13"/>
      <c r="J73" s="13"/>
      <c r="K73" s="13">
        <f>SUM(K57:K60)</f>
        <v>7702.8399999999992</v>
      </c>
      <c r="L73" s="12"/>
      <c r="M73" s="13">
        <f>SUM(M57:M65)</f>
        <v>20</v>
      </c>
    </row>
    <row r="74" spans="1:31" ht="15.75" thickBot="1" x14ac:dyDescent="0.3">
      <c r="A74" s="472"/>
      <c r="B74" s="473"/>
      <c r="C74" s="474"/>
      <c r="D74" s="474"/>
      <c r="E74" s="474"/>
      <c r="F74" s="475"/>
      <c r="G74" s="474"/>
      <c r="H74" s="474"/>
      <c r="I74" s="474"/>
      <c r="J74" s="474"/>
      <c r="K74" s="475"/>
      <c r="L74" s="474"/>
      <c r="M74" s="475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7 H39:H47">
    <cfRule type="expression" dxfId="917" priority="15">
      <formula>F39&gt;0</formula>
    </cfRule>
    <cfRule type="expression" dxfId="916" priority="16">
      <formula>F39&lt;0</formula>
    </cfRule>
  </conditionalFormatting>
  <conditionalFormatting sqref="Q7">
    <cfRule type="expression" dxfId="915" priority="13">
      <formula>Q7&gt;0</formula>
    </cfRule>
    <cfRule type="expression" dxfId="914" priority="14">
      <formula>Q7&lt;0</formula>
    </cfRule>
  </conditionalFormatting>
  <conditionalFormatting sqref="Q8">
    <cfRule type="expression" dxfId="913" priority="11">
      <formula>Q8&gt;0</formula>
    </cfRule>
    <cfRule type="expression" dxfId="912" priority="12">
      <formula>Q8&lt;0</formula>
    </cfRule>
  </conditionalFormatting>
  <conditionalFormatting sqref="F25:F38">
    <cfRule type="expression" dxfId="911" priority="9">
      <formula>F25&gt;0</formula>
    </cfRule>
    <cfRule type="expression" dxfId="910" priority="10">
      <formula>F25&lt;0</formula>
    </cfRule>
  </conditionalFormatting>
  <conditionalFormatting sqref="H25:H38">
    <cfRule type="expression" dxfId="909" priority="7">
      <formula>H25&gt;0</formula>
    </cfRule>
    <cfRule type="expression" dxfId="908" priority="8">
      <formula>H25&lt;0</formula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{AB8F1681-3F26-4BB3-9E71-1D7764E4BB31}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M55">
    <cfRule type="expression" dxfId="907" priority="3">
      <formula>M55&gt;0</formula>
    </cfRule>
    <cfRule type="expression" dxfId="906" priority="4">
      <formula>M55&lt;0</formula>
    </cfRule>
  </conditionalFormatting>
  <conditionalFormatting sqref="Q10">
    <cfRule type="expression" dxfId="905" priority="1">
      <formula>Q10&gt;0</formula>
    </cfRule>
    <cfRule type="expression" dxfId="904" priority="2">
      <formula>Q10&lt;0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B8F1681-3F26-4BB3-9E71-1D7764E4BB3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AE8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0.42578125" style="86" customWidth="1"/>
    <col min="23" max="23" width="12.85546875" customWidth="1"/>
    <col min="24" max="24" width="9.42578125" customWidth="1"/>
    <col min="25" max="27" width="6" customWidth="1"/>
    <col min="28" max="28" width="9.140625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U1" s="84"/>
      <c r="W1" s="108" t="s">
        <v>114</v>
      </c>
      <c r="X1" s="108" t="s">
        <v>115</v>
      </c>
      <c r="Y1" s="108" t="s">
        <v>116</v>
      </c>
      <c r="Z1" s="108" t="s">
        <v>117</v>
      </c>
      <c r="AA1" s="108" t="s">
        <v>118</v>
      </c>
      <c r="AB1" s="108" t="s">
        <v>119</v>
      </c>
      <c r="AC1" s="108" t="s">
        <v>120</v>
      </c>
      <c r="AD1" s="93" t="s">
        <v>126</v>
      </c>
      <c r="AE1" s="93" t="s">
        <v>128</v>
      </c>
    </row>
    <row r="2" spans="1:31" x14ac:dyDescent="0.25">
      <c r="A2" s="6" t="s">
        <v>354</v>
      </c>
      <c r="B2" s="74"/>
      <c r="C2" s="4"/>
      <c r="D2" s="3"/>
      <c r="E2" s="3"/>
      <c r="F2" s="3"/>
      <c r="G2" s="74"/>
      <c r="H2" s="185"/>
      <c r="I2" s="3"/>
      <c r="J2" s="3"/>
      <c r="K2" s="3"/>
      <c r="L2" s="1"/>
      <c r="O2" s="11" t="s">
        <v>57</v>
      </c>
      <c r="Q2">
        <f>C18-H18</f>
        <v>0</v>
      </c>
      <c r="T2" s="1"/>
      <c r="W2" s="110">
        <v>42768</v>
      </c>
      <c r="X2" s="9">
        <v>34.75</v>
      </c>
      <c r="Y2" s="9">
        <v>35.11</v>
      </c>
      <c r="Z2" s="9">
        <v>34.67</v>
      </c>
      <c r="AA2" s="9">
        <v>34.950000000000003</v>
      </c>
      <c r="AB2" s="104">
        <v>1082700</v>
      </c>
      <c r="AC2" s="9">
        <v>34.950000000000003</v>
      </c>
      <c r="AD2" s="40">
        <f>Y2-Z2</f>
        <v>0.43999999999999773</v>
      </c>
      <c r="AE2" s="162">
        <f>AC2/AC3-1</f>
        <v>6.044905008635526E-3</v>
      </c>
    </row>
    <row r="3" spans="1:31" x14ac:dyDescent="0.25">
      <c r="A3" s="23" t="s">
        <v>71</v>
      </c>
      <c r="G3" s="74"/>
      <c r="H3" s="185"/>
      <c r="I3" s="3"/>
      <c r="J3" s="3"/>
      <c r="K3" s="3"/>
      <c r="O3" s="11" t="s">
        <v>58</v>
      </c>
      <c r="Q3" s="495">
        <f>IF(Q2=0, Q4, (F18-K18-M18)/Q2)</f>
        <v>34.83</v>
      </c>
      <c r="T3" s="1"/>
      <c r="W3" s="110">
        <v>42767</v>
      </c>
      <c r="X3" s="9">
        <v>34.590000000000003</v>
      </c>
      <c r="Y3" s="9">
        <v>34.93</v>
      </c>
      <c r="Z3" s="9">
        <v>34.28</v>
      </c>
      <c r="AA3" s="9">
        <v>34.74</v>
      </c>
      <c r="AB3" s="104">
        <v>1052200</v>
      </c>
      <c r="AC3" s="9">
        <v>34.74</v>
      </c>
      <c r="AD3" s="40">
        <f t="shared" ref="AD3:AD66" si="0">Y3-Z3</f>
        <v>0.64999999999999858</v>
      </c>
      <c r="AE3" s="162">
        <f t="shared" ref="AE3:AE66" si="1">AC3/AC4-1</f>
        <v>6.0816681146829144E-3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O4" s="11" t="s">
        <v>66</v>
      </c>
      <c r="Q4" s="55">
        <v>34.83</v>
      </c>
      <c r="R4" s="505">
        <v>-3.3999999999999998E-3</v>
      </c>
      <c r="T4" s="163"/>
      <c r="W4" s="110">
        <v>42766</v>
      </c>
      <c r="X4" s="9">
        <v>34.520000000000003</v>
      </c>
      <c r="Y4" s="9">
        <v>34.65</v>
      </c>
      <c r="Z4" s="9">
        <v>34.130000000000003</v>
      </c>
      <c r="AA4" s="9">
        <v>34.53</v>
      </c>
      <c r="AB4" s="104">
        <v>1470300</v>
      </c>
      <c r="AC4" s="9">
        <v>34.53</v>
      </c>
      <c r="AD4" s="40">
        <f t="shared" si="0"/>
        <v>0.51999999999999602</v>
      </c>
      <c r="AE4" s="162">
        <f t="shared" si="1"/>
        <v>1.1719894520949348E-2</v>
      </c>
    </row>
    <row r="5" spans="1:31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O5" s="11" t="s">
        <v>67</v>
      </c>
      <c r="Q5" s="3">
        <f>Q4*Q2</f>
        <v>0</v>
      </c>
      <c r="W5" s="110">
        <v>42765</v>
      </c>
      <c r="X5" s="9">
        <v>34.1</v>
      </c>
      <c r="Y5" s="9">
        <v>34.270000000000003</v>
      </c>
      <c r="Z5" s="9">
        <v>33.89</v>
      </c>
      <c r="AA5" s="9">
        <v>34.130000000000003</v>
      </c>
      <c r="AB5" s="104">
        <v>1123400</v>
      </c>
      <c r="AC5" s="9">
        <v>34.130000000000003</v>
      </c>
      <c r="AD5" s="40">
        <f t="shared" si="0"/>
        <v>0.38000000000000256</v>
      </c>
      <c r="AE5" s="162">
        <f t="shared" si="1"/>
        <v>-5.8258083309057351E-3</v>
      </c>
    </row>
    <row r="6" spans="1:31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O6" s="11" t="s">
        <v>64</v>
      </c>
      <c r="Q6" s="2">
        <f>Q3*Q2</f>
        <v>0</v>
      </c>
      <c r="W6" s="110">
        <v>42762</v>
      </c>
      <c r="X6" s="9">
        <v>34.57</v>
      </c>
      <c r="Y6" s="9">
        <v>34.69</v>
      </c>
      <c r="Z6" s="9">
        <v>34.28</v>
      </c>
      <c r="AA6" s="9">
        <v>34.33</v>
      </c>
      <c r="AB6" s="104">
        <v>921700</v>
      </c>
      <c r="AC6" s="9">
        <v>34.33</v>
      </c>
      <c r="AD6" s="40">
        <f t="shared" si="0"/>
        <v>0.40999999999999659</v>
      </c>
      <c r="AE6" s="162">
        <f t="shared" si="1"/>
        <v>-2.9044437990125571E-3</v>
      </c>
    </row>
    <row r="7" spans="1:31" x14ac:dyDescent="0.25">
      <c r="B7" s="74"/>
      <c r="C7" s="4"/>
      <c r="D7" s="3"/>
      <c r="E7" s="3"/>
      <c r="F7" s="3"/>
      <c r="G7" s="4"/>
      <c r="H7" s="185"/>
      <c r="I7" s="3"/>
      <c r="J7" s="3"/>
      <c r="K7" s="3"/>
      <c r="O7" s="11" t="s">
        <v>181</v>
      </c>
      <c r="Q7" s="2">
        <f>Q10+Q8</f>
        <v>264.92000000000007</v>
      </c>
      <c r="R7">
        <v>0</v>
      </c>
      <c r="W7" s="110">
        <v>42761</v>
      </c>
      <c r="X7" s="9">
        <v>34.770000000000003</v>
      </c>
      <c r="Y7" s="9">
        <v>34.950000000000003</v>
      </c>
      <c r="Z7" s="9">
        <v>34.39</v>
      </c>
      <c r="AA7" s="9">
        <v>34.43</v>
      </c>
      <c r="AB7" s="104">
        <v>1378000</v>
      </c>
      <c r="AC7" s="9">
        <v>34.43</v>
      </c>
      <c r="AD7" s="40">
        <f t="shared" si="0"/>
        <v>0.56000000000000227</v>
      </c>
      <c r="AE7" s="162">
        <f t="shared" si="1"/>
        <v>-1.0916403332375868E-2</v>
      </c>
    </row>
    <row r="8" spans="1:31" x14ac:dyDescent="0.25">
      <c r="B8" s="74"/>
      <c r="C8" s="4"/>
      <c r="D8" s="3"/>
      <c r="E8" s="3"/>
      <c r="F8" s="3"/>
      <c r="G8" s="4"/>
      <c r="H8" s="185"/>
      <c r="I8" s="3"/>
      <c r="J8" s="3"/>
      <c r="K8" s="3"/>
      <c r="O8" s="11" t="s">
        <v>184</v>
      </c>
      <c r="P8" s="34"/>
      <c r="Q8" s="2">
        <f>K18+M18-F18+Q2*Q4</f>
        <v>0</v>
      </c>
      <c r="W8" s="110">
        <v>42760</v>
      </c>
      <c r="X8" s="9">
        <v>34.58</v>
      </c>
      <c r="Y8" s="9">
        <v>34.880000000000003</v>
      </c>
      <c r="Z8" s="9">
        <v>34.5</v>
      </c>
      <c r="AA8" s="9">
        <v>34.81</v>
      </c>
      <c r="AB8" s="104">
        <v>2817300</v>
      </c>
      <c r="AC8" s="9">
        <v>34.81</v>
      </c>
      <c r="AD8" s="40">
        <f t="shared" si="0"/>
        <v>0.38000000000000256</v>
      </c>
      <c r="AE8" s="162">
        <f t="shared" si="1"/>
        <v>7.5253256150507042E-3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O9" s="11" t="s">
        <v>214</v>
      </c>
      <c r="Q9" s="138">
        <f>IF(Q2=0, 0, Q8/Q6)</f>
        <v>0</v>
      </c>
      <c r="W9" s="110">
        <v>42759</v>
      </c>
      <c r="X9" s="9">
        <v>34.36</v>
      </c>
      <c r="Y9" s="9">
        <v>35.06</v>
      </c>
      <c r="Z9" s="9">
        <v>34.229999999999997</v>
      </c>
      <c r="AA9" s="9">
        <v>34.549999999999997</v>
      </c>
      <c r="AB9" s="104">
        <v>2927000</v>
      </c>
      <c r="AC9" s="9">
        <v>34.549999999999997</v>
      </c>
      <c r="AD9" s="40">
        <f t="shared" si="0"/>
        <v>0.8300000000000054</v>
      </c>
      <c r="AE9" s="162">
        <f t="shared" si="1"/>
        <v>8.7591240875910525E-3</v>
      </c>
    </row>
    <row r="10" spans="1:31" x14ac:dyDescent="0.25">
      <c r="O10" s="11" t="s">
        <v>213</v>
      </c>
      <c r="P10" s="34"/>
      <c r="Q10" s="2">
        <f>M41</f>
        <v>264.92000000000007</v>
      </c>
      <c r="W10" s="110">
        <v>42758</v>
      </c>
      <c r="X10" s="9">
        <v>34.03</v>
      </c>
      <c r="Y10" s="9">
        <v>34.270000000000003</v>
      </c>
      <c r="Z10" s="9">
        <v>33.92</v>
      </c>
      <c r="AA10" s="9">
        <v>34.25</v>
      </c>
      <c r="AB10" s="104">
        <v>1454400</v>
      </c>
      <c r="AC10" s="9">
        <v>34.25</v>
      </c>
      <c r="AD10" s="40">
        <f t="shared" si="0"/>
        <v>0.35000000000000142</v>
      </c>
      <c r="AE10" s="162">
        <f t="shared" si="1"/>
        <v>6.4648839259475732E-3</v>
      </c>
    </row>
    <row r="11" spans="1:31" x14ac:dyDescent="0.25">
      <c r="O11" s="11" t="s">
        <v>178</v>
      </c>
      <c r="P11" s="34"/>
      <c r="Q11" s="138">
        <f>VALUE(TRIM(CLEAN(MID(U58, FIND("(", U58)+1, 5))))</f>
        <v>3.4200000000000001E-2</v>
      </c>
      <c r="W11" s="110">
        <v>42755</v>
      </c>
      <c r="X11" s="9">
        <v>34.01</v>
      </c>
      <c r="Y11" s="9">
        <v>34.11</v>
      </c>
      <c r="Z11" s="9">
        <v>33.69</v>
      </c>
      <c r="AA11" s="9">
        <v>34.03</v>
      </c>
      <c r="AB11" s="104">
        <v>2005100</v>
      </c>
      <c r="AC11" s="9">
        <v>34.03</v>
      </c>
      <c r="AD11" s="40">
        <f t="shared" si="0"/>
        <v>0.42000000000000171</v>
      </c>
      <c r="AE11" s="162">
        <f t="shared" si="1"/>
        <v>5.0206733608979537E-3</v>
      </c>
    </row>
    <row r="12" spans="1:31" x14ac:dyDescent="0.25">
      <c r="W12" s="110">
        <v>42754</v>
      </c>
      <c r="X12" s="9">
        <v>33.130000000000003</v>
      </c>
      <c r="Y12" s="9">
        <v>33.94</v>
      </c>
      <c r="Z12" s="9">
        <v>33.090000000000003</v>
      </c>
      <c r="AA12" s="9">
        <v>33.86</v>
      </c>
      <c r="AB12" s="104">
        <v>5042600</v>
      </c>
      <c r="AC12" s="9">
        <v>33.86</v>
      </c>
      <c r="AD12" s="40">
        <f t="shared" si="0"/>
        <v>0.84999999999999432</v>
      </c>
      <c r="AE12" s="162">
        <f t="shared" si="1"/>
        <v>2.668283808368721E-2</v>
      </c>
    </row>
    <row r="13" spans="1:31" x14ac:dyDescent="0.25">
      <c r="W13" s="110">
        <v>42753</v>
      </c>
      <c r="X13" s="9">
        <v>32.520000000000003</v>
      </c>
      <c r="Y13" s="9">
        <v>33.020000000000003</v>
      </c>
      <c r="Z13" s="9">
        <v>32.21</v>
      </c>
      <c r="AA13" s="9">
        <v>32.979999999999997</v>
      </c>
      <c r="AB13" s="104">
        <v>3065100</v>
      </c>
      <c r="AC13" s="9">
        <v>32.979999999999997</v>
      </c>
      <c r="AD13" s="40">
        <f t="shared" si="0"/>
        <v>0.81000000000000227</v>
      </c>
      <c r="AE13" s="162">
        <f t="shared" si="1"/>
        <v>2.3905619372865505E-2</v>
      </c>
    </row>
    <row r="14" spans="1:31" x14ac:dyDescent="0.25">
      <c r="W14" s="110">
        <v>42752</v>
      </c>
      <c r="X14" s="9">
        <v>32.19</v>
      </c>
      <c r="Y14" s="9">
        <v>32.590000000000003</v>
      </c>
      <c r="Z14" s="9">
        <v>31.96</v>
      </c>
      <c r="AA14" s="9">
        <v>32.21</v>
      </c>
      <c r="AB14" s="104">
        <v>2929200</v>
      </c>
      <c r="AC14" s="9">
        <v>32.21</v>
      </c>
      <c r="AD14" s="40">
        <f t="shared" si="0"/>
        <v>0.63000000000000256</v>
      </c>
      <c r="AE14" s="162">
        <f t="shared" si="1"/>
        <v>1.8662519440124647E-3</v>
      </c>
    </row>
    <row r="15" spans="1:31" x14ac:dyDescent="0.25">
      <c r="W15" s="110">
        <v>42748</v>
      </c>
      <c r="X15" s="9">
        <v>32.299999999999997</v>
      </c>
      <c r="Y15" s="9">
        <v>32.4</v>
      </c>
      <c r="Z15" s="9">
        <v>31.97</v>
      </c>
      <c r="AA15" s="9">
        <v>32.15</v>
      </c>
      <c r="AB15" s="104">
        <v>1090500</v>
      </c>
      <c r="AC15" s="9">
        <v>32.15</v>
      </c>
      <c r="AD15" s="40">
        <f t="shared" si="0"/>
        <v>0.42999999999999972</v>
      </c>
      <c r="AE15" s="162">
        <f t="shared" si="1"/>
        <v>-2.7915632754343944E-3</v>
      </c>
    </row>
    <row r="16" spans="1:31" x14ac:dyDescent="0.25">
      <c r="W16" s="110">
        <v>42747</v>
      </c>
      <c r="X16" s="9">
        <v>32.67</v>
      </c>
      <c r="Y16" s="9">
        <v>32.75</v>
      </c>
      <c r="Z16" s="9">
        <v>32.22</v>
      </c>
      <c r="AA16" s="9">
        <v>32.24</v>
      </c>
      <c r="AB16" s="104">
        <v>1078500</v>
      </c>
      <c r="AC16" s="9">
        <v>32.24</v>
      </c>
      <c r="AD16" s="40">
        <f t="shared" si="0"/>
        <v>0.53000000000000114</v>
      </c>
      <c r="AE16" s="162">
        <f t="shared" si="1"/>
        <v>-7.9999999999998961E-3</v>
      </c>
    </row>
    <row r="17" spans="1:31" x14ac:dyDescent="0.25">
      <c r="H17" s="72"/>
      <c r="W17" s="110">
        <v>42746</v>
      </c>
      <c r="X17" s="9">
        <v>32.22</v>
      </c>
      <c r="Y17" s="9">
        <v>32.840000000000003</v>
      </c>
      <c r="Z17" s="9">
        <v>31.87</v>
      </c>
      <c r="AA17" s="9">
        <v>32.5</v>
      </c>
      <c r="AB17" s="104">
        <v>2540700</v>
      </c>
      <c r="AC17" s="9">
        <v>32.5</v>
      </c>
      <c r="AD17" s="40">
        <f t="shared" si="0"/>
        <v>0.97000000000000242</v>
      </c>
      <c r="AE17" s="162">
        <f t="shared" si="1"/>
        <v>3.1746031746031855E-2</v>
      </c>
    </row>
    <row r="18" spans="1:31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10">
        <v>42745</v>
      </c>
      <c r="X18" s="9">
        <v>32.36</v>
      </c>
      <c r="Y18" s="9">
        <v>32.44</v>
      </c>
      <c r="Z18" s="9">
        <v>31.45</v>
      </c>
      <c r="AA18" s="9">
        <v>31.5</v>
      </c>
      <c r="AB18" s="104">
        <v>1377100</v>
      </c>
      <c r="AC18" s="9">
        <v>31.5</v>
      </c>
      <c r="AD18" s="40">
        <f t="shared" si="0"/>
        <v>0.98999999999999844</v>
      </c>
      <c r="AE18" s="162">
        <f t="shared" si="1"/>
        <v>-1.4392991239048802E-2</v>
      </c>
    </row>
    <row r="19" spans="1:31" ht="15.75" thickBot="1" x14ac:dyDescent="0.3">
      <c r="A19" s="356" t="s">
        <v>198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597">
        <f>SumByColor($A$19,M2:M17)</f>
        <v>0</v>
      </c>
      <c r="W19" s="110">
        <v>42744</v>
      </c>
      <c r="X19" s="9">
        <v>32.03</v>
      </c>
      <c r="Y19" s="9">
        <v>32.090000000000003</v>
      </c>
      <c r="Z19" s="9">
        <v>31.7</v>
      </c>
      <c r="AA19" s="9">
        <v>31.96</v>
      </c>
      <c r="AB19" s="104">
        <v>985600</v>
      </c>
      <c r="AC19" s="9">
        <v>31.96</v>
      </c>
      <c r="AD19" s="40">
        <f t="shared" si="0"/>
        <v>0.39000000000000412</v>
      </c>
      <c r="AE19" s="162">
        <f t="shared" si="1"/>
        <v>9.3955527716893528E-4</v>
      </c>
    </row>
    <row r="20" spans="1:31" x14ac:dyDescent="0.25">
      <c r="W20" s="110">
        <v>42741</v>
      </c>
      <c r="X20" s="9">
        <v>31.98</v>
      </c>
      <c r="Y20" s="9">
        <v>32.08</v>
      </c>
      <c r="Z20" s="9">
        <v>31.75</v>
      </c>
      <c r="AA20" s="9">
        <v>31.93</v>
      </c>
      <c r="AB20" s="104">
        <v>2405500</v>
      </c>
      <c r="AC20" s="9">
        <v>31.93</v>
      </c>
      <c r="AD20" s="40">
        <f t="shared" si="0"/>
        <v>0.32999999999999829</v>
      </c>
      <c r="AE20" s="162">
        <f t="shared" si="1"/>
        <v>-6.2597809076680999E-4</v>
      </c>
    </row>
    <row r="21" spans="1:31" x14ac:dyDescent="0.25">
      <c r="B21" s="520" t="s">
        <v>114</v>
      </c>
      <c r="C21" s="520" t="s">
        <v>147</v>
      </c>
      <c r="D21" s="521" t="s">
        <v>146</v>
      </c>
      <c r="E21" s="522" t="s">
        <v>148</v>
      </c>
      <c r="F21" s="523" t="s">
        <v>65</v>
      </c>
      <c r="G21" s="524" t="s">
        <v>152</v>
      </c>
      <c r="H21" s="523" t="s">
        <v>88</v>
      </c>
      <c r="I21" s="524" t="s">
        <v>155</v>
      </c>
      <c r="W21" s="110">
        <v>42740</v>
      </c>
      <c r="X21" s="9">
        <v>31.7</v>
      </c>
      <c r="Y21" s="9">
        <v>31.96</v>
      </c>
      <c r="Z21" s="9">
        <v>31.6</v>
      </c>
      <c r="AA21" s="9">
        <v>31.95</v>
      </c>
      <c r="AB21" s="104">
        <v>1781000</v>
      </c>
      <c r="AC21" s="9">
        <v>31.95</v>
      </c>
      <c r="AD21" s="40">
        <f t="shared" si="0"/>
        <v>0.35999999999999943</v>
      </c>
      <c r="AE21" s="162">
        <f t="shared" si="1"/>
        <v>1.139601139601143E-2</v>
      </c>
    </row>
    <row r="22" spans="1:31" x14ac:dyDescent="0.25">
      <c r="A22" t="s">
        <v>434</v>
      </c>
      <c r="B22" s="193">
        <v>42754</v>
      </c>
      <c r="C22" s="10">
        <v>50</v>
      </c>
      <c r="D22" s="202">
        <v>31.18</v>
      </c>
      <c r="E22" s="40">
        <v>33.86</v>
      </c>
      <c r="F22" s="236">
        <f>C22*(E22-D22)</f>
        <v>134</v>
      </c>
      <c r="G22" s="40">
        <f>D22*C22</f>
        <v>1559</v>
      </c>
      <c r="H22" s="232">
        <f>(E22-D22)/D22</f>
        <v>8.5952533675432957E-2</v>
      </c>
      <c r="I22" s="40"/>
      <c r="W22" s="110">
        <v>42739</v>
      </c>
      <c r="X22" s="9">
        <v>31.58</v>
      </c>
      <c r="Y22" s="9">
        <v>31.7</v>
      </c>
      <c r="Z22" s="9">
        <v>31.45</v>
      </c>
      <c r="AA22" s="9">
        <v>31.59</v>
      </c>
      <c r="AB22" s="104">
        <v>1113100</v>
      </c>
      <c r="AC22" s="9">
        <v>31.59</v>
      </c>
      <c r="AD22" s="40">
        <f t="shared" si="0"/>
        <v>0.25</v>
      </c>
      <c r="AE22" s="162">
        <f t="shared" si="1"/>
        <v>7.013069811922179E-3</v>
      </c>
    </row>
    <row r="23" spans="1:31" x14ac:dyDescent="0.25">
      <c r="B23" s="193"/>
      <c r="C23" s="10"/>
      <c r="D23" s="202"/>
      <c r="E23" s="40"/>
      <c r="F23" s="236"/>
      <c r="G23" s="40"/>
      <c r="H23" s="232"/>
      <c r="I23" s="40"/>
      <c r="W23" s="110">
        <v>42738</v>
      </c>
      <c r="X23" s="9">
        <v>31.16</v>
      </c>
      <c r="Y23" s="9">
        <v>31.49</v>
      </c>
      <c r="Z23" s="9">
        <v>31.09</v>
      </c>
      <c r="AA23" s="9">
        <v>31.37</v>
      </c>
      <c r="AB23" s="104">
        <v>2219700</v>
      </c>
      <c r="AC23" s="9">
        <v>31.37</v>
      </c>
      <c r="AD23" s="40">
        <f t="shared" si="0"/>
        <v>0.39999999999999858</v>
      </c>
      <c r="AE23" s="162">
        <f t="shared" si="1"/>
        <v>-9.5541401273879778E-4</v>
      </c>
    </row>
    <row r="24" spans="1:31" x14ac:dyDescent="0.25">
      <c r="B24" s="193"/>
      <c r="C24" s="10"/>
      <c r="D24" s="202"/>
      <c r="E24" s="40"/>
      <c r="F24" s="236"/>
      <c r="G24" s="40"/>
      <c r="H24" s="232"/>
      <c r="I24" s="40"/>
      <c r="W24" s="110">
        <v>42734</v>
      </c>
      <c r="X24" s="9">
        <v>31.6</v>
      </c>
      <c r="Y24" s="9">
        <v>31.7</v>
      </c>
      <c r="Z24" s="9">
        <v>31.19</v>
      </c>
      <c r="AA24" s="9">
        <v>31.4</v>
      </c>
      <c r="AB24" s="104">
        <v>1592700</v>
      </c>
      <c r="AC24" s="9">
        <v>31.4</v>
      </c>
      <c r="AD24" s="40">
        <f t="shared" si="0"/>
        <v>0.50999999999999801</v>
      </c>
      <c r="AE24" s="162">
        <f t="shared" si="1"/>
        <v>-5.6998100063331281E-3</v>
      </c>
    </row>
    <row r="25" spans="1:31" x14ac:dyDescent="0.25">
      <c r="B25" s="193"/>
      <c r="C25" s="10"/>
      <c r="D25" s="202"/>
      <c r="E25" s="40"/>
      <c r="F25" s="236"/>
      <c r="G25" s="40"/>
      <c r="H25" s="232"/>
      <c r="I25" s="40"/>
      <c r="W25" s="110">
        <v>42733</v>
      </c>
      <c r="X25" s="9">
        <v>31.73</v>
      </c>
      <c r="Y25" s="9">
        <v>31.81</v>
      </c>
      <c r="Z25" s="9">
        <v>31.56</v>
      </c>
      <c r="AA25" s="9">
        <v>31.58</v>
      </c>
      <c r="AB25" s="104">
        <v>604700</v>
      </c>
      <c r="AC25" s="9">
        <v>31.58</v>
      </c>
      <c r="AD25" s="40">
        <f t="shared" si="0"/>
        <v>0.25</v>
      </c>
      <c r="AE25" s="162">
        <f t="shared" si="1"/>
        <v>-1.2650221378874837E-3</v>
      </c>
    </row>
    <row r="26" spans="1:31" x14ac:dyDescent="0.25">
      <c r="B26" s="193"/>
      <c r="C26" s="10"/>
      <c r="D26" s="202"/>
      <c r="E26" s="40"/>
      <c r="F26" s="236"/>
      <c r="G26" s="40"/>
      <c r="H26" s="232"/>
      <c r="I26" s="40"/>
      <c r="W26" s="110">
        <v>42732</v>
      </c>
      <c r="X26" s="9">
        <v>31.57</v>
      </c>
      <c r="Y26" s="9">
        <v>31.87</v>
      </c>
      <c r="Z26" s="9">
        <v>31.52</v>
      </c>
      <c r="AA26" s="9">
        <v>31.62</v>
      </c>
      <c r="AB26" s="104">
        <v>709900</v>
      </c>
      <c r="AC26" s="9">
        <v>31.62</v>
      </c>
      <c r="AD26" s="40">
        <f t="shared" si="0"/>
        <v>0.35000000000000142</v>
      </c>
      <c r="AE26" s="162" t="e">
        <f t="shared" si="1"/>
        <v>#DIV/0!</v>
      </c>
    </row>
    <row r="27" spans="1:31" x14ac:dyDescent="0.25">
      <c r="B27" s="193"/>
      <c r="C27" s="10"/>
      <c r="D27" s="202"/>
      <c r="E27" s="40"/>
      <c r="F27" s="236"/>
      <c r="G27" s="40"/>
      <c r="H27" s="232"/>
      <c r="I27" s="40"/>
      <c r="W27" s="110">
        <v>42732</v>
      </c>
      <c r="X27" s="9" t="s">
        <v>381</v>
      </c>
      <c r="Y27" s="9"/>
      <c r="Z27" s="9"/>
      <c r="AA27" s="9"/>
      <c r="AB27" s="104"/>
      <c r="AC27" s="9"/>
      <c r="AD27" s="40">
        <f t="shared" si="0"/>
        <v>0</v>
      </c>
      <c r="AE27" s="162">
        <f t="shared" si="1"/>
        <v>-1</v>
      </c>
    </row>
    <row r="28" spans="1:31" x14ac:dyDescent="0.25">
      <c r="B28" s="193"/>
      <c r="C28" s="10"/>
      <c r="D28" s="202"/>
      <c r="E28" s="40"/>
      <c r="F28" s="236"/>
      <c r="G28" s="40"/>
      <c r="H28" s="232"/>
      <c r="I28" s="40"/>
      <c r="W28" s="110">
        <v>42731</v>
      </c>
      <c r="X28" s="9">
        <v>32.19</v>
      </c>
      <c r="Y28" s="9">
        <v>32.29</v>
      </c>
      <c r="Z28" s="9">
        <v>31.91</v>
      </c>
      <c r="AA28" s="9">
        <v>31.91</v>
      </c>
      <c r="AB28" s="104">
        <v>632700</v>
      </c>
      <c r="AC28" s="9">
        <v>31.73</v>
      </c>
      <c r="AD28" s="40">
        <f t="shared" si="0"/>
        <v>0.37999999999999901</v>
      </c>
      <c r="AE28" s="162">
        <f t="shared" si="1"/>
        <v>-8.7472664792251908E-3</v>
      </c>
    </row>
    <row r="29" spans="1:31" x14ac:dyDescent="0.25">
      <c r="B29" s="193"/>
      <c r="C29" s="10"/>
      <c r="D29" s="202"/>
      <c r="E29" s="40"/>
      <c r="F29" s="236"/>
      <c r="G29" s="40"/>
      <c r="H29" s="232"/>
      <c r="I29" s="40"/>
      <c r="W29" s="110">
        <v>42727</v>
      </c>
      <c r="X29" s="9">
        <v>32.18</v>
      </c>
      <c r="Y29" s="9">
        <v>32.340000000000003</v>
      </c>
      <c r="Z29" s="9">
        <v>31.96</v>
      </c>
      <c r="AA29" s="9">
        <v>32.19</v>
      </c>
      <c r="AB29" s="104">
        <v>981400</v>
      </c>
      <c r="AC29" s="9">
        <v>32.01</v>
      </c>
      <c r="AD29" s="40">
        <f t="shared" si="0"/>
        <v>0.38000000000000256</v>
      </c>
      <c r="AE29" s="162">
        <f t="shared" si="1"/>
        <v>-3.1142946122704185E-3</v>
      </c>
    </row>
    <row r="30" spans="1:31" x14ac:dyDescent="0.25">
      <c r="B30" s="193"/>
      <c r="C30" s="10"/>
      <c r="D30" s="202"/>
      <c r="E30" s="40"/>
      <c r="F30" s="236"/>
      <c r="G30" s="40"/>
      <c r="H30" s="232"/>
      <c r="I30" s="40"/>
      <c r="W30" s="110">
        <v>42726</v>
      </c>
      <c r="X30" s="9">
        <v>32.299999999999997</v>
      </c>
      <c r="Y30" s="9">
        <v>32.39</v>
      </c>
      <c r="Z30" s="9">
        <v>32.21</v>
      </c>
      <c r="AA30" s="9">
        <v>32.29</v>
      </c>
      <c r="AB30" s="104">
        <v>947600</v>
      </c>
      <c r="AC30" s="9">
        <v>32.11</v>
      </c>
      <c r="AD30" s="40">
        <f t="shared" si="0"/>
        <v>0.17999999999999972</v>
      </c>
      <c r="AE30" s="162">
        <f t="shared" si="1"/>
        <v>-3.4140285536933268E-3</v>
      </c>
    </row>
    <row r="31" spans="1:31" x14ac:dyDescent="0.25">
      <c r="B31" s="193"/>
      <c r="C31" s="10"/>
      <c r="D31" s="202"/>
      <c r="E31" s="40"/>
      <c r="F31" s="236"/>
      <c r="G31" s="40"/>
      <c r="H31" s="232"/>
      <c r="I31" s="40"/>
      <c r="W31" s="110">
        <v>42725</v>
      </c>
      <c r="X31" s="9">
        <v>32.31</v>
      </c>
      <c r="Y31" s="9">
        <v>32.57</v>
      </c>
      <c r="Z31" s="9">
        <v>32.299999999999997</v>
      </c>
      <c r="AA31" s="9">
        <v>32.4</v>
      </c>
      <c r="AB31" s="104">
        <v>1117800</v>
      </c>
      <c r="AC31" s="9">
        <v>32.22</v>
      </c>
      <c r="AD31" s="40">
        <f t="shared" si="0"/>
        <v>0.27000000000000313</v>
      </c>
      <c r="AE31" s="162">
        <f t="shared" si="1"/>
        <v>4.9906425452275194E-3</v>
      </c>
    </row>
    <row r="32" spans="1:31" x14ac:dyDescent="0.25">
      <c r="B32" s="193"/>
      <c r="C32" s="10"/>
      <c r="D32" s="202"/>
      <c r="E32" s="40"/>
      <c r="F32" s="236"/>
      <c r="G32" s="40"/>
      <c r="H32" s="232"/>
      <c r="I32" s="40"/>
      <c r="W32" s="110">
        <v>42724</v>
      </c>
      <c r="X32" s="9">
        <v>32.200000000000003</v>
      </c>
      <c r="Y32" s="9">
        <v>32.369999999999997</v>
      </c>
      <c r="Z32" s="9">
        <v>32.08</v>
      </c>
      <c r="AA32" s="9">
        <v>32.24</v>
      </c>
      <c r="AB32" s="104">
        <v>1420100</v>
      </c>
      <c r="AC32" s="9">
        <v>32.06</v>
      </c>
      <c r="AD32" s="40">
        <f t="shared" si="0"/>
        <v>0.28999999999999915</v>
      </c>
      <c r="AE32" s="162">
        <f t="shared" si="1"/>
        <v>-5.2745888923361184E-3</v>
      </c>
    </row>
    <row r="33" spans="1:31" x14ac:dyDescent="0.25">
      <c r="B33" s="193"/>
      <c r="C33" s="10"/>
      <c r="D33" s="202"/>
      <c r="E33" s="40"/>
      <c r="F33" s="236"/>
      <c r="G33" s="40"/>
      <c r="H33" s="232"/>
      <c r="I33" s="40"/>
      <c r="W33" s="110">
        <v>42723</v>
      </c>
      <c r="X33" s="9">
        <v>32.18</v>
      </c>
      <c r="Y33" s="9">
        <v>32.56</v>
      </c>
      <c r="Z33" s="9">
        <v>32.17</v>
      </c>
      <c r="AA33" s="9">
        <v>32.409999999999997</v>
      </c>
      <c r="AB33" s="104">
        <v>1312600</v>
      </c>
      <c r="AC33" s="9">
        <v>32.229999999999997</v>
      </c>
      <c r="AD33" s="40">
        <f t="shared" si="0"/>
        <v>0.39000000000000057</v>
      </c>
      <c r="AE33" s="162">
        <f t="shared" si="1"/>
        <v>-1.8581604211831415E-3</v>
      </c>
    </row>
    <row r="34" spans="1:31" x14ac:dyDescent="0.25">
      <c r="B34" s="193"/>
      <c r="C34" s="10"/>
      <c r="D34" s="202"/>
      <c r="E34" s="40"/>
      <c r="F34" s="236"/>
      <c r="G34" s="40"/>
      <c r="H34" s="232"/>
      <c r="I34" s="40"/>
      <c r="W34" s="110">
        <v>42720</v>
      </c>
      <c r="X34" s="9">
        <v>32.35</v>
      </c>
      <c r="Y34" s="9">
        <v>32.51</v>
      </c>
      <c r="Z34" s="9">
        <v>32.17</v>
      </c>
      <c r="AA34" s="9">
        <v>32.47</v>
      </c>
      <c r="AB34" s="104">
        <v>1421000</v>
      </c>
      <c r="AC34" s="9">
        <v>32.29</v>
      </c>
      <c r="AD34" s="40">
        <f t="shared" si="0"/>
        <v>0.33999999999999631</v>
      </c>
      <c r="AE34" s="162">
        <f t="shared" si="1"/>
        <v>1.000938379731009E-2</v>
      </c>
    </row>
    <row r="35" spans="1:31" x14ac:dyDescent="0.25">
      <c r="B35" s="193"/>
      <c r="C35" s="10"/>
      <c r="D35" s="202"/>
      <c r="E35" s="40"/>
      <c r="F35" s="236"/>
      <c r="G35" s="40"/>
      <c r="H35" s="232"/>
      <c r="I35" s="40"/>
      <c r="W35" s="110">
        <v>42719</v>
      </c>
      <c r="X35" s="9">
        <v>31.18</v>
      </c>
      <c r="Y35" s="9">
        <v>32.36</v>
      </c>
      <c r="Z35" s="9">
        <v>31.01</v>
      </c>
      <c r="AA35" s="9">
        <v>32.15</v>
      </c>
      <c r="AB35" s="104">
        <v>1847600</v>
      </c>
      <c r="AC35" s="9">
        <v>31.97</v>
      </c>
      <c r="AD35" s="40">
        <f t="shared" si="0"/>
        <v>1.3499999999999979</v>
      </c>
      <c r="AE35" s="162">
        <f t="shared" si="1"/>
        <v>1.8152866242038268E-2</v>
      </c>
    </row>
    <row r="36" spans="1:31" x14ac:dyDescent="0.25">
      <c r="B36" s="193"/>
      <c r="C36" s="10"/>
      <c r="D36" s="202"/>
      <c r="E36" s="40"/>
      <c r="F36" s="236"/>
      <c r="G36" s="40"/>
      <c r="H36" s="232"/>
      <c r="I36" s="40"/>
      <c r="W36" s="110">
        <v>42718</v>
      </c>
      <c r="X36" s="9">
        <v>32.020000000000003</v>
      </c>
      <c r="Y36" s="9">
        <v>32.11</v>
      </c>
      <c r="Z36" s="9">
        <v>31.58</v>
      </c>
      <c r="AA36" s="9">
        <v>31.58</v>
      </c>
      <c r="AB36" s="104">
        <v>1906400</v>
      </c>
      <c r="AC36" s="9">
        <v>31.4</v>
      </c>
      <c r="AD36" s="40">
        <f t="shared" si="0"/>
        <v>0.53000000000000114</v>
      </c>
      <c r="AE36" s="162">
        <f t="shared" si="1"/>
        <v>-7.89889415481837E-3</v>
      </c>
    </row>
    <row r="37" spans="1:31" x14ac:dyDescent="0.25">
      <c r="B37" s="74"/>
      <c r="C37" s="4"/>
      <c r="D37" s="600"/>
      <c r="E37" s="3"/>
      <c r="F37" s="3"/>
      <c r="G37" s="3"/>
      <c r="H37" s="233"/>
      <c r="I37" s="3"/>
      <c r="W37" s="110">
        <v>42717</v>
      </c>
      <c r="X37" s="9">
        <v>32.159999999999997</v>
      </c>
      <c r="Y37" s="9">
        <v>32.159999999999997</v>
      </c>
      <c r="Z37" s="9">
        <v>31.48</v>
      </c>
      <c r="AA37" s="9">
        <v>31.83</v>
      </c>
      <c r="AB37" s="104">
        <v>1724400</v>
      </c>
      <c r="AC37" s="9">
        <v>31.65</v>
      </c>
      <c r="AD37" s="40">
        <f t="shared" si="0"/>
        <v>0.67999999999999616</v>
      </c>
      <c r="AE37" s="162">
        <f t="shared" si="1"/>
        <v>-9.3896713615023719E-3</v>
      </c>
    </row>
    <row r="38" spans="1:31" x14ac:dyDescent="0.25">
      <c r="B38" s="74"/>
      <c r="C38" s="4"/>
      <c r="D38" s="600"/>
      <c r="E38" s="3"/>
      <c r="F38" s="3"/>
      <c r="G38" s="3"/>
      <c r="H38" s="233"/>
      <c r="I38" s="3"/>
      <c r="W38" s="110">
        <v>42716</v>
      </c>
      <c r="X38" s="9">
        <v>32.380000000000003</v>
      </c>
      <c r="Y38" s="9">
        <v>32.729999999999997</v>
      </c>
      <c r="Z38" s="9">
        <v>32</v>
      </c>
      <c r="AA38" s="9">
        <v>32.130000000000003</v>
      </c>
      <c r="AB38" s="104">
        <v>2787800</v>
      </c>
      <c r="AC38" s="9">
        <v>31.95</v>
      </c>
      <c r="AD38" s="40">
        <f t="shared" si="0"/>
        <v>0.72999999999999687</v>
      </c>
      <c r="AE38" s="162">
        <f t="shared" si="1"/>
        <v>-5.2926525529264357E-3</v>
      </c>
    </row>
    <row r="39" spans="1:31" x14ac:dyDescent="0.25">
      <c r="W39" s="110">
        <v>42713</v>
      </c>
      <c r="X39" s="9">
        <v>31.65</v>
      </c>
      <c r="Y39" s="9">
        <v>32.54</v>
      </c>
      <c r="Z39" s="9">
        <v>31.65</v>
      </c>
      <c r="AA39" s="9">
        <v>32.299999999999997</v>
      </c>
      <c r="AB39" s="104">
        <v>2558000</v>
      </c>
      <c r="AC39" s="9">
        <v>32.119999999999997</v>
      </c>
      <c r="AD39" s="40">
        <f t="shared" si="0"/>
        <v>0.89000000000000057</v>
      </c>
      <c r="AE39" s="162">
        <f t="shared" si="1"/>
        <v>2.0979020979020824E-2</v>
      </c>
    </row>
    <row r="40" spans="1:31" ht="20.25" thickBot="1" x14ac:dyDescent="0.35">
      <c r="O40" s="638" t="s">
        <v>78</v>
      </c>
      <c r="P40" s="638"/>
      <c r="W40" s="110">
        <v>42712</v>
      </c>
      <c r="X40" s="9">
        <v>31.5</v>
      </c>
      <c r="Y40" s="9">
        <v>31.81</v>
      </c>
      <c r="Z40" s="9">
        <v>31.36</v>
      </c>
      <c r="AA40" s="9">
        <v>31.64</v>
      </c>
      <c r="AB40" s="104">
        <v>1829400</v>
      </c>
      <c r="AC40" s="9">
        <v>31.46</v>
      </c>
      <c r="AD40" s="40">
        <f t="shared" si="0"/>
        <v>0.44999999999999929</v>
      </c>
      <c r="AE40" s="162">
        <f t="shared" si="1"/>
        <v>-1.2864763100094101E-2</v>
      </c>
    </row>
    <row r="41" spans="1:31" ht="15.75" thickTop="1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264.92000000000007</v>
      </c>
      <c r="O41" s="83">
        <v>1.1000000000000001</v>
      </c>
      <c r="P41" s="83">
        <f>O41*$Q$4</f>
        <v>38.313000000000002</v>
      </c>
      <c r="Q41" s="2"/>
      <c r="W41" s="110">
        <v>42711</v>
      </c>
      <c r="X41" s="9">
        <v>31.45</v>
      </c>
      <c r="Y41" s="9">
        <v>32.090000000000003</v>
      </c>
      <c r="Z41" s="9">
        <v>31.4</v>
      </c>
      <c r="AA41" s="9">
        <v>32.049999999999997</v>
      </c>
      <c r="AB41" s="104">
        <v>2881300</v>
      </c>
      <c r="AC41" s="9">
        <v>31.87</v>
      </c>
      <c r="AD41" s="40">
        <f t="shared" si="0"/>
        <v>0.69000000000000483</v>
      </c>
      <c r="AE41" s="162">
        <f t="shared" si="1"/>
        <v>2.344251766217087E-2</v>
      </c>
    </row>
    <row r="42" spans="1:31" ht="20.25" thickBot="1" x14ac:dyDescent="0.35">
      <c r="A42" s="387" t="s">
        <v>1</v>
      </c>
      <c r="B42" s="387" t="s">
        <v>2</v>
      </c>
      <c r="C42" s="387" t="s">
        <v>4</v>
      </c>
      <c r="D42" s="389" t="s">
        <v>5</v>
      </c>
      <c r="E42" s="389" t="s">
        <v>94</v>
      </c>
      <c r="F42" s="389" t="s">
        <v>60</v>
      </c>
      <c r="G42" s="387" t="s">
        <v>3</v>
      </c>
      <c r="H42" s="387" t="s">
        <v>6</v>
      </c>
      <c r="I42" s="389" t="s">
        <v>7</v>
      </c>
      <c r="J42" s="389" t="s">
        <v>95</v>
      </c>
      <c r="K42" s="389" t="s">
        <v>61</v>
      </c>
      <c r="L42" s="387" t="s">
        <v>37</v>
      </c>
      <c r="M42" s="387" t="s">
        <v>38</v>
      </c>
      <c r="O42" s="83">
        <v>1.0900000000000001</v>
      </c>
      <c r="P42" s="83">
        <f t="shared" ref="P42:P61" si="2">O42*$Q$4</f>
        <v>37.964700000000001</v>
      </c>
      <c r="Q42" s="2"/>
      <c r="T42" s="91" t="s">
        <v>113</v>
      </c>
      <c r="W42" s="110">
        <v>42710</v>
      </c>
      <c r="X42" s="9">
        <v>31.35</v>
      </c>
      <c r="Y42" s="9">
        <v>31.43</v>
      </c>
      <c r="Z42" s="9">
        <v>30.55</v>
      </c>
      <c r="AA42" s="9">
        <v>31.31</v>
      </c>
      <c r="AB42" s="104">
        <v>9273100</v>
      </c>
      <c r="AC42" s="9">
        <v>31.14</v>
      </c>
      <c r="AD42" s="40">
        <f t="shared" si="0"/>
        <v>0.87999999999999901</v>
      </c>
      <c r="AE42" s="162">
        <f t="shared" si="1"/>
        <v>-8.5959885386819312E-3</v>
      </c>
    </row>
    <row r="43" spans="1:31" ht="15.75" thickTop="1" x14ac:dyDescent="0.25">
      <c r="A43" s="390" t="s">
        <v>354</v>
      </c>
      <c r="B43" s="380">
        <v>42719</v>
      </c>
      <c r="C43" s="381">
        <v>50</v>
      </c>
      <c r="D43" s="382">
        <v>31.18</v>
      </c>
      <c r="E43" s="382">
        <v>0</v>
      </c>
      <c r="F43" s="382">
        <f t="shared" ref="F43:F44" si="3">C43*D43+E43</f>
        <v>1559</v>
      </c>
      <c r="G43" s="380">
        <v>42753</v>
      </c>
      <c r="H43" s="381">
        <v>50</v>
      </c>
      <c r="I43" s="382">
        <v>32.92</v>
      </c>
      <c r="J43" s="382">
        <v>0.04</v>
      </c>
      <c r="K43" s="382">
        <f>H43*I43-J43</f>
        <v>1645.96</v>
      </c>
      <c r="L43" s="380">
        <v>42748</v>
      </c>
      <c r="M43" s="381">
        <v>18</v>
      </c>
      <c r="O43" s="83">
        <v>1.08</v>
      </c>
      <c r="P43" s="83">
        <f t="shared" si="2"/>
        <v>37.616399999999999</v>
      </c>
      <c r="Q43" s="2"/>
      <c r="T43" s="128" t="s">
        <v>98</v>
      </c>
      <c r="U43" s="129">
        <v>34.74</v>
      </c>
      <c r="W43" s="110">
        <v>42709</v>
      </c>
      <c r="X43" s="9">
        <v>31.9</v>
      </c>
      <c r="Y43" s="9">
        <v>31.96</v>
      </c>
      <c r="Z43" s="9">
        <v>31.48</v>
      </c>
      <c r="AA43" s="9">
        <v>31.59</v>
      </c>
      <c r="AB43" s="104">
        <v>2220500</v>
      </c>
      <c r="AC43" s="9">
        <v>31.41</v>
      </c>
      <c r="AD43" s="40">
        <f t="shared" si="0"/>
        <v>0.48000000000000043</v>
      </c>
      <c r="AE43" s="162">
        <f t="shared" si="1"/>
        <v>2.2335673261009159E-3</v>
      </c>
    </row>
    <row r="44" spans="1:31" x14ac:dyDescent="0.25">
      <c r="A44" s="391" t="s">
        <v>71</v>
      </c>
      <c r="B44" s="74">
        <v>42719</v>
      </c>
      <c r="C44" s="4">
        <v>50</v>
      </c>
      <c r="D44" s="3">
        <v>31.18</v>
      </c>
      <c r="E44" s="3">
        <v>0</v>
      </c>
      <c r="F44" s="3">
        <f t="shared" si="3"/>
        <v>1559</v>
      </c>
      <c r="G44" s="74">
        <v>42759</v>
      </c>
      <c r="H44" s="185">
        <v>50</v>
      </c>
      <c r="I44" s="3">
        <v>34.380000000000003</v>
      </c>
      <c r="J44" s="3">
        <v>0.04</v>
      </c>
      <c r="K44" s="3">
        <f>H44*I44-J44</f>
        <v>1718.9600000000003</v>
      </c>
      <c r="L44" s="381"/>
      <c r="M44" s="381"/>
      <c r="O44" s="83">
        <v>1.07</v>
      </c>
      <c r="P44" s="83">
        <f t="shared" si="2"/>
        <v>37.268099999999997</v>
      </c>
      <c r="Q44" s="2"/>
      <c r="T44" s="93" t="s">
        <v>99</v>
      </c>
      <c r="U44" s="130">
        <v>34.75</v>
      </c>
      <c r="W44" s="110">
        <v>42706</v>
      </c>
      <c r="X44" s="9">
        <v>31.81</v>
      </c>
      <c r="Y44" s="9">
        <v>32</v>
      </c>
      <c r="Z44" s="9">
        <v>31.42</v>
      </c>
      <c r="AA44" s="9">
        <v>31.52</v>
      </c>
      <c r="AB44" s="104">
        <v>3702400</v>
      </c>
      <c r="AC44" s="9">
        <v>31.34</v>
      </c>
      <c r="AD44" s="40">
        <f t="shared" si="0"/>
        <v>0.57999999999999829</v>
      </c>
      <c r="AE44" s="162">
        <f t="shared" si="1"/>
        <v>3.8436899423446302E-3</v>
      </c>
    </row>
    <row r="45" spans="1:31" x14ac:dyDescent="0.25">
      <c r="A45" s="381"/>
      <c r="B45" s="380"/>
      <c r="C45" s="381"/>
      <c r="D45" s="382"/>
      <c r="E45" s="382"/>
      <c r="F45" s="382"/>
      <c r="G45" s="380"/>
      <c r="H45" s="385"/>
      <c r="I45" s="382"/>
      <c r="J45" s="382"/>
      <c r="K45" s="382"/>
      <c r="L45" s="381"/>
      <c r="M45" s="381"/>
      <c r="O45" s="83">
        <v>1.06</v>
      </c>
      <c r="P45" s="83">
        <f t="shared" si="2"/>
        <v>36.919800000000002</v>
      </c>
      <c r="Q45" s="2"/>
      <c r="T45" s="93" t="s">
        <v>100</v>
      </c>
      <c r="U45" s="130" t="s">
        <v>129</v>
      </c>
      <c r="W45" s="110">
        <v>42705</v>
      </c>
      <c r="X45" s="9">
        <v>32.57</v>
      </c>
      <c r="Y45" s="9">
        <v>32.57</v>
      </c>
      <c r="Z45" s="9">
        <v>31.37</v>
      </c>
      <c r="AA45" s="9">
        <v>31.4</v>
      </c>
      <c r="AB45" s="104">
        <v>2295200</v>
      </c>
      <c r="AC45" s="9">
        <v>31.22</v>
      </c>
      <c r="AD45" s="40">
        <f t="shared" si="0"/>
        <v>1.1999999999999993</v>
      </c>
      <c r="AE45" s="162">
        <f t="shared" si="1"/>
        <v>-3.2837670384138873E-2</v>
      </c>
    </row>
    <row r="46" spans="1:31" x14ac:dyDescent="0.25">
      <c r="A46" s="381"/>
      <c r="B46" s="380"/>
      <c r="C46" s="381"/>
      <c r="D46" s="382"/>
      <c r="E46" s="382"/>
      <c r="F46" s="382"/>
      <c r="G46" s="380"/>
      <c r="H46" s="385"/>
      <c r="I46" s="382"/>
      <c r="J46" s="382"/>
      <c r="K46" s="382"/>
      <c r="L46" s="381"/>
      <c r="M46" s="381"/>
      <c r="O46" s="83">
        <v>1.05</v>
      </c>
      <c r="P46" s="83">
        <f t="shared" si="2"/>
        <v>36.5715</v>
      </c>
      <c r="Q46" s="2"/>
      <c r="T46" s="93" t="s">
        <v>101</v>
      </c>
      <c r="U46" s="130" t="s">
        <v>129</v>
      </c>
      <c r="W46" s="110">
        <v>42704</v>
      </c>
      <c r="X46" s="9">
        <v>33.200000000000003</v>
      </c>
      <c r="Y46" s="9">
        <v>33.24</v>
      </c>
      <c r="Z46" s="9">
        <v>32.450000000000003</v>
      </c>
      <c r="AA46" s="9">
        <v>32.46</v>
      </c>
      <c r="AB46" s="104">
        <v>2809400</v>
      </c>
      <c r="AC46" s="9">
        <v>32.28</v>
      </c>
      <c r="AD46" s="40">
        <f t="shared" si="0"/>
        <v>0.78999999999999915</v>
      </c>
      <c r="AE46" s="162">
        <f t="shared" si="1"/>
        <v>-1.6752969844654242E-2</v>
      </c>
    </row>
    <row r="47" spans="1:31" x14ac:dyDescent="0.25">
      <c r="A47" s="381"/>
      <c r="B47" s="380"/>
      <c r="C47" s="381"/>
      <c r="D47" s="382"/>
      <c r="E47" s="382"/>
      <c r="F47" s="382"/>
      <c r="G47" s="380"/>
      <c r="H47" s="385"/>
      <c r="I47" s="382"/>
      <c r="J47" s="382"/>
      <c r="K47" s="382"/>
      <c r="L47" s="381"/>
      <c r="M47" s="381"/>
      <c r="O47" s="83">
        <v>1.04</v>
      </c>
      <c r="P47" s="83">
        <f t="shared" si="2"/>
        <v>36.223199999999999</v>
      </c>
      <c r="Q47" s="2"/>
      <c r="T47" s="93" t="s">
        <v>102</v>
      </c>
      <c r="U47" s="130">
        <v>38.22</v>
      </c>
      <c r="W47" s="110">
        <v>42703</v>
      </c>
      <c r="X47" s="9">
        <v>33.53</v>
      </c>
      <c r="Y47" s="9">
        <v>33.549999999999997</v>
      </c>
      <c r="Z47" s="9">
        <v>32.94</v>
      </c>
      <c r="AA47" s="9">
        <v>33.01</v>
      </c>
      <c r="AB47" s="104">
        <v>1704700</v>
      </c>
      <c r="AC47" s="9">
        <v>32.83</v>
      </c>
      <c r="AD47" s="40">
        <f t="shared" si="0"/>
        <v>0.60999999999999943</v>
      </c>
      <c r="AE47" s="162">
        <f t="shared" si="1"/>
        <v>-1.3521634615384692E-2</v>
      </c>
    </row>
    <row r="48" spans="1:31" x14ac:dyDescent="0.25">
      <c r="A48" s="381"/>
      <c r="B48" s="380"/>
      <c r="C48" s="381"/>
      <c r="D48" s="382"/>
      <c r="E48" s="382"/>
      <c r="F48" s="382"/>
      <c r="G48" s="381"/>
      <c r="H48" s="385"/>
      <c r="I48" s="382"/>
      <c r="J48" s="382"/>
      <c r="K48" s="382"/>
      <c r="L48" s="381"/>
      <c r="M48" s="381"/>
      <c r="O48" s="83">
        <v>1.03</v>
      </c>
      <c r="P48" s="83">
        <f t="shared" si="2"/>
        <v>35.874899999999997</v>
      </c>
      <c r="Q48" s="2"/>
      <c r="T48" s="93" t="s">
        <v>103</v>
      </c>
      <c r="U48" s="130">
        <v>0.90102199999999999</v>
      </c>
      <c r="W48" s="110">
        <v>42702</v>
      </c>
      <c r="X48" s="9">
        <v>33.65</v>
      </c>
      <c r="Y48" s="9">
        <v>33.71</v>
      </c>
      <c r="Z48" s="9">
        <v>33.380000000000003</v>
      </c>
      <c r="AA48" s="9">
        <v>33.47</v>
      </c>
      <c r="AB48" s="104">
        <v>1715600</v>
      </c>
      <c r="AC48" s="9">
        <v>33.28</v>
      </c>
      <c r="AD48" s="40">
        <f t="shared" si="0"/>
        <v>0.32999999999999829</v>
      </c>
      <c r="AE48" s="162">
        <f t="shared" si="1"/>
        <v>-6.0060060060052045E-4</v>
      </c>
    </row>
    <row r="49" spans="1:31" x14ac:dyDescent="0.25">
      <c r="A49" s="381"/>
      <c r="B49" s="380"/>
      <c r="C49" s="381"/>
      <c r="D49" s="382"/>
      <c r="E49" s="382"/>
      <c r="F49" s="382"/>
      <c r="G49" s="381"/>
      <c r="H49" s="385"/>
      <c r="I49" s="382"/>
      <c r="J49" s="382"/>
      <c r="K49" s="382"/>
      <c r="L49" s="381"/>
      <c r="M49" s="381"/>
      <c r="O49" s="83">
        <v>1.02</v>
      </c>
      <c r="P49" s="83">
        <f t="shared" si="2"/>
        <v>35.526600000000002</v>
      </c>
      <c r="Q49" s="2"/>
      <c r="T49" s="93" t="s">
        <v>104</v>
      </c>
      <c r="U49" s="130" t="s">
        <v>129</v>
      </c>
      <c r="W49" s="110">
        <v>42699</v>
      </c>
      <c r="X49" s="9">
        <v>33.78</v>
      </c>
      <c r="Y49" s="9">
        <v>33.82</v>
      </c>
      <c r="Z49" s="9">
        <v>33.33</v>
      </c>
      <c r="AA49" s="9">
        <v>33.49</v>
      </c>
      <c r="AB49" s="104">
        <v>1673000</v>
      </c>
      <c r="AC49" s="9">
        <v>33.299999999999997</v>
      </c>
      <c r="AD49" s="40">
        <f t="shared" si="0"/>
        <v>0.49000000000000199</v>
      </c>
      <c r="AE49" s="162">
        <f t="shared" si="1"/>
        <v>7.5642965204236745E-3</v>
      </c>
    </row>
    <row r="50" spans="1:31" x14ac:dyDescent="0.25">
      <c r="A50" s="381"/>
      <c r="B50" s="381"/>
      <c r="C50" s="381"/>
      <c r="D50" s="382"/>
      <c r="E50" s="382"/>
      <c r="F50" s="382"/>
      <c r="G50" s="381"/>
      <c r="H50" s="385"/>
      <c r="I50" s="382"/>
      <c r="J50" s="382"/>
      <c r="K50" s="382"/>
      <c r="L50" s="381"/>
      <c r="M50" s="381"/>
      <c r="O50" s="83">
        <v>1.01</v>
      </c>
      <c r="P50" s="83">
        <f t="shared" si="2"/>
        <v>35.1783</v>
      </c>
      <c r="Q50" s="2"/>
      <c r="T50" s="93"/>
      <c r="U50" s="130"/>
      <c r="W50" s="110">
        <v>42697</v>
      </c>
      <c r="X50" s="9">
        <v>33.72</v>
      </c>
      <c r="Y50" s="9">
        <v>33.72</v>
      </c>
      <c r="Z50" s="9">
        <v>33.200000000000003</v>
      </c>
      <c r="AA50" s="9">
        <v>33.24</v>
      </c>
      <c r="AB50" s="104">
        <v>2028600</v>
      </c>
      <c r="AC50" s="9">
        <v>33.049999999999997</v>
      </c>
      <c r="AD50" s="40">
        <f t="shared" si="0"/>
        <v>0.51999999999999602</v>
      </c>
      <c r="AE50" s="162">
        <f t="shared" si="1"/>
        <v>-1.4609421586165849E-2</v>
      </c>
    </row>
    <row r="51" spans="1:31" x14ac:dyDescent="0.25">
      <c r="A51" s="381"/>
      <c r="B51" s="381"/>
      <c r="C51" s="381"/>
      <c r="D51" s="382"/>
      <c r="E51" s="382"/>
      <c r="F51" s="382"/>
      <c r="G51" s="381"/>
      <c r="H51" s="381"/>
      <c r="I51" s="382"/>
      <c r="J51" s="382"/>
      <c r="K51" s="382"/>
      <c r="L51" s="381"/>
      <c r="M51" s="381"/>
      <c r="O51" s="83">
        <v>1</v>
      </c>
      <c r="P51" s="83">
        <f t="shared" si="2"/>
        <v>34.83</v>
      </c>
      <c r="Q51" s="2"/>
      <c r="T51" s="93" t="s">
        <v>105</v>
      </c>
      <c r="U51" s="130" t="s">
        <v>559</v>
      </c>
      <c r="W51" s="110">
        <v>42696</v>
      </c>
      <c r="X51" s="9">
        <v>34.19</v>
      </c>
      <c r="Y51" s="9">
        <v>34.4</v>
      </c>
      <c r="Z51" s="9">
        <v>33.71</v>
      </c>
      <c r="AA51" s="9">
        <v>33.729999999999997</v>
      </c>
      <c r="AB51" s="104">
        <v>2335500</v>
      </c>
      <c r="AC51" s="9">
        <v>33.54</v>
      </c>
      <c r="AD51" s="40">
        <f t="shared" si="0"/>
        <v>0.68999999999999773</v>
      </c>
      <c r="AE51" s="162">
        <f t="shared" si="1"/>
        <v>-6.8107787977496059E-3</v>
      </c>
    </row>
    <row r="52" spans="1:31" x14ac:dyDescent="0.25">
      <c r="A52" s="381"/>
      <c r="B52" s="381"/>
      <c r="C52" s="381"/>
      <c r="D52" s="382"/>
      <c r="E52" s="382"/>
      <c r="F52" s="382"/>
      <c r="G52" s="381"/>
      <c r="H52" s="381"/>
      <c r="I52" s="382"/>
      <c r="J52" s="382"/>
      <c r="K52" s="382"/>
      <c r="L52" s="381"/>
      <c r="M52" s="381"/>
      <c r="O52" s="83">
        <v>0.99</v>
      </c>
      <c r="P52" s="83">
        <f t="shared" si="2"/>
        <v>34.481699999999996</v>
      </c>
      <c r="Q52" s="2"/>
      <c r="T52" s="93" t="s">
        <v>106</v>
      </c>
      <c r="U52" s="130" t="s">
        <v>355</v>
      </c>
      <c r="W52" s="110">
        <v>42695</v>
      </c>
      <c r="X52" s="9">
        <v>33.74</v>
      </c>
      <c r="Y52" s="9">
        <v>34.24</v>
      </c>
      <c r="Z52" s="9">
        <v>33.61</v>
      </c>
      <c r="AA52" s="9">
        <v>33.96</v>
      </c>
      <c r="AB52" s="104">
        <v>1879300</v>
      </c>
      <c r="AC52" s="9">
        <v>33.770000000000003</v>
      </c>
      <c r="AD52" s="40">
        <f t="shared" si="0"/>
        <v>0.63000000000000256</v>
      </c>
      <c r="AE52" s="162">
        <f t="shared" si="1"/>
        <v>6.8574836016697116E-3</v>
      </c>
    </row>
    <row r="53" spans="1:31" x14ac:dyDescent="0.25">
      <c r="A53" s="381"/>
      <c r="B53" s="381"/>
      <c r="C53" s="381"/>
      <c r="D53" s="382"/>
      <c r="E53" s="382"/>
      <c r="F53" s="382"/>
      <c r="G53" s="381"/>
      <c r="H53" s="381"/>
      <c r="I53" s="382"/>
      <c r="J53" s="382"/>
      <c r="K53" s="382"/>
      <c r="L53" s="381"/>
      <c r="M53" s="381"/>
      <c r="O53" s="83">
        <v>0.98</v>
      </c>
      <c r="P53" s="83">
        <f t="shared" si="2"/>
        <v>34.133399999999995</v>
      </c>
      <c r="Q53" s="2"/>
      <c r="T53" s="93" t="s">
        <v>107</v>
      </c>
      <c r="U53" s="131">
        <v>1082749</v>
      </c>
      <c r="W53" s="110">
        <v>42692</v>
      </c>
      <c r="X53" s="9">
        <v>34.04</v>
      </c>
      <c r="Y53" s="9">
        <v>34.17</v>
      </c>
      <c r="Z53" s="9">
        <v>33.69</v>
      </c>
      <c r="AA53" s="9">
        <v>33.729999999999997</v>
      </c>
      <c r="AB53" s="104">
        <v>2205300</v>
      </c>
      <c r="AC53" s="9">
        <v>33.54</v>
      </c>
      <c r="AD53" s="40">
        <f t="shared" si="0"/>
        <v>0.48000000000000398</v>
      </c>
      <c r="AE53" s="162">
        <f t="shared" si="1"/>
        <v>-1.0035419126328327E-2</v>
      </c>
    </row>
    <row r="54" spans="1:31" x14ac:dyDescent="0.25">
      <c r="A54" s="381"/>
      <c r="B54" s="381"/>
      <c r="C54" s="381"/>
      <c r="D54" s="382"/>
      <c r="E54" s="382"/>
      <c r="F54" s="382"/>
      <c r="G54" s="381"/>
      <c r="H54" s="381"/>
      <c r="I54" s="382"/>
      <c r="J54" s="382"/>
      <c r="K54" s="382"/>
      <c r="L54" s="381"/>
      <c r="M54" s="381"/>
      <c r="O54" s="83">
        <v>0.97</v>
      </c>
      <c r="P54" s="83">
        <f t="shared" si="2"/>
        <v>33.7851</v>
      </c>
      <c r="T54" s="93" t="s">
        <v>110</v>
      </c>
      <c r="U54" s="131">
        <v>2039890</v>
      </c>
      <c r="W54" s="110">
        <v>42691</v>
      </c>
      <c r="X54" s="9">
        <v>34.53</v>
      </c>
      <c r="Y54" s="9">
        <v>34.94</v>
      </c>
      <c r="Z54" s="9">
        <v>34.03</v>
      </c>
      <c r="AA54" s="9">
        <v>34.07</v>
      </c>
      <c r="AB54" s="104">
        <v>2172600</v>
      </c>
      <c r="AC54" s="9">
        <v>33.880000000000003</v>
      </c>
      <c r="AD54" s="40">
        <f t="shared" si="0"/>
        <v>0.90999999999999659</v>
      </c>
      <c r="AE54" s="162">
        <f t="shared" si="1"/>
        <v>-1.8539976825028948E-2</v>
      </c>
    </row>
    <row r="55" spans="1:31" x14ac:dyDescent="0.25">
      <c r="A55" s="381"/>
      <c r="B55" s="381"/>
      <c r="C55" s="381"/>
      <c r="D55" s="382"/>
      <c r="E55" s="382"/>
      <c r="F55" s="382"/>
      <c r="G55" s="381"/>
      <c r="H55" s="381"/>
      <c r="I55" s="382"/>
      <c r="J55" s="382"/>
      <c r="K55" s="382"/>
      <c r="L55" s="381"/>
      <c r="M55" s="381"/>
      <c r="O55" s="83">
        <v>0.96</v>
      </c>
      <c r="P55" s="83">
        <f t="shared" si="2"/>
        <v>33.436799999999998</v>
      </c>
      <c r="T55" s="93" t="s">
        <v>108</v>
      </c>
      <c r="U55" s="130" t="s">
        <v>560</v>
      </c>
      <c r="W55" s="110">
        <v>42690</v>
      </c>
      <c r="X55" s="9">
        <v>34.85</v>
      </c>
      <c r="Y55" s="9">
        <v>35.11</v>
      </c>
      <c r="Z55" s="9">
        <v>34.68</v>
      </c>
      <c r="AA55" s="9">
        <v>34.71</v>
      </c>
      <c r="AB55" s="104">
        <v>1946200</v>
      </c>
      <c r="AC55" s="9">
        <v>34.520000000000003</v>
      </c>
      <c r="AD55" s="40">
        <f t="shared" si="0"/>
        <v>0.42999999999999972</v>
      </c>
      <c r="AE55" s="162">
        <f t="shared" si="1"/>
        <v>-1.1737761236759181E-2</v>
      </c>
    </row>
    <row r="56" spans="1:31" x14ac:dyDescent="0.25">
      <c r="A56" s="381"/>
      <c r="B56" s="381"/>
      <c r="C56" s="381"/>
      <c r="D56" s="382"/>
      <c r="E56" s="382"/>
      <c r="F56" s="382"/>
      <c r="G56" s="381"/>
      <c r="H56" s="381"/>
      <c r="I56" s="382"/>
      <c r="J56" s="382"/>
      <c r="K56" s="382"/>
      <c r="L56" s="381"/>
      <c r="M56" s="381"/>
      <c r="O56" s="83">
        <v>0.95</v>
      </c>
      <c r="P56" s="83">
        <f t="shared" si="2"/>
        <v>33.088499999999996</v>
      </c>
      <c r="T56" s="93" t="s">
        <v>111</v>
      </c>
      <c r="U56" s="130">
        <v>25.64</v>
      </c>
      <c r="W56" s="110">
        <v>42689</v>
      </c>
      <c r="X56" s="9">
        <v>34.979999999999997</v>
      </c>
      <c r="Y56" s="9">
        <v>35.229999999999997</v>
      </c>
      <c r="Z56" s="9">
        <v>34.82</v>
      </c>
      <c r="AA56" s="9">
        <v>35.130000000000003</v>
      </c>
      <c r="AB56" s="104">
        <v>2193600</v>
      </c>
      <c r="AC56" s="9">
        <v>34.93</v>
      </c>
      <c r="AD56" s="40">
        <f t="shared" si="0"/>
        <v>0.40999999999999659</v>
      </c>
      <c r="AE56" s="162">
        <f t="shared" si="1"/>
        <v>1.7206767995412431E-3</v>
      </c>
    </row>
    <row r="57" spans="1:31" x14ac:dyDescent="0.25">
      <c r="A57" s="381"/>
      <c r="B57" s="381"/>
      <c r="C57" s="381"/>
      <c r="D57" s="382"/>
      <c r="E57" s="382"/>
      <c r="F57" s="382"/>
      <c r="G57" s="381"/>
      <c r="H57" s="381"/>
      <c r="I57" s="382"/>
      <c r="J57" s="382"/>
      <c r="K57" s="382"/>
      <c r="L57" s="381"/>
      <c r="M57" s="381"/>
      <c r="O57" s="83">
        <v>0.94</v>
      </c>
      <c r="P57" s="83">
        <f t="shared" si="2"/>
        <v>32.740199999999994</v>
      </c>
      <c r="T57" s="93" t="s">
        <v>112</v>
      </c>
      <c r="U57" s="130">
        <v>1.36</v>
      </c>
      <c r="W57" s="110">
        <v>42688</v>
      </c>
      <c r="X57" s="9">
        <v>35.11</v>
      </c>
      <c r="Y57" s="9">
        <v>35.33</v>
      </c>
      <c r="Z57" s="9">
        <v>34.81</v>
      </c>
      <c r="AA57" s="9">
        <v>35.07</v>
      </c>
      <c r="AB57" s="104">
        <v>3034900</v>
      </c>
      <c r="AC57" s="9">
        <v>34.869999999999997</v>
      </c>
      <c r="AD57" s="40">
        <f t="shared" si="0"/>
        <v>0.51999999999999602</v>
      </c>
      <c r="AE57" s="162">
        <f t="shared" si="1"/>
        <v>-1.1341083073433622E-2</v>
      </c>
    </row>
    <row r="58" spans="1:31" x14ac:dyDescent="0.25">
      <c r="A58" s="381"/>
      <c r="B58" s="381"/>
      <c r="C58" s="381"/>
      <c r="D58" s="382"/>
      <c r="E58" s="382"/>
      <c r="F58" s="382"/>
      <c r="G58" s="381"/>
      <c r="H58" s="385"/>
      <c r="I58" s="382"/>
      <c r="J58" s="382"/>
      <c r="K58" s="382"/>
      <c r="L58" s="381"/>
      <c r="M58" s="381"/>
      <c r="O58" s="83">
        <v>0.93</v>
      </c>
      <c r="P58" s="83">
        <f t="shared" si="2"/>
        <v>32.3919</v>
      </c>
      <c r="T58" s="93" t="s">
        <v>109</v>
      </c>
      <c r="U58" s="130" t="s">
        <v>356</v>
      </c>
      <c r="W58" s="110">
        <v>42685</v>
      </c>
      <c r="X58" s="9">
        <v>34.94</v>
      </c>
      <c r="Y58" s="9">
        <v>35.68</v>
      </c>
      <c r="Z58" s="9">
        <v>34.32</v>
      </c>
      <c r="AA58" s="9">
        <v>35.47</v>
      </c>
      <c r="AB58" s="104">
        <v>2641800</v>
      </c>
      <c r="AC58" s="9">
        <v>35.270000000000003</v>
      </c>
      <c r="AD58" s="40">
        <f t="shared" si="0"/>
        <v>1.3599999999999994</v>
      </c>
      <c r="AE58" s="162">
        <f t="shared" si="1"/>
        <v>1.5548517132162543E-2</v>
      </c>
    </row>
    <row r="59" spans="1:31" x14ac:dyDescent="0.25">
      <c r="A59" s="22" t="s">
        <v>81</v>
      </c>
      <c r="B59" s="12"/>
      <c r="C59" s="12">
        <f>SUM(C43:C58)</f>
        <v>100</v>
      </c>
      <c r="D59" s="13"/>
      <c r="E59" s="13"/>
      <c r="F59" s="13">
        <f>SUM(F43:F58)</f>
        <v>3118</v>
      </c>
      <c r="G59" s="12"/>
      <c r="H59" s="12">
        <f>SUM(H43:H48)</f>
        <v>100</v>
      </c>
      <c r="I59" s="13"/>
      <c r="J59" s="13"/>
      <c r="K59" s="13">
        <f>SUM(K43:K48)</f>
        <v>3364.92</v>
      </c>
      <c r="L59" s="12"/>
      <c r="M59" s="13">
        <f>SUM(M43:M46)</f>
        <v>18</v>
      </c>
      <c r="O59" s="83">
        <v>0.92</v>
      </c>
      <c r="P59" s="83">
        <f t="shared" si="2"/>
        <v>32.043599999999998</v>
      </c>
      <c r="W59" s="110">
        <v>42684</v>
      </c>
      <c r="X59" s="9">
        <v>37.119999999999997</v>
      </c>
      <c r="Y59" s="9">
        <v>37.14</v>
      </c>
      <c r="Z59" s="9">
        <v>34.76</v>
      </c>
      <c r="AA59" s="9">
        <v>34.92</v>
      </c>
      <c r="AB59" s="104">
        <v>5671000</v>
      </c>
      <c r="AC59" s="9">
        <v>34.729999999999997</v>
      </c>
      <c r="AD59" s="40">
        <f t="shared" si="0"/>
        <v>2.3800000000000026</v>
      </c>
      <c r="AE59" s="162">
        <f t="shared" si="1"/>
        <v>-8.7493431424067403E-2</v>
      </c>
    </row>
    <row r="60" spans="1:31" ht="15.75" thickBot="1" x14ac:dyDescent="0.3">
      <c r="A60" s="472"/>
      <c r="B60" s="473"/>
      <c r="C60" s="474"/>
      <c r="D60" s="474"/>
      <c r="E60" s="474"/>
      <c r="F60" s="475"/>
      <c r="G60" s="474"/>
      <c r="H60" s="474"/>
      <c r="I60" s="474"/>
      <c r="J60" s="474"/>
      <c r="K60" s="475"/>
      <c r="L60" s="474"/>
      <c r="M60" s="609"/>
      <c r="O60" s="83">
        <v>0.91</v>
      </c>
      <c r="P60" s="83">
        <f t="shared" si="2"/>
        <v>31.6953</v>
      </c>
      <c r="W60" s="110">
        <v>42683</v>
      </c>
      <c r="X60" s="9">
        <v>38.5</v>
      </c>
      <c r="Y60" s="9">
        <v>38.590000000000003</v>
      </c>
      <c r="Z60" s="9">
        <v>38.01</v>
      </c>
      <c r="AA60" s="9">
        <v>38.270000000000003</v>
      </c>
      <c r="AB60" s="104">
        <v>1534600</v>
      </c>
      <c r="AC60" s="9">
        <v>38.06</v>
      </c>
      <c r="AD60" s="40">
        <f t="shared" si="0"/>
        <v>0.5800000000000054</v>
      </c>
      <c r="AE60" s="162">
        <f t="shared" si="1"/>
        <v>-1.9577537351880392E-2</v>
      </c>
    </row>
    <row r="61" spans="1:31" x14ac:dyDescent="0.25">
      <c r="O61" s="83">
        <v>0.9</v>
      </c>
      <c r="P61" s="83">
        <f t="shared" si="2"/>
        <v>31.346999999999998</v>
      </c>
      <c r="W61" s="110">
        <v>42682</v>
      </c>
      <c r="X61" s="9">
        <v>38.31</v>
      </c>
      <c r="Y61" s="9">
        <v>39.35</v>
      </c>
      <c r="Z61" s="9">
        <v>38.31</v>
      </c>
      <c r="AA61" s="9">
        <v>39.04</v>
      </c>
      <c r="AB61" s="104">
        <v>1067900</v>
      </c>
      <c r="AC61" s="9">
        <v>38.82</v>
      </c>
      <c r="AD61" s="40">
        <f t="shared" si="0"/>
        <v>1.0399999999999991</v>
      </c>
      <c r="AE61" s="162">
        <f t="shared" si="1"/>
        <v>1.2519561815336422E-2</v>
      </c>
    </row>
    <row r="62" spans="1:31" x14ac:dyDescent="0.25">
      <c r="W62" s="110">
        <v>42681</v>
      </c>
      <c r="X62" s="9">
        <v>37.950000000000003</v>
      </c>
      <c r="Y62" s="9">
        <v>38.590000000000003</v>
      </c>
      <c r="Z62" s="9">
        <v>37.950000000000003</v>
      </c>
      <c r="AA62" s="9">
        <v>38.56</v>
      </c>
      <c r="AB62" s="104">
        <v>1236000</v>
      </c>
      <c r="AC62" s="9">
        <v>38.340000000000003</v>
      </c>
      <c r="AD62" s="40">
        <f t="shared" si="0"/>
        <v>0.64000000000000057</v>
      </c>
      <c r="AE62" s="162">
        <f t="shared" si="1"/>
        <v>1.6706443914081159E-2</v>
      </c>
    </row>
    <row r="63" spans="1:31" x14ac:dyDescent="0.25">
      <c r="W63" s="110">
        <v>42678</v>
      </c>
      <c r="X63" s="9">
        <v>38.159999999999997</v>
      </c>
      <c r="Y63" s="9">
        <v>38.36</v>
      </c>
      <c r="Z63" s="9">
        <v>37.82</v>
      </c>
      <c r="AA63" s="9">
        <v>37.92</v>
      </c>
      <c r="AB63" s="104">
        <v>1528900</v>
      </c>
      <c r="AC63" s="9">
        <v>37.71</v>
      </c>
      <c r="AD63" s="40">
        <f t="shared" si="0"/>
        <v>0.53999999999999915</v>
      </c>
      <c r="AE63" s="162">
        <f t="shared" si="1"/>
        <v>-2.10280373831776E-2</v>
      </c>
    </row>
    <row r="64" spans="1:31" x14ac:dyDescent="0.25">
      <c r="W64" s="110">
        <v>42677</v>
      </c>
      <c r="X64" s="9">
        <v>38.61</v>
      </c>
      <c r="Y64" s="9">
        <v>38.94</v>
      </c>
      <c r="Z64" s="9">
        <v>38.53</v>
      </c>
      <c r="AA64" s="9">
        <v>38.74</v>
      </c>
      <c r="AB64" s="104">
        <v>1466900</v>
      </c>
      <c r="AC64" s="9">
        <v>38.520000000000003</v>
      </c>
      <c r="AD64" s="40">
        <f t="shared" si="0"/>
        <v>0.40999999999999659</v>
      </c>
      <c r="AE64" s="162">
        <f t="shared" si="1"/>
        <v>-2.5953802232026035E-4</v>
      </c>
    </row>
    <row r="65" spans="1:31" x14ac:dyDescent="0.25">
      <c r="B65" s="4"/>
      <c r="C65" s="4"/>
      <c r="D65" s="3"/>
      <c r="E65" s="3"/>
      <c r="F65" s="3"/>
      <c r="G65" s="4"/>
      <c r="H65" s="4"/>
      <c r="I65" s="3"/>
      <c r="U65" s="86" t="str">
        <f>MID(U58,FIND("(",U58)+1,6)</f>
        <v>3.42%)</v>
      </c>
      <c r="W65" s="110">
        <v>42676</v>
      </c>
      <c r="X65" s="9">
        <v>38.43</v>
      </c>
      <c r="Y65" s="9">
        <v>38.880000000000003</v>
      </c>
      <c r="Z65" s="9">
        <v>38.369999999999997</v>
      </c>
      <c r="AA65" s="9">
        <v>38.75</v>
      </c>
      <c r="AB65" s="104">
        <v>969300</v>
      </c>
      <c r="AC65" s="9">
        <v>38.53</v>
      </c>
      <c r="AD65" s="40">
        <f t="shared" si="0"/>
        <v>0.51000000000000512</v>
      </c>
      <c r="AE65" s="162">
        <f t="shared" si="1"/>
        <v>5.4801670146138459E-3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M66" s="4"/>
      <c r="N66" s="4"/>
      <c r="W66" s="110">
        <v>42675</v>
      </c>
      <c r="X66" s="9">
        <v>38.19</v>
      </c>
      <c r="Y66" s="9">
        <v>38.54</v>
      </c>
      <c r="Z66" s="9">
        <v>38.08</v>
      </c>
      <c r="AA66" s="9">
        <v>38.53</v>
      </c>
      <c r="AB66" s="104">
        <v>1433100</v>
      </c>
      <c r="AC66" s="9">
        <v>38.32</v>
      </c>
      <c r="AD66" s="40">
        <f t="shared" si="0"/>
        <v>0.46000000000000085</v>
      </c>
      <c r="AE66" s="162">
        <f t="shared" si="1"/>
        <v>2.3541721161393081E-3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M67" s="4"/>
      <c r="N67" s="4"/>
      <c r="W67" s="110">
        <v>42674</v>
      </c>
      <c r="X67" s="9">
        <v>38.28</v>
      </c>
      <c r="Y67" s="9">
        <v>38.5</v>
      </c>
      <c r="Z67" s="9">
        <v>38.17</v>
      </c>
      <c r="AA67" s="9">
        <v>38.44</v>
      </c>
      <c r="AB67" s="104">
        <v>773500</v>
      </c>
      <c r="AC67" s="9">
        <v>38.229999999999997</v>
      </c>
      <c r="AD67" s="40">
        <f>Y67-Z67</f>
        <v>0.32999999999999829</v>
      </c>
      <c r="AE67" s="162">
        <f>AC67/AC68-1</f>
        <v>5.2590060478567846E-3</v>
      </c>
    </row>
    <row r="68" spans="1:31" x14ac:dyDescent="0.25">
      <c r="A68" s="4"/>
      <c r="B68" s="431"/>
      <c r="C68" s="431"/>
      <c r="D68" s="601"/>
      <c r="E68" s="601"/>
      <c r="F68" s="601"/>
      <c r="G68" s="431"/>
      <c r="H68" s="431"/>
      <c r="I68" s="601"/>
      <c r="J68" s="3"/>
      <c r="K68" s="3"/>
      <c r="L68" s="4"/>
      <c r="M68" s="3"/>
      <c r="N68" s="4"/>
      <c r="W68" s="110">
        <v>42671</v>
      </c>
      <c r="X68" s="9">
        <v>38.26</v>
      </c>
      <c r="Y68" s="9">
        <v>38.369999999999997</v>
      </c>
      <c r="Z68" s="9">
        <v>37.97</v>
      </c>
      <c r="AA68" s="9">
        <v>38.24</v>
      </c>
      <c r="AB68" s="104">
        <v>828900</v>
      </c>
      <c r="AC68" s="9">
        <v>38.03</v>
      </c>
      <c r="AD68" s="40">
        <f>Y68-Z68</f>
        <v>0.39999999999999858</v>
      </c>
      <c r="AE68" s="162" t="e">
        <f>AC68/AC69-1</f>
        <v>#DIV/0!</v>
      </c>
    </row>
    <row r="69" spans="1:31" x14ac:dyDescent="0.25">
      <c r="A69" s="431"/>
      <c r="B69" s="74"/>
      <c r="C69" s="4"/>
      <c r="D69" s="3"/>
      <c r="E69" s="3"/>
      <c r="F69" s="3"/>
      <c r="G69" s="74"/>
      <c r="H69" s="185"/>
      <c r="I69" s="3"/>
      <c r="J69" s="601"/>
      <c r="K69" s="601"/>
      <c r="L69" s="431"/>
      <c r="M69" s="431"/>
      <c r="N69" s="4"/>
      <c r="W69" s="110" t="s">
        <v>121</v>
      </c>
      <c r="X69" s="9"/>
      <c r="Y69" s="9"/>
      <c r="Z69" s="9"/>
      <c r="AA69" s="9"/>
      <c r="AB69" s="104"/>
      <c r="AC69" s="9"/>
      <c r="AD69" s="40">
        <f>Y69-Z69</f>
        <v>0</v>
      </c>
      <c r="AE69" s="162" t="e">
        <f>AC69/AC70-1</f>
        <v>#DIV/0!</v>
      </c>
    </row>
    <row r="70" spans="1:31" x14ac:dyDescent="0.25">
      <c r="A70" s="602"/>
      <c r="B70" s="74"/>
      <c r="C70" s="4"/>
      <c r="D70" s="3"/>
      <c r="E70" s="3"/>
      <c r="F70" s="3"/>
      <c r="G70" s="74"/>
      <c r="H70" s="185"/>
      <c r="I70" s="3"/>
      <c r="J70" s="3"/>
      <c r="K70" s="3"/>
      <c r="L70" s="4"/>
      <c r="M70" s="4"/>
      <c r="N70" s="4"/>
    </row>
    <row r="71" spans="1:31" x14ac:dyDescent="0.25">
      <c r="A71" s="603"/>
      <c r="B71" s="74"/>
      <c r="C71" s="4"/>
      <c r="D71" s="3"/>
      <c r="E71" s="3"/>
      <c r="F71" s="3"/>
      <c r="G71" s="74"/>
      <c r="H71" s="185"/>
      <c r="I71" s="3"/>
      <c r="J71" s="3"/>
      <c r="K71" s="3"/>
      <c r="L71" s="4"/>
      <c r="M71" s="4"/>
      <c r="N71" s="4"/>
    </row>
    <row r="72" spans="1:31" x14ac:dyDescent="0.25">
      <c r="A72" s="4"/>
      <c r="B72" s="74"/>
      <c r="C72" s="4"/>
      <c r="D72" s="3"/>
      <c r="E72" s="3"/>
      <c r="F72" s="3"/>
      <c r="G72" s="4"/>
      <c r="H72" s="185"/>
      <c r="I72" s="3"/>
      <c r="J72" s="3"/>
      <c r="K72" s="3"/>
      <c r="L72" s="4"/>
      <c r="M72" s="4"/>
      <c r="N72" s="4"/>
    </row>
    <row r="73" spans="1:31" x14ac:dyDescent="0.25">
      <c r="A73" s="4"/>
      <c r="B73" s="4"/>
      <c r="C73" s="4"/>
      <c r="D73" s="3"/>
      <c r="E73" s="3"/>
      <c r="F73" s="3"/>
      <c r="G73" s="4"/>
      <c r="H73" s="185"/>
      <c r="I73" s="3"/>
      <c r="J73" s="3"/>
      <c r="K73" s="3"/>
      <c r="L73" s="4"/>
      <c r="M73" s="4"/>
      <c r="N73" s="4"/>
    </row>
    <row r="74" spans="1:31" x14ac:dyDescent="0.25">
      <c r="A74" s="4"/>
      <c r="B74" s="4"/>
      <c r="C74" s="4"/>
      <c r="D74" s="3"/>
      <c r="E74" s="3"/>
      <c r="F74" s="3"/>
      <c r="G74" s="4"/>
      <c r="H74" s="185"/>
      <c r="I74" s="3"/>
      <c r="J74" s="3"/>
      <c r="K74" s="3"/>
      <c r="L74" s="4"/>
      <c r="M74" s="4"/>
      <c r="N74" s="4"/>
    </row>
    <row r="75" spans="1:31" x14ac:dyDescent="0.25">
      <c r="A75" s="4"/>
      <c r="B75" s="4"/>
      <c r="C75" s="4"/>
      <c r="D75" s="3"/>
      <c r="E75" s="3"/>
      <c r="F75" s="3"/>
      <c r="G75" s="4"/>
      <c r="H75" s="185"/>
      <c r="I75" s="3"/>
      <c r="J75" s="3"/>
      <c r="K75" s="3"/>
      <c r="L75" s="4"/>
      <c r="M75" s="4"/>
      <c r="N75" s="4"/>
    </row>
    <row r="76" spans="1:31" x14ac:dyDescent="0.25">
      <c r="A76" s="4"/>
      <c r="B76" s="4"/>
      <c r="C76" s="4"/>
      <c r="D76" s="3"/>
      <c r="E76" s="3"/>
      <c r="F76" s="3"/>
      <c r="G76" s="4"/>
      <c r="H76" s="185"/>
      <c r="I76" s="3"/>
      <c r="J76" s="3"/>
      <c r="K76" s="3"/>
      <c r="L76" s="4"/>
      <c r="M76" s="4"/>
      <c r="N76" s="4"/>
    </row>
    <row r="77" spans="1:31" x14ac:dyDescent="0.25">
      <c r="A77" s="4"/>
      <c r="B77" s="4"/>
      <c r="C77" s="4"/>
      <c r="D77" s="3"/>
      <c r="E77" s="3"/>
      <c r="F77" s="3"/>
      <c r="G77" s="4"/>
      <c r="H77" s="4"/>
      <c r="I77" s="3"/>
      <c r="J77" s="3"/>
      <c r="K77" s="3"/>
      <c r="L77" s="4"/>
      <c r="M77" s="4"/>
      <c r="N77" s="4"/>
    </row>
    <row r="78" spans="1:31" x14ac:dyDescent="0.25">
      <c r="A78" s="4"/>
      <c r="B78" s="4"/>
      <c r="C78" s="4"/>
      <c r="D78" s="3"/>
      <c r="E78" s="3"/>
      <c r="F78" s="3"/>
      <c r="G78" s="4"/>
      <c r="H78" s="4"/>
      <c r="I78" s="3"/>
      <c r="J78" s="3"/>
      <c r="K78" s="3"/>
      <c r="L78" s="4"/>
      <c r="M78" s="4"/>
      <c r="N78" s="4"/>
    </row>
    <row r="79" spans="1:31" x14ac:dyDescent="0.25">
      <c r="A79" s="4"/>
      <c r="B79" s="4"/>
      <c r="C79" s="4"/>
      <c r="D79" s="3"/>
      <c r="E79" s="3"/>
      <c r="F79" s="3"/>
      <c r="G79" s="4"/>
      <c r="H79" s="4"/>
      <c r="I79" s="3"/>
      <c r="J79" s="3"/>
      <c r="K79" s="3"/>
      <c r="L79" s="4"/>
      <c r="M79" s="4"/>
      <c r="N79" s="4"/>
    </row>
    <row r="80" spans="1:31" x14ac:dyDescent="0.25">
      <c r="A80" s="4"/>
      <c r="B80" s="4"/>
      <c r="C80" s="4"/>
      <c r="D80" s="3"/>
      <c r="E80" s="3"/>
      <c r="F80" s="3"/>
      <c r="G80" s="4"/>
      <c r="H80" s="4"/>
      <c r="I80" s="3"/>
      <c r="J80" s="3"/>
      <c r="K80" s="3"/>
      <c r="L80" s="4"/>
      <c r="M80" s="4"/>
      <c r="N80" s="4"/>
    </row>
    <row r="81" spans="1:14" x14ac:dyDescent="0.25">
      <c r="A81" s="4"/>
      <c r="B81" s="4"/>
      <c r="C81" s="4"/>
      <c r="D81" s="3"/>
      <c r="E81" s="3"/>
      <c r="F81" s="3"/>
      <c r="G81" s="4"/>
      <c r="H81" s="4"/>
      <c r="I81" s="3"/>
      <c r="J81" s="3"/>
      <c r="K81" s="3"/>
      <c r="L81" s="4"/>
      <c r="M81" s="4"/>
      <c r="N81" s="4"/>
    </row>
    <row r="82" spans="1:14" x14ac:dyDescent="0.25">
      <c r="A82" s="4"/>
      <c r="B82" s="4"/>
      <c r="C82" s="4"/>
      <c r="D82" s="3"/>
      <c r="E82" s="3"/>
      <c r="F82" s="3"/>
      <c r="G82" s="4"/>
      <c r="H82" s="4"/>
      <c r="I82" s="3"/>
      <c r="J82" s="3"/>
      <c r="K82" s="3"/>
      <c r="L82" s="4"/>
      <c r="M82" s="4"/>
      <c r="N82" s="4"/>
    </row>
    <row r="83" spans="1:14" x14ac:dyDescent="0.25">
      <c r="A83" s="4"/>
      <c r="B83" s="4"/>
      <c r="C83" s="4"/>
      <c r="D83" s="3"/>
      <c r="E83" s="3"/>
      <c r="F83" s="3"/>
      <c r="G83" s="4"/>
      <c r="H83" s="4"/>
      <c r="I83" s="3"/>
      <c r="J83" s="3"/>
      <c r="K83" s="3"/>
      <c r="L83" s="4"/>
      <c r="M83" s="4"/>
      <c r="N83" s="4"/>
    </row>
    <row r="84" spans="1:14" x14ac:dyDescent="0.25">
      <c r="A84" s="4"/>
      <c r="B84" s="4"/>
      <c r="C84" s="4"/>
      <c r="D84" s="3"/>
      <c r="E84" s="3"/>
      <c r="F84" s="3"/>
      <c r="G84" s="4"/>
      <c r="H84" s="4"/>
      <c r="I84" s="3"/>
      <c r="J84" s="3"/>
      <c r="K84" s="3"/>
      <c r="L84" s="4"/>
      <c r="M84" s="4"/>
      <c r="N84" s="4"/>
    </row>
    <row r="85" spans="1:14" x14ac:dyDescent="0.25">
      <c r="A85" s="4"/>
      <c r="J85" s="3"/>
      <c r="K85" s="3"/>
      <c r="L85" s="4"/>
      <c r="M85" s="4"/>
      <c r="N85" s="4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6 H27:H36">
    <cfRule type="expression" dxfId="903" priority="27">
      <formula>F27&gt;0</formula>
    </cfRule>
    <cfRule type="expression" dxfId="902" priority="28">
      <formula>F27&lt;0</formula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{11220D09-16D8-4B7C-A4A4-76E29025CB78}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Q8">
    <cfRule type="expression" dxfId="901" priority="15">
      <formula>Q8&gt;0</formula>
    </cfRule>
    <cfRule type="expression" dxfId="900" priority="16">
      <formula>Q8&lt;0</formula>
    </cfRule>
  </conditionalFormatting>
  <conditionalFormatting sqref="Q7">
    <cfRule type="expression" dxfId="899" priority="17">
      <formula>Q7&gt;0</formula>
    </cfRule>
    <cfRule type="expression" dxfId="898" priority="18">
      <formula>Q7&lt;0</formula>
    </cfRule>
  </conditionalFormatting>
  <conditionalFormatting sqref="F37:F38">
    <cfRule type="expression" dxfId="897" priority="13">
      <formula>F37&gt;0</formula>
    </cfRule>
    <cfRule type="expression" dxfId="896" priority="14">
      <formula>F37&lt;0</formula>
    </cfRule>
  </conditionalFormatting>
  <conditionalFormatting sqref="H37:H38">
    <cfRule type="expression" dxfId="895" priority="11">
      <formula>H37&gt;0</formula>
    </cfRule>
    <cfRule type="expression" dxfId="894" priority="12">
      <formula>H37&lt;0</formula>
    </cfRule>
  </conditionalFormatting>
  <conditionalFormatting sqref="F23:F26 H23:H26">
    <cfRule type="expression" dxfId="893" priority="9">
      <formula>F23&gt;0</formula>
    </cfRule>
    <cfRule type="expression" dxfId="892" priority="10">
      <formula>F23&lt;0</formula>
    </cfRule>
  </conditionalFormatting>
  <conditionalFormatting sqref="Q10">
    <cfRule type="expression" dxfId="891" priority="3">
      <formula>Q10&gt;0</formula>
    </cfRule>
    <cfRule type="expression" dxfId="890" priority="4">
      <formula>Q10&lt;0</formula>
    </cfRule>
  </conditionalFormatting>
  <conditionalFormatting sqref="F22 H22">
    <cfRule type="expression" dxfId="889" priority="1">
      <formula>F22&gt;0</formula>
    </cfRule>
    <cfRule type="expression" dxfId="888" priority="2">
      <formula>F22&lt;0</formula>
    </cfRule>
  </conditionalFormatting>
  <conditionalFormatting sqref="M41">
    <cfRule type="expression" dxfId="887" priority="5">
      <formula>M41&gt;0</formula>
    </cfRule>
    <cfRule type="expression" dxfId="886" priority="6">
      <formula>M41&lt;0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1220D09-16D8-4B7C-A4A4-76E29025CB7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AE28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3.7109375" customWidth="1"/>
    <col min="21" max="21" width="18.5703125" customWidth="1"/>
    <col min="22" max="22" width="8.14062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321</v>
      </c>
      <c r="B2" s="74">
        <v>42711</v>
      </c>
      <c r="C2" s="4">
        <v>20</v>
      </c>
      <c r="D2" s="3">
        <v>55.06</v>
      </c>
      <c r="E2" s="3">
        <v>0</v>
      </c>
      <c r="F2" s="3">
        <f>C2*D2+E2</f>
        <v>1101.2</v>
      </c>
      <c r="G2" s="74"/>
      <c r="H2" s="185"/>
      <c r="I2" s="3"/>
      <c r="J2" s="3"/>
      <c r="K2" s="3"/>
      <c r="L2" s="74">
        <v>42768</v>
      </c>
      <c r="M2" s="44">
        <v>7.8</v>
      </c>
      <c r="O2" s="11" t="s">
        <v>57</v>
      </c>
      <c r="Q2">
        <f>C18-H18</f>
        <v>120</v>
      </c>
      <c r="T2" s="1"/>
      <c r="W2" s="133">
        <v>42768</v>
      </c>
      <c r="X2" s="10">
        <v>49.35</v>
      </c>
      <c r="Y2" s="10">
        <v>50.89</v>
      </c>
      <c r="Z2" s="10">
        <v>49.27</v>
      </c>
      <c r="AA2" s="10">
        <v>50.5</v>
      </c>
      <c r="AB2" s="95">
        <v>18576800</v>
      </c>
      <c r="AC2" s="10">
        <v>50.5</v>
      </c>
      <c r="AD2" s="2">
        <f>Y2-Z2</f>
        <v>1.6199999999999974</v>
      </c>
      <c r="AE2" s="138">
        <f>AC2/AC3-1</f>
        <v>2.4548589977683166E-2</v>
      </c>
    </row>
    <row r="3" spans="1:31" x14ac:dyDescent="0.25">
      <c r="A3" s="23" t="s">
        <v>71</v>
      </c>
      <c r="B3" s="503">
        <v>42755</v>
      </c>
      <c r="C3" s="4">
        <v>20</v>
      </c>
      <c r="D3" s="3">
        <v>51.33</v>
      </c>
      <c r="E3" s="3">
        <v>0</v>
      </c>
      <c r="F3" s="3">
        <f>C3*D3+E3</f>
        <v>1026.5999999999999</v>
      </c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50.65</v>
      </c>
      <c r="T3" s="1"/>
      <c r="W3" s="133">
        <v>42767</v>
      </c>
      <c r="X3" s="10">
        <v>49.13</v>
      </c>
      <c r="Y3" s="10">
        <v>49.32</v>
      </c>
      <c r="Z3" s="10">
        <v>48.32</v>
      </c>
      <c r="AA3" s="10">
        <v>49.29</v>
      </c>
      <c r="AB3" s="95">
        <v>16021900</v>
      </c>
      <c r="AC3" s="10">
        <v>49.29</v>
      </c>
      <c r="AD3" s="2">
        <f t="shared" ref="AD3:AD66" si="0">Y3-Z3</f>
        <v>1</v>
      </c>
      <c r="AE3" s="138">
        <f t="shared" ref="AE3:AE66" si="1">AC3/AC4-1</f>
        <v>2.6444263628966347E-3</v>
      </c>
    </row>
    <row r="4" spans="1:31" x14ac:dyDescent="0.25">
      <c r="B4" s="503">
        <v>42755</v>
      </c>
      <c r="C4">
        <v>20</v>
      </c>
      <c r="D4" s="2">
        <v>51.44</v>
      </c>
      <c r="E4" s="2">
        <v>0</v>
      </c>
      <c r="F4" s="3">
        <f>C4*D4+E4</f>
        <v>1028.8</v>
      </c>
      <c r="G4" s="4"/>
      <c r="H4" s="185"/>
      <c r="I4" s="3"/>
      <c r="J4" s="3"/>
      <c r="K4" s="3"/>
      <c r="L4" s="4"/>
      <c r="O4" s="11" t="s">
        <v>66</v>
      </c>
      <c r="Q4" s="55">
        <v>50.78</v>
      </c>
      <c r="R4" s="505">
        <v>5.4999999999999997E-3</v>
      </c>
      <c r="T4" s="163"/>
      <c r="U4" s="1"/>
      <c r="W4" s="133">
        <v>42766</v>
      </c>
      <c r="X4" s="10">
        <v>48.4</v>
      </c>
      <c r="Y4" s="10">
        <v>49.42</v>
      </c>
      <c r="Z4" s="10">
        <v>48.21</v>
      </c>
      <c r="AA4" s="10">
        <v>49.16</v>
      </c>
      <c r="AB4" s="95">
        <v>15094000</v>
      </c>
      <c r="AC4" s="10">
        <v>49.16</v>
      </c>
      <c r="AD4" s="2">
        <f t="shared" si="0"/>
        <v>1.2100000000000009</v>
      </c>
      <c r="AE4" s="138">
        <f t="shared" si="1"/>
        <v>9.6529061408914263E-3</v>
      </c>
    </row>
    <row r="5" spans="1:31" x14ac:dyDescent="0.25">
      <c r="B5" s="503">
        <v>42755</v>
      </c>
      <c r="C5" s="4">
        <v>40</v>
      </c>
      <c r="D5" s="3">
        <v>49.68</v>
      </c>
      <c r="E5" s="3">
        <v>0</v>
      </c>
      <c r="F5" s="3">
        <f>C5*D5+E5</f>
        <v>1987.2</v>
      </c>
      <c r="G5" s="4"/>
      <c r="H5" s="185"/>
      <c r="I5" s="3"/>
      <c r="J5" s="3"/>
      <c r="K5" s="3"/>
      <c r="L5" s="4"/>
      <c r="O5" s="11" t="s">
        <v>67</v>
      </c>
      <c r="Q5" s="3">
        <f>Q4*Q2</f>
        <v>6093.6</v>
      </c>
      <c r="W5" s="133">
        <v>42765</v>
      </c>
      <c r="X5" s="10">
        <v>48.22</v>
      </c>
      <c r="Y5" s="10">
        <v>49.1</v>
      </c>
      <c r="Z5" s="10">
        <v>47.96</v>
      </c>
      <c r="AA5" s="10">
        <v>48.69</v>
      </c>
      <c r="AB5" s="95">
        <v>15738200</v>
      </c>
      <c r="AC5" s="10">
        <v>48.69</v>
      </c>
      <c r="AD5" s="2">
        <f t="shared" si="0"/>
        <v>1.1400000000000006</v>
      </c>
      <c r="AE5" s="138">
        <f t="shared" si="1"/>
        <v>1.989945538332627E-2</v>
      </c>
    </row>
    <row r="6" spans="1:31" x14ac:dyDescent="0.25">
      <c r="B6" s="503">
        <v>42761</v>
      </c>
      <c r="C6" s="4">
        <v>20</v>
      </c>
      <c r="D6" s="3">
        <v>47.1</v>
      </c>
      <c r="E6" s="3">
        <v>0</v>
      </c>
      <c r="F6" s="3">
        <f>C6*D6+E6</f>
        <v>942</v>
      </c>
      <c r="G6" s="4"/>
      <c r="H6" s="185"/>
      <c r="I6" s="3"/>
      <c r="J6" s="3"/>
      <c r="K6" s="3"/>
      <c r="L6" s="4"/>
      <c r="O6" s="11" t="s">
        <v>64</v>
      </c>
      <c r="Q6" s="2">
        <f>Q3*Q2</f>
        <v>6078</v>
      </c>
      <c r="W6" s="133">
        <v>42762</v>
      </c>
      <c r="X6" s="10">
        <v>47.26</v>
      </c>
      <c r="Y6" s="10">
        <v>48.62</v>
      </c>
      <c r="Z6" s="10">
        <v>47.12</v>
      </c>
      <c r="AA6" s="10">
        <v>47.74</v>
      </c>
      <c r="AB6" s="95">
        <v>22918700</v>
      </c>
      <c r="AC6" s="10">
        <v>47.74</v>
      </c>
      <c r="AD6" s="2">
        <f t="shared" si="0"/>
        <v>1.5</v>
      </c>
      <c r="AE6" s="138">
        <f t="shared" si="1"/>
        <v>1.9649722340880027E-2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181</v>
      </c>
      <c r="Q7" s="2">
        <f>Q10+Q8</f>
        <v>362.54000000000087</v>
      </c>
      <c r="R7">
        <v>20</v>
      </c>
      <c r="W7" s="133">
        <v>42761</v>
      </c>
      <c r="X7" s="10">
        <v>48.59</v>
      </c>
      <c r="Y7" s="10">
        <v>49.51</v>
      </c>
      <c r="Z7" s="10">
        <v>46.01</v>
      </c>
      <c r="AA7" s="10">
        <v>46.82</v>
      </c>
      <c r="AB7" s="95">
        <v>44800800</v>
      </c>
      <c r="AC7" s="10">
        <v>46.82</v>
      </c>
      <c r="AD7" s="2">
        <f t="shared" si="0"/>
        <v>3.5</v>
      </c>
      <c r="AE7" s="138">
        <f t="shared" si="1"/>
        <v>-5.5095862764883874E-2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184</v>
      </c>
      <c r="P8" s="34"/>
      <c r="Q8" s="2">
        <f>K18+M18-F18+Q2*Q4</f>
        <v>15.600000000000364</v>
      </c>
      <c r="W8" s="133">
        <v>42760</v>
      </c>
      <c r="X8" s="10">
        <v>49.34</v>
      </c>
      <c r="Y8" s="10">
        <v>49.57</v>
      </c>
      <c r="Z8" s="10">
        <v>48.8</v>
      </c>
      <c r="AA8" s="10">
        <v>49.55</v>
      </c>
      <c r="AB8" s="95">
        <v>15978500</v>
      </c>
      <c r="AC8" s="10">
        <v>49.55</v>
      </c>
      <c r="AD8" s="2">
        <f t="shared" si="0"/>
        <v>0.77000000000000313</v>
      </c>
      <c r="AE8" s="138">
        <f t="shared" si="1"/>
        <v>1.2050653594771088E-2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O9" s="11" t="s">
        <v>214</v>
      </c>
      <c r="Q9" s="138">
        <f>IF(Q2=0, 0, Q8/Q6)</f>
        <v>2.5666337611056867E-3</v>
      </c>
      <c r="W9" s="133">
        <v>42759</v>
      </c>
      <c r="X9" s="10">
        <v>50.05</v>
      </c>
      <c r="Y9" s="10">
        <v>50.14</v>
      </c>
      <c r="Z9" s="10">
        <v>48.93</v>
      </c>
      <c r="AA9" s="10">
        <v>48.96</v>
      </c>
      <c r="AB9" s="95">
        <v>17172800</v>
      </c>
      <c r="AC9" s="10">
        <v>48.96</v>
      </c>
      <c r="AD9" s="2">
        <f t="shared" si="0"/>
        <v>1.2100000000000009</v>
      </c>
      <c r="AE9" s="138">
        <f t="shared" si="1"/>
        <v>-2.079999999999993E-2</v>
      </c>
    </row>
    <row r="10" spans="1:31" x14ac:dyDescent="0.25">
      <c r="B10" s="4"/>
      <c r="C10" s="4"/>
      <c r="D10" s="3"/>
      <c r="E10" s="3"/>
      <c r="F10" s="3"/>
      <c r="G10" s="4"/>
      <c r="H10" s="185"/>
      <c r="I10" s="3"/>
      <c r="J10" s="3"/>
      <c r="K10" s="3"/>
      <c r="L10" s="4"/>
      <c r="O10" s="11" t="s">
        <v>213</v>
      </c>
      <c r="P10" s="34"/>
      <c r="Q10" s="2">
        <f>M46</f>
        <v>346.94000000000051</v>
      </c>
      <c r="W10" s="133">
        <v>42758</v>
      </c>
      <c r="X10" s="10">
        <v>49.53</v>
      </c>
      <c r="Y10" s="10">
        <v>50.31</v>
      </c>
      <c r="Z10" s="10">
        <v>49.15</v>
      </c>
      <c r="AA10" s="10">
        <v>50</v>
      </c>
      <c r="AB10" s="95">
        <v>23886100</v>
      </c>
      <c r="AC10" s="10">
        <v>50</v>
      </c>
      <c r="AD10" s="2">
        <f t="shared" si="0"/>
        <v>1.1600000000000037</v>
      </c>
      <c r="AE10" s="138">
        <f t="shared" si="1"/>
        <v>1.5640869388584333E-2</v>
      </c>
    </row>
    <row r="11" spans="1:31" x14ac:dyDescent="0.25">
      <c r="B11" s="4"/>
      <c r="C11" s="4"/>
      <c r="D11" s="3"/>
      <c r="E11" s="3"/>
      <c r="F11" s="3"/>
      <c r="G11" s="4"/>
      <c r="H11" s="185"/>
      <c r="I11" s="3"/>
      <c r="J11" s="3"/>
      <c r="K11" s="3"/>
      <c r="L11" s="4"/>
      <c r="O11" s="11" t="s">
        <v>178</v>
      </c>
      <c r="P11" s="34"/>
      <c r="Q11" s="138">
        <f>IF(U58="N/A (N/A)", 0, VALUE(TRIM(CLEAN(MID(U58, FIND("(", U58)+1, 5)))))</f>
        <v>3.1699999999999999E-2</v>
      </c>
      <c r="W11" s="133">
        <v>42755</v>
      </c>
      <c r="X11" s="10">
        <v>55.49</v>
      </c>
      <c r="Y11" s="10">
        <v>55.49</v>
      </c>
      <c r="Z11" s="10">
        <v>48.92</v>
      </c>
      <c r="AA11" s="10">
        <v>49.23</v>
      </c>
      <c r="AB11" s="95">
        <v>77021200</v>
      </c>
      <c r="AC11" s="10">
        <v>49.23</v>
      </c>
      <c r="AD11" s="2">
        <f t="shared" si="0"/>
        <v>6.57</v>
      </c>
      <c r="AE11" s="138">
        <f t="shared" si="1"/>
        <v>-0.1128131194809876</v>
      </c>
    </row>
    <row r="12" spans="1:31" x14ac:dyDescent="0.25">
      <c r="H12" s="72"/>
      <c r="W12" s="133">
        <v>42754</v>
      </c>
      <c r="X12" s="10">
        <v>56.1</v>
      </c>
      <c r="Y12" s="10">
        <v>56.31</v>
      </c>
      <c r="Z12" s="10">
        <v>55.34</v>
      </c>
      <c r="AA12" s="10">
        <v>55.49</v>
      </c>
      <c r="AB12" s="95">
        <v>7122300</v>
      </c>
      <c r="AC12" s="10">
        <v>55.49</v>
      </c>
      <c r="AD12" s="2">
        <f t="shared" si="0"/>
        <v>0.96999999999999886</v>
      </c>
      <c r="AE12" s="138">
        <f t="shared" si="1"/>
        <v>-1.0344212591403612E-2</v>
      </c>
    </row>
    <row r="13" spans="1:31" x14ac:dyDescent="0.25">
      <c r="H13" s="72"/>
      <c r="W13" s="133">
        <v>42753</v>
      </c>
      <c r="X13" s="10">
        <v>56.51</v>
      </c>
      <c r="Y13" s="10">
        <v>56.55</v>
      </c>
      <c r="Z13" s="10">
        <v>55.89</v>
      </c>
      <c r="AA13" s="10">
        <v>56.07</v>
      </c>
      <c r="AB13" s="95">
        <v>6639200</v>
      </c>
      <c r="AC13" s="10">
        <v>56.07</v>
      </c>
      <c r="AD13" s="2">
        <f t="shared" si="0"/>
        <v>0.65999999999999659</v>
      </c>
      <c r="AE13" s="138">
        <f t="shared" si="1"/>
        <v>-3.7313432835821558E-3</v>
      </c>
    </row>
    <row r="14" spans="1:31" x14ac:dyDescent="0.25">
      <c r="H14" s="72"/>
      <c r="W14" s="133">
        <v>42752</v>
      </c>
      <c r="X14" s="10">
        <v>55.89</v>
      </c>
      <c r="Y14" s="10">
        <v>56.58</v>
      </c>
      <c r="Z14" s="10">
        <v>55.21</v>
      </c>
      <c r="AA14" s="10">
        <v>56.28</v>
      </c>
      <c r="AB14" s="95">
        <v>10416300</v>
      </c>
      <c r="AC14" s="10">
        <v>56.28</v>
      </c>
      <c r="AD14" s="2">
        <f t="shared" si="0"/>
        <v>1.3699999999999974</v>
      </c>
      <c r="AE14" s="138">
        <f t="shared" si="1"/>
        <v>1.0672358591248265E-3</v>
      </c>
    </row>
    <row r="15" spans="1:31" x14ac:dyDescent="0.25">
      <c r="H15" s="72"/>
      <c r="W15" s="133">
        <v>42748</v>
      </c>
      <c r="X15" s="10">
        <v>56.56</v>
      </c>
      <c r="Y15" s="10">
        <v>56.73</v>
      </c>
      <c r="Z15" s="10">
        <v>56.05</v>
      </c>
      <c r="AA15" s="10">
        <v>56.22</v>
      </c>
      <c r="AB15" s="95">
        <v>7660200</v>
      </c>
      <c r="AC15" s="10">
        <v>56.22</v>
      </c>
      <c r="AD15" s="2">
        <f t="shared" si="0"/>
        <v>0.67999999999999972</v>
      </c>
      <c r="AE15" s="138">
        <f t="shared" si="1"/>
        <v>-5.8355437665782439E-3</v>
      </c>
    </row>
    <row r="16" spans="1:31" x14ac:dyDescent="0.25">
      <c r="H16" s="72"/>
      <c r="W16" s="133">
        <v>42747</v>
      </c>
      <c r="X16" s="10">
        <v>56.5</v>
      </c>
      <c r="Y16" s="10">
        <v>56.78</v>
      </c>
      <c r="Z16" s="10">
        <v>56.02</v>
      </c>
      <c r="AA16" s="10">
        <v>56.55</v>
      </c>
      <c r="AB16" s="95">
        <v>9977900</v>
      </c>
      <c r="AC16" s="10">
        <v>56.55</v>
      </c>
      <c r="AD16" s="2">
        <f t="shared" si="0"/>
        <v>0.75999999999999801</v>
      </c>
      <c r="AE16" s="138">
        <f t="shared" si="1"/>
        <v>-4.4014084507042472E-3</v>
      </c>
    </row>
    <row r="17" spans="1:31" x14ac:dyDescent="0.25">
      <c r="W17" s="133">
        <v>42746</v>
      </c>
      <c r="X17" s="10">
        <v>58.12</v>
      </c>
      <c r="Y17" s="10">
        <v>58.87</v>
      </c>
      <c r="Z17" s="10">
        <v>56.53</v>
      </c>
      <c r="AA17" s="10">
        <v>56.8</v>
      </c>
      <c r="AB17" s="95">
        <v>20497900</v>
      </c>
      <c r="AC17" s="10">
        <v>56.8</v>
      </c>
      <c r="AD17" s="2">
        <f t="shared" si="0"/>
        <v>2.3399999999999963</v>
      </c>
      <c r="AE17" s="138">
        <f t="shared" si="1"/>
        <v>-5.3017672557519213E-2</v>
      </c>
    </row>
    <row r="18" spans="1:31" x14ac:dyDescent="0.25">
      <c r="A18" s="32" t="s">
        <v>81</v>
      </c>
      <c r="B18" s="14"/>
      <c r="C18" s="14">
        <f>SUM(C2:C6)</f>
        <v>120</v>
      </c>
      <c r="D18" s="18"/>
      <c r="E18" s="18"/>
      <c r="F18" s="18">
        <f>SUM(F2:F6)</f>
        <v>6085.8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7.8</v>
      </c>
      <c r="W18" s="133">
        <v>42745</v>
      </c>
      <c r="X18" s="10">
        <v>59.78</v>
      </c>
      <c r="Y18" s="10">
        <v>60.45</v>
      </c>
      <c r="Z18" s="10">
        <v>59.72</v>
      </c>
      <c r="AA18" s="10">
        <v>59.98</v>
      </c>
      <c r="AB18" s="95">
        <v>6103700</v>
      </c>
      <c r="AC18" s="10">
        <v>59.98</v>
      </c>
      <c r="AD18" s="2">
        <f t="shared" si="0"/>
        <v>0.73000000000000398</v>
      </c>
      <c r="AE18" s="138">
        <f t="shared" si="1"/>
        <v>4.1855014230705034E-3</v>
      </c>
    </row>
    <row r="19" spans="1:31" ht="15.75" thickBot="1" x14ac:dyDescent="0.3">
      <c r="A19" s="356" t="s">
        <v>198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 t="shared" ref="M19" si="2">SumByColor($A$19,M2:M17)</f>
        <v>0</v>
      </c>
      <c r="W19" s="133">
        <v>42744</v>
      </c>
      <c r="X19" s="10">
        <v>59.75</v>
      </c>
      <c r="Y19" s="10">
        <v>59.92</v>
      </c>
      <c r="Z19" s="10">
        <v>59.65</v>
      </c>
      <c r="AA19" s="10">
        <v>59.73</v>
      </c>
      <c r="AB19" s="95">
        <v>5256500</v>
      </c>
      <c r="AC19" s="10">
        <v>59.73</v>
      </c>
      <c r="AD19" s="2">
        <f t="shared" si="0"/>
        <v>0.27000000000000313</v>
      </c>
      <c r="AE19" s="138">
        <f t="shared" si="1"/>
        <v>-3.6697247706423131E-3</v>
      </c>
    </row>
    <row r="20" spans="1:31" x14ac:dyDescent="0.25">
      <c r="W20" s="133">
        <v>42741</v>
      </c>
      <c r="X20" s="10">
        <v>60.04</v>
      </c>
      <c r="Y20" s="10">
        <v>60.33</v>
      </c>
      <c r="Z20" s="10">
        <v>58.85</v>
      </c>
      <c r="AA20" s="10">
        <v>59.95</v>
      </c>
      <c r="AB20" s="95">
        <v>10104600</v>
      </c>
      <c r="AC20" s="10">
        <v>59.95</v>
      </c>
      <c r="AD20" s="2">
        <f t="shared" si="0"/>
        <v>1.4799999999999969</v>
      </c>
      <c r="AE20" s="138">
        <f t="shared" si="1"/>
        <v>-2.9935140528853932E-3</v>
      </c>
    </row>
    <row r="21" spans="1:31" x14ac:dyDescent="0.25">
      <c r="W21" s="133">
        <v>42740</v>
      </c>
      <c r="X21" s="10">
        <v>59.39</v>
      </c>
      <c r="Y21" s="10">
        <v>60.42</v>
      </c>
      <c r="Z21" s="10">
        <v>59.31</v>
      </c>
      <c r="AA21" s="10">
        <v>60.13</v>
      </c>
      <c r="AB21" s="95">
        <v>8422300</v>
      </c>
      <c r="AC21" s="10">
        <v>60.13</v>
      </c>
      <c r="AD21" s="2">
        <f t="shared" si="0"/>
        <v>1.1099999999999994</v>
      </c>
      <c r="AE21" s="138">
        <f t="shared" si="1"/>
        <v>1.6739939127494052E-2</v>
      </c>
    </row>
    <row r="22" spans="1:31" x14ac:dyDescent="0.25">
      <c r="W22" s="133">
        <v>42739</v>
      </c>
      <c r="X22" s="10">
        <v>59.46</v>
      </c>
      <c r="Y22" s="10">
        <v>59.75</v>
      </c>
      <c r="Z22" s="10">
        <v>59.03</v>
      </c>
      <c r="AA22" s="10">
        <v>59.14</v>
      </c>
      <c r="AB22" s="95">
        <v>6703400</v>
      </c>
      <c r="AC22" s="10">
        <v>59.14</v>
      </c>
      <c r="AD22" s="2">
        <f t="shared" si="0"/>
        <v>0.71999999999999886</v>
      </c>
      <c r="AE22" s="138" t="e">
        <f t="shared" si="1"/>
        <v>#DIV/0!</v>
      </c>
    </row>
    <row r="23" spans="1:31" x14ac:dyDescent="0.25">
      <c r="W23" s="133">
        <v>42739</v>
      </c>
      <c r="X23" s="10" t="s">
        <v>387</v>
      </c>
      <c r="Y23" s="10"/>
      <c r="Z23" s="10"/>
      <c r="AA23" s="10"/>
      <c r="AB23" s="95"/>
      <c r="AC23" s="10"/>
      <c r="AD23" s="2">
        <f t="shared" si="0"/>
        <v>0</v>
      </c>
      <c r="AE23" s="138">
        <f t="shared" si="1"/>
        <v>-1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155</v>
      </c>
      <c r="W24" s="133">
        <v>42738</v>
      </c>
      <c r="X24" s="10">
        <v>58.78</v>
      </c>
      <c r="Y24" s="10">
        <v>59.68</v>
      </c>
      <c r="Z24" s="10">
        <v>58.58</v>
      </c>
      <c r="AA24" s="10">
        <v>59.45</v>
      </c>
      <c r="AB24" s="95">
        <v>10061700</v>
      </c>
      <c r="AC24" s="10">
        <v>59.06</v>
      </c>
      <c r="AD24" s="2">
        <f t="shared" si="0"/>
        <v>1.1000000000000014</v>
      </c>
      <c r="AE24" s="138">
        <f t="shared" si="1"/>
        <v>1.7223561832586887E-2</v>
      </c>
    </row>
    <row r="25" spans="1:31" x14ac:dyDescent="0.25">
      <c r="A25" t="s">
        <v>417</v>
      </c>
      <c r="B25" s="193">
        <v>42754</v>
      </c>
      <c r="C25" s="10">
        <v>20</v>
      </c>
      <c r="D25" s="40">
        <v>55.06</v>
      </c>
      <c r="E25" s="40">
        <v>55.49</v>
      </c>
      <c r="F25" s="40">
        <f t="shared" ref="F25" si="3">C25*(E25-D25)</f>
        <v>8.5999999999999943</v>
      </c>
      <c r="G25" s="40">
        <f t="shared" ref="G25" si="4">D25*C25</f>
        <v>1101.2</v>
      </c>
      <c r="H25" s="231">
        <f t="shared" ref="H25" si="5">(E25-D25)/D25</f>
        <v>7.8096621867054065E-3</v>
      </c>
      <c r="I25" s="40"/>
      <c r="W25" s="133">
        <v>42734</v>
      </c>
      <c r="X25" s="10">
        <v>58.86</v>
      </c>
      <c r="Y25" s="10">
        <v>58.96</v>
      </c>
      <c r="Z25" s="10">
        <v>58.21</v>
      </c>
      <c r="AA25" s="10">
        <v>58.44</v>
      </c>
      <c r="AB25" s="95">
        <v>7008900</v>
      </c>
      <c r="AC25" s="10">
        <v>58.06</v>
      </c>
      <c r="AD25" s="2">
        <f t="shared" si="0"/>
        <v>0.75</v>
      </c>
      <c r="AE25" s="138">
        <f t="shared" si="1"/>
        <v>-7.690992992650747E-3</v>
      </c>
    </row>
    <row r="26" spans="1:31" x14ac:dyDescent="0.25">
      <c r="A26" t="s">
        <v>433</v>
      </c>
      <c r="B26" s="193">
        <v>42755</v>
      </c>
      <c r="C26" s="10">
        <v>100</v>
      </c>
      <c r="D26" s="40">
        <v>51.438000000000002</v>
      </c>
      <c r="E26" s="40">
        <v>49.23</v>
      </c>
      <c r="F26" s="40">
        <f t="shared" ref="F26" si="6">C26*(E26-D26)</f>
        <v>-220.80000000000055</v>
      </c>
      <c r="G26" s="40">
        <f t="shared" ref="G26" si="7">D26*C26</f>
        <v>5143.8</v>
      </c>
      <c r="H26" s="231">
        <f t="shared" ref="H26" si="8">(E26-D26)/D26</f>
        <v>-4.2925463664994855E-2</v>
      </c>
      <c r="I26" s="40">
        <v>50</v>
      </c>
      <c r="W26" s="133">
        <v>42733</v>
      </c>
      <c r="X26" s="10">
        <v>58.81</v>
      </c>
      <c r="Y26" s="10">
        <v>59.19</v>
      </c>
      <c r="Z26" s="10">
        <v>58.63</v>
      </c>
      <c r="AA26" s="10">
        <v>58.9</v>
      </c>
      <c r="AB26" s="95">
        <v>3642700</v>
      </c>
      <c r="AC26" s="10">
        <v>58.51</v>
      </c>
      <c r="AD26" s="2">
        <f t="shared" si="0"/>
        <v>0.55999999999999517</v>
      </c>
      <c r="AE26" s="138">
        <f t="shared" si="1"/>
        <v>4.808517946075952E-3</v>
      </c>
    </row>
    <row r="27" spans="1:31" x14ac:dyDescent="0.25">
      <c r="A27" t="s">
        <v>460</v>
      </c>
      <c r="B27" s="193">
        <v>42761</v>
      </c>
      <c r="C27" s="10">
        <v>120</v>
      </c>
      <c r="D27" s="40">
        <v>50.715000000000003</v>
      </c>
      <c r="E27" s="40">
        <v>46.82</v>
      </c>
      <c r="F27" s="40">
        <f t="shared" ref="F27" si="9">C27*(E27-D27)</f>
        <v>-467.40000000000038</v>
      </c>
      <c r="G27" s="40">
        <f t="shared" ref="G27" si="10">D27*C27</f>
        <v>6085.8</v>
      </c>
      <c r="H27" s="231">
        <f t="shared" ref="H27" si="11">(E27-D27)/D27</f>
        <v>-7.680173518682841E-2</v>
      </c>
      <c r="I27" s="40"/>
      <c r="W27" s="133">
        <v>42732</v>
      </c>
      <c r="X27" s="10">
        <v>59.29</v>
      </c>
      <c r="Y27" s="10">
        <v>59.44</v>
      </c>
      <c r="Z27" s="10">
        <v>58.54</v>
      </c>
      <c r="AA27" s="10">
        <v>58.61</v>
      </c>
      <c r="AB27" s="95">
        <v>4249100</v>
      </c>
      <c r="AC27" s="10">
        <v>58.23</v>
      </c>
      <c r="AD27" s="2">
        <f t="shared" si="0"/>
        <v>0.89999999999999858</v>
      </c>
      <c r="AE27" s="138">
        <f t="shared" si="1"/>
        <v>-1.2046148625721065E-2</v>
      </c>
    </row>
    <row r="28" spans="1:31" x14ac:dyDescent="0.25">
      <c r="A28" t="s">
        <v>460</v>
      </c>
      <c r="B28" s="193">
        <v>42764</v>
      </c>
      <c r="C28" s="10">
        <v>120</v>
      </c>
      <c r="D28" s="40">
        <v>50.715000000000003</v>
      </c>
      <c r="E28" s="40">
        <v>47.74</v>
      </c>
      <c r="F28" s="40">
        <f t="shared" ref="F28:F29" si="12">C28*(E28-D28)</f>
        <v>-357.00000000000017</v>
      </c>
      <c r="G28" s="40">
        <f t="shared" ref="G28:G29" si="13">D28*C28</f>
        <v>6085.8</v>
      </c>
      <c r="H28" s="231">
        <f t="shared" ref="H28:H29" si="14">(E28-D28)/D28</f>
        <v>-5.866114561766738E-2</v>
      </c>
      <c r="I28" s="40"/>
      <c r="W28" s="133">
        <v>42731</v>
      </c>
      <c r="X28" s="10">
        <v>59.61</v>
      </c>
      <c r="Y28" s="10">
        <v>59.75</v>
      </c>
      <c r="Z28" s="10">
        <v>59.29</v>
      </c>
      <c r="AA28" s="10">
        <v>59.33</v>
      </c>
      <c r="AB28" s="95">
        <v>4251900</v>
      </c>
      <c r="AC28" s="10">
        <v>58.94</v>
      </c>
      <c r="AD28" s="2">
        <f t="shared" si="0"/>
        <v>0.46000000000000085</v>
      </c>
      <c r="AE28" s="138">
        <f t="shared" si="1"/>
        <v>-4.7281323877068626E-3</v>
      </c>
    </row>
    <row r="29" spans="1:31" x14ac:dyDescent="0.25">
      <c r="A29" t="s">
        <v>526</v>
      </c>
      <c r="B29" s="193">
        <v>42768</v>
      </c>
      <c r="C29" s="10">
        <v>120</v>
      </c>
      <c r="D29" s="40">
        <v>50.65</v>
      </c>
      <c r="E29" s="40">
        <v>50.5</v>
      </c>
      <c r="F29" s="40">
        <f t="shared" si="12"/>
        <v>-17.999999999999829</v>
      </c>
      <c r="G29" s="40">
        <f t="shared" si="13"/>
        <v>6078</v>
      </c>
      <c r="H29" s="231">
        <f t="shared" si="14"/>
        <v>-2.9615004935833874E-3</v>
      </c>
      <c r="I29" s="40"/>
      <c r="W29" s="133">
        <v>42727</v>
      </c>
      <c r="X29" s="10">
        <v>58.85</v>
      </c>
      <c r="Y29" s="10">
        <v>59.93</v>
      </c>
      <c r="Z29" s="10">
        <v>58.77</v>
      </c>
      <c r="AA29" s="10">
        <v>59.61</v>
      </c>
      <c r="AB29" s="95">
        <v>5412800</v>
      </c>
      <c r="AC29" s="10">
        <v>59.22</v>
      </c>
      <c r="AD29" s="2">
        <f t="shared" si="0"/>
        <v>1.1599999999999966</v>
      </c>
      <c r="AE29" s="138">
        <f t="shared" si="1"/>
        <v>1.4562275141339676E-2</v>
      </c>
    </row>
    <row r="30" spans="1:31" x14ac:dyDescent="0.25">
      <c r="B30" s="193"/>
      <c r="C30" s="10"/>
      <c r="D30" s="40"/>
      <c r="E30" s="40"/>
      <c r="F30" s="40"/>
      <c r="G30" s="40"/>
      <c r="H30" s="231"/>
      <c r="I30" s="40"/>
      <c r="W30" s="133">
        <v>42726</v>
      </c>
      <c r="X30" s="10">
        <v>58.74</v>
      </c>
      <c r="Y30" s="10">
        <v>58.98</v>
      </c>
      <c r="Z30" s="10">
        <v>58.52</v>
      </c>
      <c r="AA30" s="10">
        <v>58.76</v>
      </c>
      <c r="AB30" s="95">
        <v>4812000</v>
      </c>
      <c r="AC30" s="10">
        <v>58.37</v>
      </c>
      <c r="AD30" s="2">
        <f t="shared" si="0"/>
        <v>0.45999999999999375</v>
      </c>
      <c r="AE30" s="138">
        <f t="shared" si="1"/>
        <v>1.2006861063464935E-3</v>
      </c>
    </row>
    <row r="31" spans="1:31" x14ac:dyDescent="0.25">
      <c r="B31" s="193"/>
      <c r="C31" s="10"/>
      <c r="D31" s="40"/>
      <c r="E31" s="40"/>
      <c r="F31" s="40"/>
      <c r="G31" s="40"/>
      <c r="H31" s="231"/>
      <c r="I31" s="40"/>
      <c r="W31" s="133">
        <v>42725</v>
      </c>
      <c r="X31" s="10">
        <v>59.23</v>
      </c>
      <c r="Y31" s="10">
        <v>59.58</v>
      </c>
      <c r="Z31" s="10">
        <v>58.68</v>
      </c>
      <c r="AA31" s="10">
        <v>58.69</v>
      </c>
      <c r="AB31" s="95">
        <v>4471200</v>
      </c>
      <c r="AC31" s="10">
        <v>58.3</v>
      </c>
      <c r="AD31" s="2">
        <f t="shared" si="0"/>
        <v>0.89999999999999858</v>
      </c>
      <c r="AE31" s="138">
        <f t="shared" si="1"/>
        <v>-7.3216414098415949E-3</v>
      </c>
    </row>
    <row r="32" spans="1:31" x14ac:dyDescent="0.25">
      <c r="B32" s="193"/>
      <c r="C32" s="10"/>
      <c r="D32" s="40"/>
      <c r="E32" s="40"/>
      <c r="F32" s="40"/>
      <c r="G32" s="40"/>
      <c r="H32" s="231"/>
      <c r="I32" s="40"/>
      <c r="W32" s="133">
        <v>42724</v>
      </c>
      <c r="X32" s="10">
        <v>59.3</v>
      </c>
      <c r="Y32" s="10">
        <v>59.53</v>
      </c>
      <c r="Z32" s="10">
        <v>58.94</v>
      </c>
      <c r="AA32" s="10">
        <v>59.12</v>
      </c>
      <c r="AB32" s="95">
        <v>3918800</v>
      </c>
      <c r="AC32" s="10">
        <v>58.73</v>
      </c>
      <c r="AD32" s="2">
        <f t="shared" si="0"/>
        <v>0.59000000000000341</v>
      </c>
      <c r="AE32" s="138">
        <f t="shared" si="1"/>
        <v>-5.0821616127393332E-3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236"/>
      <c r="W33" s="133">
        <v>42723</v>
      </c>
      <c r="X33" s="10">
        <v>59.04</v>
      </c>
      <c r="Y33" s="10">
        <v>59.85</v>
      </c>
      <c r="Z33" s="10">
        <v>59.02</v>
      </c>
      <c r="AA33" s="10">
        <v>59.42</v>
      </c>
      <c r="AB33" s="95">
        <v>8399100</v>
      </c>
      <c r="AC33" s="10">
        <v>59.03</v>
      </c>
      <c r="AD33" s="2">
        <f t="shared" si="0"/>
        <v>0.82999999999999829</v>
      </c>
      <c r="AE33" s="138">
        <f t="shared" si="1"/>
        <v>1.3564560439560447E-2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133">
        <v>42720</v>
      </c>
      <c r="X34" s="10">
        <v>58.92</v>
      </c>
      <c r="Y34" s="10">
        <v>59.05</v>
      </c>
      <c r="Z34" s="10">
        <v>58.2</v>
      </c>
      <c r="AA34" s="10">
        <v>58.62</v>
      </c>
      <c r="AB34" s="95">
        <v>12218200</v>
      </c>
      <c r="AC34" s="10">
        <v>58.24</v>
      </c>
      <c r="AD34" s="2">
        <f t="shared" si="0"/>
        <v>0.84999999999999432</v>
      </c>
      <c r="AE34" s="138">
        <f t="shared" si="1"/>
        <v>-5.1484468851903387E-4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133">
        <v>42719</v>
      </c>
      <c r="X35" s="10">
        <v>58.51</v>
      </c>
      <c r="Y35" s="10">
        <v>59.8</v>
      </c>
      <c r="Z35" s="10">
        <v>58.28</v>
      </c>
      <c r="AA35" s="10">
        <v>58.65</v>
      </c>
      <c r="AB35" s="95">
        <v>13210800</v>
      </c>
      <c r="AC35" s="10">
        <v>58.27</v>
      </c>
      <c r="AD35" s="2">
        <f t="shared" si="0"/>
        <v>1.519999999999996</v>
      </c>
      <c r="AE35" s="138">
        <f t="shared" si="1"/>
        <v>2.5808671713696274E-3</v>
      </c>
    </row>
    <row r="36" spans="1:31" x14ac:dyDescent="0.25">
      <c r="B36" s="193"/>
      <c r="C36" s="10"/>
      <c r="D36" s="40"/>
      <c r="E36" s="40"/>
      <c r="F36" s="40"/>
      <c r="G36" s="40"/>
      <c r="H36" s="231"/>
      <c r="I36" s="40"/>
      <c r="W36" s="133">
        <v>42718</v>
      </c>
      <c r="X36" s="10">
        <v>57.3</v>
      </c>
      <c r="Y36" s="10">
        <v>58.52</v>
      </c>
      <c r="Z36" s="10">
        <v>57.27</v>
      </c>
      <c r="AA36" s="10">
        <v>58.5</v>
      </c>
      <c r="AB36" s="95">
        <v>12603900</v>
      </c>
      <c r="AC36" s="10">
        <v>58.12</v>
      </c>
      <c r="AD36" s="2">
        <f t="shared" si="0"/>
        <v>1.25</v>
      </c>
      <c r="AE36" s="138">
        <f t="shared" si="1"/>
        <v>2.3419616129600307E-2</v>
      </c>
    </row>
    <row r="37" spans="1:31" x14ac:dyDescent="0.25">
      <c r="B37" s="193"/>
      <c r="C37" s="10"/>
      <c r="D37" s="40"/>
      <c r="E37" s="40"/>
      <c r="F37" s="40"/>
      <c r="G37" s="40"/>
      <c r="H37" s="231"/>
      <c r="I37" s="40"/>
      <c r="W37" s="133">
        <v>42717</v>
      </c>
      <c r="X37" s="10">
        <v>57</v>
      </c>
      <c r="Y37" s="10">
        <v>57.34</v>
      </c>
      <c r="Z37" s="10">
        <v>56.7</v>
      </c>
      <c r="AA37" s="10">
        <v>57.17</v>
      </c>
      <c r="AB37" s="95">
        <v>6902800</v>
      </c>
      <c r="AC37" s="10">
        <v>56.79</v>
      </c>
      <c r="AD37" s="2">
        <f t="shared" si="0"/>
        <v>0.64000000000000057</v>
      </c>
      <c r="AE37" s="138">
        <f t="shared" si="1"/>
        <v>1.0857956568173677E-2</v>
      </c>
    </row>
    <row r="38" spans="1:31" x14ac:dyDescent="0.25">
      <c r="B38" s="193"/>
      <c r="C38" s="10"/>
      <c r="D38" s="40"/>
      <c r="E38" s="40"/>
      <c r="F38" s="40"/>
      <c r="G38" s="40"/>
      <c r="H38" s="231"/>
      <c r="I38" s="40"/>
      <c r="W38" s="133">
        <v>42716</v>
      </c>
      <c r="X38" s="10">
        <v>56.83</v>
      </c>
      <c r="Y38" s="10">
        <v>56.97</v>
      </c>
      <c r="Z38" s="10">
        <v>56.4</v>
      </c>
      <c r="AA38" s="10">
        <v>56.55</v>
      </c>
      <c r="AB38" s="95">
        <v>8829300</v>
      </c>
      <c r="AC38" s="10">
        <v>56.18</v>
      </c>
      <c r="AD38" s="2">
        <f t="shared" si="0"/>
        <v>0.57000000000000028</v>
      </c>
      <c r="AE38" s="138">
        <f t="shared" si="1"/>
        <v>-8.6465502029292596E-3</v>
      </c>
    </row>
    <row r="39" spans="1:31" x14ac:dyDescent="0.25">
      <c r="B39" s="193"/>
      <c r="C39" s="10"/>
      <c r="D39" s="40"/>
      <c r="E39" s="40"/>
      <c r="F39" s="40"/>
      <c r="G39" s="40"/>
      <c r="H39" s="231"/>
      <c r="I39" s="40"/>
      <c r="W39" s="133">
        <v>42713</v>
      </c>
      <c r="X39" s="10">
        <v>55.16</v>
      </c>
      <c r="Y39" s="10">
        <v>57.18</v>
      </c>
      <c r="Z39" s="10">
        <v>55.1</v>
      </c>
      <c r="AA39" s="10">
        <v>57.04</v>
      </c>
      <c r="AB39" s="95">
        <v>11782800</v>
      </c>
      <c r="AC39" s="10">
        <v>56.67</v>
      </c>
      <c r="AD39" s="2">
        <f t="shared" si="0"/>
        <v>2.0799999999999983</v>
      </c>
      <c r="AE39" s="138">
        <f t="shared" si="1"/>
        <v>3.2804811372334708E-2</v>
      </c>
    </row>
    <row r="40" spans="1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638" t="s">
        <v>78</v>
      </c>
      <c r="P40" s="638"/>
      <c r="W40" s="133">
        <v>42712</v>
      </c>
      <c r="X40" s="10">
        <v>54.93</v>
      </c>
      <c r="Y40" s="10">
        <v>55.42</v>
      </c>
      <c r="Z40" s="10">
        <v>54.78</v>
      </c>
      <c r="AA40" s="10">
        <v>55.23</v>
      </c>
      <c r="AB40" s="95">
        <v>8191200</v>
      </c>
      <c r="AC40" s="10">
        <v>54.87</v>
      </c>
      <c r="AD40" s="2">
        <f t="shared" si="0"/>
        <v>0.64000000000000057</v>
      </c>
      <c r="AE40" s="138">
        <f t="shared" si="1"/>
        <v>-1.8221574344035041E-4</v>
      </c>
    </row>
    <row r="41" spans="1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55.858000000000004</v>
      </c>
      <c r="Q41" s="2"/>
      <c r="W41" s="133">
        <v>42711</v>
      </c>
      <c r="X41" s="10">
        <v>55.55</v>
      </c>
      <c r="Y41" s="10">
        <v>55.68</v>
      </c>
      <c r="Z41" s="10">
        <v>54.36</v>
      </c>
      <c r="AA41" s="10">
        <v>55.24</v>
      </c>
      <c r="AB41" s="95">
        <v>12210800</v>
      </c>
      <c r="AC41" s="10">
        <v>54.88</v>
      </c>
      <c r="AD41" s="2">
        <f t="shared" si="0"/>
        <v>1.3200000000000003</v>
      </c>
      <c r="AE41" s="138">
        <f t="shared" si="1"/>
        <v>-1.4013654329859793E-2</v>
      </c>
    </row>
    <row r="42" spans="1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15">O42*$Q$4</f>
        <v>55.350200000000008</v>
      </c>
      <c r="Q42" s="2"/>
      <c r="T42" s="91" t="s">
        <v>113</v>
      </c>
      <c r="W42" s="133">
        <v>42710</v>
      </c>
      <c r="X42" s="10">
        <v>55.71</v>
      </c>
      <c r="Y42" s="10">
        <v>56.04</v>
      </c>
      <c r="Z42" s="10">
        <v>55.56</v>
      </c>
      <c r="AA42" s="10">
        <v>56.03</v>
      </c>
      <c r="AB42" s="95">
        <v>5924400</v>
      </c>
      <c r="AC42" s="10">
        <v>55.66</v>
      </c>
      <c r="AD42" s="2">
        <f t="shared" si="0"/>
        <v>0.47999999999999687</v>
      </c>
      <c r="AE42" s="138">
        <f t="shared" si="1"/>
        <v>8.5160355136799648E-3</v>
      </c>
    </row>
    <row r="43" spans="1:31" ht="15.75" thickTop="1" x14ac:dyDescent="0.25">
      <c r="O43" s="83">
        <v>1.08</v>
      </c>
      <c r="P43" s="83">
        <f t="shared" si="15"/>
        <v>54.842400000000005</v>
      </c>
      <c r="Q43" s="2"/>
      <c r="T43" s="128" t="s">
        <v>98</v>
      </c>
      <c r="U43" s="129">
        <v>49.29</v>
      </c>
      <c r="V43" s="552"/>
      <c r="W43" s="133">
        <v>42709</v>
      </c>
      <c r="X43" s="10">
        <v>55.86</v>
      </c>
      <c r="Y43" s="10">
        <v>55.96</v>
      </c>
      <c r="Z43" s="10">
        <v>55.23</v>
      </c>
      <c r="AA43" s="10">
        <v>55.55</v>
      </c>
      <c r="AB43" s="95">
        <v>9904400</v>
      </c>
      <c r="AC43" s="10">
        <v>55.19</v>
      </c>
      <c r="AD43" s="2">
        <f t="shared" si="0"/>
        <v>0.73000000000000398</v>
      </c>
      <c r="AE43" s="138">
        <f t="shared" si="1"/>
        <v>-7.195538765965237E-3</v>
      </c>
    </row>
    <row r="44" spans="1:31" x14ac:dyDescent="0.25">
      <c r="O44" s="83">
        <v>1.07</v>
      </c>
      <c r="P44" s="83">
        <f t="shared" si="15"/>
        <v>54.334600000000002</v>
      </c>
      <c r="Q44" s="2"/>
      <c r="T44" s="93" t="s">
        <v>99</v>
      </c>
      <c r="U44" s="130">
        <v>49.35</v>
      </c>
      <c r="W44" s="133">
        <v>42706</v>
      </c>
      <c r="X44" s="10">
        <v>55.69</v>
      </c>
      <c r="Y44" s="10">
        <v>56.11</v>
      </c>
      <c r="Z44" s="10">
        <v>55.3</v>
      </c>
      <c r="AA44" s="10">
        <v>55.96</v>
      </c>
      <c r="AB44" s="95">
        <v>9281500</v>
      </c>
      <c r="AC44" s="10">
        <v>55.59</v>
      </c>
      <c r="AD44" s="2">
        <f t="shared" si="0"/>
        <v>0.81000000000000227</v>
      </c>
      <c r="AE44" s="138">
        <f t="shared" si="1"/>
        <v>2.8865235432076197E-3</v>
      </c>
    </row>
    <row r="45" spans="1:31" x14ac:dyDescent="0.25">
      <c r="O45" s="83">
        <v>1.06</v>
      </c>
      <c r="P45" s="83">
        <f t="shared" si="15"/>
        <v>53.826800000000006</v>
      </c>
      <c r="Q45" s="2"/>
      <c r="T45" s="93" t="s">
        <v>100</v>
      </c>
      <c r="U45" s="130" t="s">
        <v>129</v>
      </c>
      <c r="W45" s="133">
        <v>42705</v>
      </c>
      <c r="X45" s="10">
        <v>55.94</v>
      </c>
      <c r="Y45" s="10">
        <v>56.27</v>
      </c>
      <c r="Z45" s="10">
        <v>55.44</v>
      </c>
      <c r="AA45" s="10">
        <v>55.8</v>
      </c>
      <c r="AB45" s="95">
        <v>12719600</v>
      </c>
      <c r="AC45" s="10">
        <v>55.43</v>
      </c>
      <c r="AD45" s="2">
        <f t="shared" si="0"/>
        <v>0.8300000000000054</v>
      </c>
      <c r="AE45" s="138">
        <f t="shared" si="1"/>
        <v>-1.1414303549134974E-2</v>
      </c>
    </row>
    <row r="46" spans="1:31" x14ac:dyDescent="0.25">
      <c r="L46" t="s">
        <v>65</v>
      </c>
      <c r="M46" s="2">
        <f>M64+K64-F64</f>
        <v>346.94000000000051</v>
      </c>
      <c r="O46" s="83">
        <v>1.05</v>
      </c>
      <c r="P46" s="83">
        <f t="shared" si="15"/>
        <v>53.319000000000003</v>
      </c>
      <c r="Q46" s="2"/>
      <c r="T46" s="93" t="s">
        <v>101</v>
      </c>
      <c r="U46" s="130" t="s">
        <v>129</v>
      </c>
      <c r="W46" s="133">
        <v>42704</v>
      </c>
      <c r="X46" s="10">
        <v>56.29</v>
      </c>
      <c r="Y46" s="10">
        <v>56.69</v>
      </c>
      <c r="Z46" s="10">
        <v>56</v>
      </c>
      <c r="AA46" s="10">
        <v>56.44</v>
      </c>
      <c r="AB46" s="95">
        <v>16418900</v>
      </c>
      <c r="AC46" s="10">
        <v>56.07</v>
      </c>
      <c r="AD46" s="2">
        <f t="shared" si="0"/>
        <v>0.68999999999999773</v>
      </c>
      <c r="AE46" s="138">
        <f t="shared" si="1"/>
        <v>1.4288265761743801E-3</v>
      </c>
    </row>
    <row r="47" spans="1:31" x14ac:dyDescent="0.25">
      <c r="A47" s="387" t="s">
        <v>1</v>
      </c>
      <c r="B47" s="387" t="s">
        <v>2</v>
      </c>
      <c r="C47" s="387" t="s">
        <v>4</v>
      </c>
      <c r="D47" s="389" t="s">
        <v>5</v>
      </c>
      <c r="E47" s="389" t="s">
        <v>94</v>
      </c>
      <c r="F47" s="389" t="s">
        <v>60</v>
      </c>
      <c r="G47" s="387" t="s">
        <v>3</v>
      </c>
      <c r="H47" s="387" t="s">
        <v>6</v>
      </c>
      <c r="I47" s="389" t="s">
        <v>7</v>
      </c>
      <c r="J47" s="389" t="s">
        <v>95</v>
      </c>
      <c r="K47" s="389" t="s">
        <v>61</v>
      </c>
      <c r="L47" s="387" t="s">
        <v>37</v>
      </c>
      <c r="M47" s="387" t="s">
        <v>38</v>
      </c>
      <c r="O47" s="83">
        <v>1.04</v>
      </c>
      <c r="P47" s="83">
        <f t="shared" si="15"/>
        <v>52.811199999999999</v>
      </c>
      <c r="Q47" s="2"/>
      <c r="T47" s="93" t="s">
        <v>102</v>
      </c>
      <c r="U47" s="130">
        <v>55.56</v>
      </c>
      <c r="W47" s="133">
        <v>42703</v>
      </c>
      <c r="X47" s="10">
        <v>56.62</v>
      </c>
      <c r="Y47" s="10">
        <v>56.89</v>
      </c>
      <c r="Z47" s="10">
        <v>56.14</v>
      </c>
      <c r="AA47" s="10">
        <v>56.36</v>
      </c>
      <c r="AB47" s="95">
        <v>9818900</v>
      </c>
      <c r="AC47" s="10">
        <v>55.99</v>
      </c>
      <c r="AD47" s="2">
        <f t="shared" si="0"/>
        <v>0.75</v>
      </c>
      <c r="AE47" s="138">
        <f t="shared" si="1"/>
        <v>-2.6718916993231367E-3</v>
      </c>
    </row>
    <row r="48" spans="1:31" x14ac:dyDescent="0.25">
      <c r="A48" s="390" t="s">
        <v>321</v>
      </c>
      <c r="B48" s="380">
        <v>42669</v>
      </c>
      <c r="C48" s="381">
        <v>20</v>
      </c>
      <c r="D48" s="382">
        <v>49.18</v>
      </c>
      <c r="E48" s="382">
        <v>0</v>
      </c>
      <c r="F48" s="382">
        <f>C48*D48+E48</f>
        <v>983.6</v>
      </c>
      <c r="G48" s="380">
        <v>42710</v>
      </c>
      <c r="H48" s="385">
        <v>20</v>
      </c>
      <c r="I48" s="382">
        <v>55.88</v>
      </c>
      <c r="J48" s="382">
        <v>0.02</v>
      </c>
      <c r="K48" s="382">
        <f>I48*H48-J48</f>
        <v>1117.5800000000002</v>
      </c>
      <c r="L48" s="380"/>
      <c r="M48" s="381"/>
      <c r="O48" s="83">
        <v>1.03</v>
      </c>
      <c r="P48" s="83">
        <f t="shared" si="15"/>
        <v>52.303400000000003</v>
      </c>
      <c r="Q48" s="2"/>
      <c r="T48" s="93" t="s">
        <v>103</v>
      </c>
      <c r="U48" s="130">
        <v>0.97931100000000004</v>
      </c>
      <c r="W48" s="133">
        <v>42702</v>
      </c>
      <c r="X48" s="10">
        <v>56.92</v>
      </c>
      <c r="Y48" s="10">
        <v>56.96</v>
      </c>
      <c r="Z48" s="10">
        <v>56.25</v>
      </c>
      <c r="AA48" s="10">
        <v>56.51</v>
      </c>
      <c r="AB48" s="95">
        <v>8724200</v>
      </c>
      <c r="AC48" s="10">
        <v>56.14</v>
      </c>
      <c r="AD48" s="2">
        <f t="shared" si="0"/>
        <v>0.71000000000000085</v>
      </c>
      <c r="AE48" s="138">
        <f t="shared" si="1"/>
        <v>-8.302420067125893E-3</v>
      </c>
    </row>
    <row r="49" spans="1:31" x14ac:dyDescent="0.25">
      <c r="A49" s="391" t="s">
        <v>71</v>
      </c>
      <c r="B49" s="380">
        <v>42669</v>
      </c>
      <c r="C49" s="381">
        <v>30</v>
      </c>
      <c r="D49" s="382">
        <v>49.18</v>
      </c>
      <c r="E49" s="382">
        <v>0</v>
      </c>
      <c r="F49" s="382">
        <f>C49*D49+E49</f>
        <v>1475.4</v>
      </c>
      <c r="G49" s="380">
        <v>42713</v>
      </c>
      <c r="H49" s="385">
        <v>30</v>
      </c>
      <c r="I49" s="382">
        <v>56.28</v>
      </c>
      <c r="J49" s="382">
        <v>0.04</v>
      </c>
      <c r="K49" s="382">
        <f>I49*H49-J49</f>
        <v>1688.3600000000001</v>
      </c>
      <c r="L49" s="381"/>
      <c r="M49" s="381"/>
      <c r="O49" s="83">
        <v>1.02</v>
      </c>
      <c r="P49" s="83">
        <f t="shared" si="15"/>
        <v>51.7956</v>
      </c>
      <c r="Q49" s="2"/>
      <c r="T49" s="93" t="s">
        <v>122</v>
      </c>
      <c r="U49" s="130" t="s">
        <v>476</v>
      </c>
      <c r="W49" s="133">
        <v>42699</v>
      </c>
      <c r="X49" s="10">
        <v>56.85</v>
      </c>
      <c r="Y49" s="10">
        <v>57.14</v>
      </c>
      <c r="Z49" s="10">
        <v>56.71</v>
      </c>
      <c r="AA49" s="10">
        <v>56.98</v>
      </c>
      <c r="AB49" s="95">
        <v>6228600</v>
      </c>
      <c r="AC49" s="10">
        <v>56.61</v>
      </c>
      <c r="AD49" s="2">
        <f t="shared" si="0"/>
        <v>0.42999999999999972</v>
      </c>
      <c r="AE49" s="138">
        <f t="shared" si="1"/>
        <v>4.0794608017027389E-3</v>
      </c>
    </row>
    <row r="50" spans="1:31" x14ac:dyDescent="0.25">
      <c r="A50" s="381"/>
      <c r="B50" s="380"/>
      <c r="C50" s="381"/>
      <c r="D50" s="382"/>
      <c r="E50" s="382"/>
      <c r="F50" s="382"/>
      <c r="G50" s="381"/>
      <c r="H50" s="385"/>
      <c r="I50" s="382"/>
      <c r="J50" s="382"/>
      <c r="K50" s="382"/>
      <c r="L50" s="381"/>
      <c r="M50" s="381"/>
      <c r="O50" s="83">
        <v>1.01</v>
      </c>
      <c r="P50" s="83">
        <f t="shared" si="15"/>
        <v>51.287800000000004</v>
      </c>
      <c r="Q50" s="2"/>
      <c r="T50" s="93"/>
      <c r="U50" s="130"/>
      <c r="W50" s="133">
        <v>42697</v>
      </c>
      <c r="X50" s="10">
        <v>56.05</v>
      </c>
      <c r="Y50" s="10">
        <v>56.78</v>
      </c>
      <c r="Z50" s="10">
        <v>55.78</v>
      </c>
      <c r="AA50" s="10">
        <v>56.75</v>
      </c>
      <c r="AB50" s="95">
        <v>10151000</v>
      </c>
      <c r="AC50" s="10">
        <v>56.38</v>
      </c>
      <c r="AD50" s="2">
        <f t="shared" si="0"/>
        <v>1</v>
      </c>
      <c r="AE50" s="138">
        <f t="shared" si="1"/>
        <v>3.5599857600570051E-3</v>
      </c>
    </row>
    <row r="51" spans="1:31" x14ac:dyDescent="0.25">
      <c r="A51" s="381"/>
      <c r="B51" s="380"/>
      <c r="C51" s="381"/>
      <c r="D51" s="382"/>
      <c r="E51" s="382"/>
      <c r="F51" s="382"/>
      <c r="G51" s="381"/>
      <c r="H51" s="385"/>
      <c r="I51" s="382"/>
      <c r="J51" s="382"/>
      <c r="K51" s="382"/>
      <c r="L51" s="381"/>
      <c r="M51" s="381"/>
      <c r="O51" s="83">
        <v>1</v>
      </c>
      <c r="P51" s="83">
        <f t="shared" si="15"/>
        <v>50.78</v>
      </c>
      <c r="Q51" s="2"/>
      <c r="T51" s="93" t="s">
        <v>105</v>
      </c>
      <c r="U51" s="130" t="s">
        <v>561</v>
      </c>
      <c r="W51" s="133">
        <v>42696</v>
      </c>
      <c r="X51" s="10">
        <v>56.66</v>
      </c>
      <c r="Y51" s="10">
        <v>56.9</v>
      </c>
      <c r="Z51" s="10">
        <v>56.26</v>
      </c>
      <c r="AA51" s="10">
        <v>56.55</v>
      </c>
      <c r="AB51" s="95">
        <v>10350000</v>
      </c>
      <c r="AC51" s="10">
        <v>56.18</v>
      </c>
      <c r="AD51" s="2">
        <f t="shared" si="0"/>
        <v>0.64000000000000057</v>
      </c>
      <c r="AE51" s="138">
        <f t="shared" si="1"/>
        <v>-3.1937544357700798E-3</v>
      </c>
    </row>
    <row r="52" spans="1:31" x14ac:dyDescent="0.25">
      <c r="A52" s="381"/>
      <c r="B52" s="380"/>
      <c r="C52" s="381"/>
      <c r="D52" s="382"/>
      <c r="E52" s="382"/>
      <c r="F52" s="382"/>
      <c r="G52" s="381"/>
      <c r="H52" s="385"/>
      <c r="I52" s="382"/>
      <c r="J52" s="382"/>
      <c r="K52" s="382"/>
      <c r="L52" s="381"/>
      <c r="M52" s="381"/>
      <c r="O52" s="83">
        <v>0.99</v>
      </c>
      <c r="P52" s="83">
        <f t="shared" si="15"/>
        <v>50.272199999999998</v>
      </c>
      <c r="Q52" s="2"/>
      <c r="T52" s="93" t="s">
        <v>106</v>
      </c>
      <c r="U52" s="130" t="s">
        <v>463</v>
      </c>
      <c r="W52" s="133">
        <v>42695</v>
      </c>
      <c r="X52" s="10">
        <v>56.71</v>
      </c>
      <c r="Y52" s="10">
        <v>56.85</v>
      </c>
      <c r="Z52" s="10">
        <v>56.4</v>
      </c>
      <c r="AA52" s="10">
        <v>56.73</v>
      </c>
      <c r="AB52" s="95">
        <v>11312300</v>
      </c>
      <c r="AC52" s="10">
        <v>56.36</v>
      </c>
      <c r="AD52" s="2">
        <f t="shared" si="0"/>
        <v>0.45000000000000284</v>
      </c>
      <c r="AE52" s="138">
        <f t="shared" si="1"/>
        <v>-5.3200922149321261E-4</v>
      </c>
    </row>
    <row r="53" spans="1:31" x14ac:dyDescent="0.25">
      <c r="A53" s="381"/>
      <c r="B53" s="381"/>
      <c r="C53" s="381"/>
      <c r="D53" s="382"/>
      <c r="E53" s="382"/>
      <c r="F53" s="382"/>
      <c r="G53" s="381"/>
      <c r="H53" s="385"/>
      <c r="I53" s="382"/>
      <c r="J53" s="382"/>
      <c r="K53" s="382"/>
      <c r="L53" s="381"/>
      <c r="M53" s="381"/>
      <c r="O53" s="83">
        <v>0.98</v>
      </c>
      <c r="P53" s="83">
        <f t="shared" si="15"/>
        <v>49.764400000000002</v>
      </c>
      <c r="Q53" s="2"/>
      <c r="T53" s="93" t="s">
        <v>107</v>
      </c>
      <c r="U53" s="131">
        <v>18610222</v>
      </c>
      <c r="W53" s="133">
        <v>42692</v>
      </c>
      <c r="X53" s="10">
        <v>56.58</v>
      </c>
      <c r="Y53" s="10">
        <v>56.84</v>
      </c>
      <c r="Z53" s="10">
        <v>56.25</v>
      </c>
      <c r="AA53" s="10">
        <v>56.76</v>
      </c>
      <c r="AB53" s="95">
        <v>7387400</v>
      </c>
      <c r="AC53" s="10">
        <v>56.39</v>
      </c>
      <c r="AD53" s="2">
        <f t="shared" si="0"/>
        <v>0.59000000000000341</v>
      </c>
      <c r="AE53" s="138">
        <f t="shared" si="1"/>
        <v>1.4207068016338642E-3</v>
      </c>
    </row>
    <row r="54" spans="1:31" x14ac:dyDescent="0.25">
      <c r="A54" s="381"/>
      <c r="B54" s="381"/>
      <c r="C54" s="381"/>
      <c r="D54" s="382"/>
      <c r="E54" s="382"/>
      <c r="F54" s="382"/>
      <c r="G54" s="381"/>
      <c r="H54" s="385"/>
      <c r="I54" s="382"/>
      <c r="J54" s="382"/>
      <c r="K54" s="382"/>
      <c r="L54" s="381"/>
      <c r="M54" s="381"/>
      <c r="O54" s="83">
        <v>0.97</v>
      </c>
      <c r="P54" s="83">
        <f t="shared" si="15"/>
        <v>49.256599999999999</v>
      </c>
      <c r="T54" s="93" t="s">
        <v>110</v>
      </c>
      <c r="U54" s="131">
        <v>12392600</v>
      </c>
      <c r="W54" s="133">
        <v>42691</v>
      </c>
      <c r="X54" s="10">
        <v>56.75</v>
      </c>
      <c r="Y54" s="10">
        <v>57.1</v>
      </c>
      <c r="Z54" s="10">
        <v>56.06</v>
      </c>
      <c r="AA54" s="10">
        <v>56.68</v>
      </c>
      <c r="AB54" s="95">
        <v>6820500</v>
      </c>
      <c r="AC54" s="10">
        <v>56.31</v>
      </c>
      <c r="AD54" s="2">
        <f t="shared" si="0"/>
        <v>1.0399999999999991</v>
      </c>
      <c r="AE54" s="138">
        <f t="shared" si="1"/>
        <v>8.5975282106394157E-3</v>
      </c>
    </row>
    <row r="55" spans="1:31" x14ac:dyDescent="0.25">
      <c r="A55" s="381"/>
      <c r="B55" s="381"/>
      <c r="C55" s="381"/>
      <c r="D55" s="382"/>
      <c r="E55" s="382"/>
      <c r="F55" s="382"/>
      <c r="G55" s="381"/>
      <c r="H55" s="385"/>
      <c r="I55" s="382"/>
      <c r="J55" s="382"/>
      <c r="K55" s="382"/>
      <c r="L55" s="381"/>
      <c r="M55" s="381"/>
      <c r="O55" s="83">
        <v>0.96</v>
      </c>
      <c r="P55" s="83">
        <f t="shared" si="15"/>
        <v>48.748800000000003</v>
      </c>
      <c r="T55" s="93" t="s">
        <v>108</v>
      </c>
      <c r="U55" s="130" t="s">
        <v>562</v>
      </c>
      <c r="W55" s="133">
        <v>42690</v>
      </c>
      <c r="X55" s="10">
        <v>56.7</v>
      </c>
      <c r="Y55" s="10">
        <v>56.72</v>
      </c>
      <c r="Z55" s="10">
        <v>55.93</v>
      </c>
      <c r="AA55" s="10">
        <v>56.2</v>
      </c>
      <c r="AB55" s="95">
        <v>8935500</v>
      </c>
      <c r="AC55" s="10">
        <v>55.83</v>
      </c>
      <c r="AD55" s="2">
        <f t="shared" si="0"/>
        <v>0.78999999999999915</v>
      </c>
      <c r="AE55" s="138">
        <f t="shared" si="1"/>
        <v>-8.7002840909091717E-3</v>
      </c>
    </row>
    <row r="56" spans="1:31" x14ac:dyDescent="0.25">
      <c r="A56" s="381"/>
      <c r="B56" s="381"/>
      <c r="C56" s="381"/>
      <c r="D56" s="382"/>
      <c r="E56" s="382"/>
      <c r="F56" s="382"/>
      <c r="G56" s="381"/>
      <c r="H56" s="385"/>
      <c r="I56" s="382"/>
      <c r="J56" s="382"/>
      <c r="K56" s="382"/>
      <c r="L56" s="381"/>
      <c r="M56" s="381"/>
      <c r="O56" s="83">
        <v>0.95</v>
      </c>
      <c r="P56" s="83">
        <f t="shared" si="15"/>
        <v>48.241</v>
      </c>
      <c r="T56" s="93" t="s">
        <v>111</v>
      </c>
      <c r="U56" s="130">
        <v>19.059999999999999</v>
      </c>
      <c r="W56" s="133">
        <v>42689</v>
      </c>
      <c r="X56" s="10">
        <v>56.73</v>
      </c>
      <c r="Y56" s="10">
        <v>56.79</v>
      </c>
      <c r="Z56" s="10">
        <v>55.76</v>
      </c>
      <c r="AA56" s="10">
        <v>56.69</v>
      </c>
      <c r="AB56" s="95">
        <v>9312800</v>
      </c>
      <c r="AC56" s="10">
        <v>56.32</v>
      </c>
      <c r="AD56" s="2">
        <f t="shared" si="0"/>
        <v>1.0300000000000011</v>
      </c>
      <c r="AE56" s="138">
        <f t="shared" si="1"/>
        <v>2.3135789286350406E-3</v>
      </c>
    </row>
    <row r="57" spans="1:31" x14ac:dyDescent="0.25">
      <c r="A57" s="381"/>
      <c r="B57" s="381"/>
      <c r="C57" s="381"/>
      <c r="D57" s="382"/>
      <c r="E57" s="382"/>
      <c r="F57" s="382"/>
      <c r="G57" s="381"/>
      <c r="H57" s="385"/>
      <c r="I57" s="382"/>
      <c r="J57" s="382"/>
      <c r="K57" s="382"/>
      <c r="L57" s="381"/>
      <c r="M57" s="381"/>
      <c r="O57" s="83">
        <v>0.94</v>
      </c>
      <c r="P57" s="83">
        <f t="shared" si="15"/>
        <v>47.733199999999997</v>
      </c>
      <c r="T57" s="93" t="s">
        <v>112</v>
      </c>
      <c r="U57" s="130">
        <v>2.65</v>
      </c>
      <c r="W57" s="133">
        <v>42688</v>
      </c>
      <c r="X57" s="10">
        <v>56.66</v>
      </c>
      <c r="Y57" s="10">
        <v>56.85</v>
      </c>
      <c r="Z57" s="10">
        <v>56.02</v>
      </c>
      <c r="AA57" s="10">
        <v>56.56</v>
      </c>
      <c r="AB57" s="95">
        <v>7234900</v>
      </c>
      <c r="AC57" s="10">
        <v>56.19</v>
      </c>
      <c r="AD57" s="2">
        <f t="shared" si="0"/>
        <v>0.82999999999999829</v>
      </c>
      <c r="AE57" s="138">
        <f t="shared" si="1"/>
        <v>3.3928571428571974E-3</v>
      </c>
    </row>
    <row r="58" spans="1:31" x14ac:dyDescent="0.25">
      <c r="A58" s="381"/>
      <c r="B58" s="381"/>
      <c r="C58" s="381"/>
      <c r="D58" s="382"/>
      <c r="E58" s="382"/>
      <c r="F58" s="382"/>
      <c r="G58" s="381"/>
      <c r="H58" s="385"/>
      <c r="I58" s="382"/>
      <c r="J58" s="382"/>
      <c r="K58" s="382"/>
      <c r="L58" s="381"/>
      <c r="M58" s="381"/>
      <c r="O58" s="83">
        <v>0.93</v>
      </c>
      <c r="P58" s="83">
        <f t="shared" si="15"/>
        <v>47.2254</v>
      </c>
      <c r="T58" s="93" t="s">
        <v>109</v>
      </c>
      <c r="U58" s="130" t="s">
        <v>563</v>
      </c>
      <c r="W58" s="133">
        <v>42685</v>
      </c>
      <c r="X58" s="10">
        <v>56.31</v>
      </c>
      <c r="Y58" s="10">
        <v>56.73</v>
      </c>
      <c r="Z58" s="10">
        <v>55.88</v>
      </c>
      <c r="AA58" s="10">
        <v>56.37</v>
      </c>
      <c r="AB58" s="95">
        <v>12438300</v>
      </c>
      <c r="AC58" s="10">
        <v>56</v>
      </c>
      <c r="AD58" s="2">
        <f t="shared" si="0"/>
        <v>0.84999999999999432</v>
      </c>
      <c r="AE58" s="138">
        <f t="shared" si="1"/>
        <v>-5.1518919879196545E-3</v>
      </c>
    </row>
    <row r="59" spans="1:31" x14ac:dyDescent="0.25">
      <c r="A59" s="381"/>
      <c r="B59" s="381"/>
      <c r="C59" s="381"/>
      <c r="D59" s="382"/>
      <c r="E59" s="382"/>
      <c r="F59" s="382"/>
      <c r="G59" s="381"/>
      <c r="H59" s="385"/>
      <c r="I59" s="382"/>
      <c r="J59" s="382"/>
      <c r="K59" s="382"/>
      <c r="L59" s="381"/>
      <c r="M59" s="381"/>
      <c r="O59" s="83">
        <v>0.92</v>
      </c>
      <c r="P59" s="83">
        <f t="shared" si="15"/>
        <v>46.717600000000004</v>
      </c>
      <c r="W59" s="133">
        <v>42684</v>
      </c>
      <c r="X59" s="10">
        <v>57</v>
      </c>
      <c r="Y59" s="10">
        <v>57.55</v>
      </c>
      <c r="Z59" s="10">
        <v>56.22</v>
      </c>
      <c r="AA59" s="10">
        <v>56.66</v>
      </c>
      <c r="AB59" s="95">
        <v>17744300</v>
      </c>
      <c r="AC59" s="10">
        <v>56.29</v>
      </c>
      <c r="AD59" s="2">
        <f t="shared" si="0"/>
        <v>1.3299999999999983</v>
      </c>
      <c r="AE59" s="138">
        <f t="shared" si="1"/>
        <v>6.4366172000716038E-3</v>
      </c>
    </row>
    <row r="60" spans="1:31" x14ac:dyDescent="0.25">
      <c r="A60" s="381"/>
      <c r="B60" s="381"/>
      <c r="C60" s="381"/>
      <c r="D60" s="382"/>
      <c r="E60" s="382"/>
      <c r="F60" s="382"/>
      <c r="G60" s="381"/>
      <c r="H60" s="385"/>
      <c r="I60" s="382"/>
      <c r="J60" s="382"/>
      <c r="K60" s="382"/>
      <c r="L60" s="381"/>
      <c r="M60" s="381"/>
      <c r="O60" s="83">
        <v>0.91</v>
      </c>
      <c r="P60" s="83">
        <f t="shared" si="15"/>
        <v>46.209800000000001</v>
      </c>
      <c r="W60" s="133">
        <v>42683</v>
      </c>
      <c r="X60" s="10">
        <v>55.25</v>
      </c>
      <c r="Y60" s="10">
        <v>57.3</v>
      </c>
      <c r="Z60" s="10">
        <v>54.9</v>
      </c>
      <c r="AA60" s="10">
        <v>56.3</v>
      </c>
      <c r="AB60" s="95">
        <v>28681000</v>
      </c>
      <c r="AC60" s="10">
        <v>55.93</v>
      </c>
      <c r="AD60" s="2">
        <f t="shared" si="0"/>
        <v>2.3999999999999986</v>
      </c>
      <c r="AE60" s="138">
        <f t="shared" si="1"/>
        <v>5.9079719750047222E-2</v>
      </c>
    </row>
    <row r="61" spans="1:31" x14ac:dyDescent="0.25">
      <c r="A61" s="381"/>
      <c r="B61" s="381"/>
      <c r="C61" s="381"/>
      <c r="D61" s="382"/>
      <c r="E61" s="382"/>
      <c r="F61" s="382"/>
      <c r="G61" s="381"/>
      <c r="H61" s="385"/>
      <c r="I61" s="382"/>
      <c r="J61" s="382"/>
      <c r="K61" s="382"/>
      <c r="L61" s="381"/>
      <c r="M61" s="381"/>
      <c r="O61" s="83">
        <v>0.9</v>
      </c>
      <c r="P61" s="83">
        <f t="shared" si="15"/>
        <v>45.702000000000005</v>
      </c>
      <c r="W61" s="133">
        <v>42682</v>
      </c>
      <c r="X61" s="10">
        <v>52.29</v>
      </c>
      <c r="Y61" s="10">
        <v>53.34</v>
      </c>
      <c r="Z61" s="10">
        <v>52.02</v>
      </c>
      <c r="AA61" s="10">
        <v>53.16</v>
      </c>
      <c r="AB61" s="95">
        <v>10094000</v>
      </c>
      <c r="AC61" s="10">
        <v>52.81</v>
      </c>
      <c r="AD61" s="2">
        <f t="shared" si="0"/>
        <v>1.3200000000000003</v>
      </c>
      <c r="AE61" s="138">
        <f t="shared" si="1"/>
        <v>1.0330973789936859E-2</v>
      </c>
    </row>
    <row r="62" spans="1:31" x14ac:dyDescent="0.25">
      <c r="A62" s="381"/>
      <c r="B62" s="381"/>
      <c r="C62" s="381"/>
      <c r="D62" s="382"/>
      <c r="E62" s="382"/>
      <c r="F62" s="382"/>
      <c r="G62" s="381"/>
      <c r="H62" s="385"/>
      <c r="I62" s="382"/>
      <c r="J62" s="382"/>
      <c r="K62" s="382"/>
      <c r="L62" s="381"/>
      <c r="M62" s="381"/>
      <c r="W62" s="133">
        <v>42681</v>
      </c>
      <c r="X62" s="10">
        <v>51.7</v>
      </c>
      <c r="Y62" s="10">
        <v>53.1</v>
      </c>
      <c r="Z62" s="10">
        <v>51.59</v>
      </c>
      <c r="AA62" s="10">
        <v>52.62</v>
      </c>
      <c r="AB62" s="95">
        <v>12825300</v>
      </c>
      <c r="AC62" s="10">
        <v>52.27</v>
      </c>
      <c r="AD62" s="2">
        <f t="shared" si="0"/>
        <v>1.509999999999998</v>
      </c>
      <c r="AE62" s="138">
        <f t="shared" si="1"/>
        <v>3.1373322809786997E-2</v>
      </c>
    </row>
    <row r="63" spans="1:31" x14ac:dyDescent="0.25">
      <c r="A63" s="381"/>
      <c r="B63" s="381"/>
      <c r="C63" s="381"/>
      <c r="D63" s="382"/>
      <c r="E63" s="382"/>
      <c r="F63" s="382"/>
      <c r="G63" s="381"/>
      <c r="H63" s="381"/>
      <c r="I63" s="382"/>
      <c r="J63" s="382"/>
      <c r="K63" s="382"/>
      <c r="L63" s="381"/>
      <c r="M63" s="381"/>
      <c r="W63" s="133">
        <v>42678</v>
      </c>
      <c r="X63" s="10">
        <v>50.5</v>
      </c>
      <c r="Y63" s="10">
        <v>51.45</v>
      </c>
      <c r="Z63" s="10">
        <v>50.46</v>
      </c>
      <c r="AA63" s="10">
        <v>51.01</v>
      </c>
      <c r="AB63" s="95">
        <v>12818000</v>
      </c>
      <c r="AC63" s="10">
        <v>50.68</v>
      </c>
      <c r="AD63" s="2">
        <f t="shared" si="0"/>
        <v>0.99000000000000199</v>
      </c>
      <c r="AE63" s="138">
        <f t="shared" si="1"/>
        <v>1.6038492381716063E-2</v>
      </c>
    </row>
    <row r="64" spans="1:31" x14ac:dyDescent="0.25">
      <c r="A64" s="22" t="s">
        <v>81</v>
      </c>
      <c r="B64" s="12"/>
      <c r="C64" s="12">
        <f>SUM(C48:C52)</f>
        <v>50</v>
      </c>
      <c r="D64" s="13"/>
      <c r="E64" s="13"/>
      <c r="F64" s="13">
        <f>SUM(F48:F52)</f>
        <v>2459</v>
      </c>
      <c r="G64" s="12"/>
      <c r="H64" s="12">
        <f>SUM(H48:H51)</f>
        <v>50</v>
      </c>
      <c r="I64" s="13"/>
      <c r="J64" s="13"/>
      <c r="K64" s="13">
        <f>SUM(K48:K51)</f>
        <v>2805.9400000000005</v>
      </c>
      <c r="L64" s="12"/>
      <c r="M64" s="13">
        <f>SUM(M48:M56)</f>
        <v>0</v>
      </c>
      <c r="W64" s="133">
        <v>42677</v>
      </c>
      <c r="X64" s="10">
        <v>50.51</v>
      </c>
      <c r="Y64" s="10">
        <v>50.88</v>
      </c>
      <c r="Z64" s="10">
        <v>50.1</v>
      </c>
      <c r="AA64" s="10">
        <v>50.21</v>
      </c>
      <c r="AB64" s="95">
        <v>14924800</v>
      </c>
      <c r="AC64" s="10">
        <v>49.88</v>
      </c>
      <c r="AD64" s="2">
        <f t="shared" si="0"/>
        <v>0.78000000000000114</v>
      </c>
      <c r="AE64" s="138">
        <f t="shared" si="1"/>
        <v>-7.1656050955414274E-3</v>
      </c>
    </row>
    <row r="65" spans="1:31" ht="15.75" thickBot="1" x14ac:dyDescent="0.3">
      <c r="A65" s="472" t="s">
        <v>198</v>
      </c>
      <c r="B65" s="473"/>
      <c r="C65" s="474">
        <f>SumByColor($A$19,C48:C63)</f>
        <v>0</v>
      </c>
      <c r="D65" s="474"/>
      <c r="E65" s="474"/>
      <c r="F65" s="475">
        <f>SumByColor($A$19,F48:F63)</f>
        <v>0</v>
      </c>
      <c r="G65" s="474"/>
      <c r="H65" s="474">
        <f>SumByColor($A$19,H48:H63)</f>
        <v>0</v>
      </c>
      <c r="I65" s="474"/>
      <c r="J65" s="474"/>
      <c r="K65" s="475">
        <f>SumByColor($A$19,K48:K63)</f>
        <v>0</v>
      </c>
      <c r="L65" s="474"/>
      <c r="M65" s="475">
        <f t="shared" ref="M65" si="16">SumByColor($A$19,M48:M63)</f>
        <v>0</v>
      </c>
      <c r="W65" s="133">
        <v>42676</v>
      </c>
      <c r="X65" s="10">
        <v>50.93</v>
      </c>
      <c r="Y65" s="10">
        <v>50.98</v>
      </c>
      <c r="Z65" s="10">
        <v>50.53</v>
      </c>
      <c r="AA65" s="10">
        <v>50.57</v>
      </c>
      <c r="AB65" s="95">
        <v>8197300</v>
      </c>
      <c r="AC65" s="10">
        <v>50.24</v>
      </c>
      <c r="AD65" s="2">
        <f t="shared" si="0"/>
        <v>0.44999999999999574</v>
      </c>
      <c r="AE65" s="138">
        <f t="shared" si="1"/>
        <v>-4.5571626708935664E-3</v>
      </c>
    </row>
    <row r="66" spans="1:31" x14ac:dyDescent="0.25">
      <c r="W66" s="133">
        <v>42675</v>
      </c>
      <c r="X66" s="10">
        <v>50.93</v>
      </c>
      <c r="Y66" s="10">
        <v>51.36</v>
      </c>
      <c r="Z66" s="10">
        <v>50.38</v>
      </c>
      <c r="AA66" s="10">
        <v>50.8</v>
      </c>
      <c r="AB66" s="95">
        <v>8740800</v>
      </c>
      <c r="AC66" s="10">
        <v>50.47</v>
      </c>
      <c r="AD66" s="2">
        <f t="shared" si="0"/>
        <v>0.97999999999999687</v>
      </c>
      <c r="AE66" s="138">
        <f t="shared" si="1"/>
        <v>-2.1747726374060639E-3</v>
      </c>
    </row>
    <row r="67" spans="1:31" x14ac:dyDescent="0.25">
      <c r="W67" s="133">
        <v>42674</v>
      </c>
      <c r="X67" s="10">
        <v>51.05</v>
      </c>
      <c r="Y67" s="10">
        <v>51.62</v>
      </c>
      <c r="Z67" s="10">
        <v>50.65</v>
      </c>
      <c r="AA67" s="10">
        <v>50.91</v>
      </c>
      <c r="AB67" s="95">
        <v>11326200</v>
      </c>
      <c r="AC67" s="10">
        <v>50.58</v>
      </c>
      <c r="AD67" s="2">
        <f>Y67-Z67</f>
        <v>0.96999999999999886</v>
      </c>
      <c r="AE67" s="138" t="e">
        <f>AC67/#REF!-1</f>
        <v>#REF!</v>
      </c>
    </row>
    <row r="68" spans="1:31" x14ac:dyDescent="0.25">
      <c r="W68" s="133">
        <v>42671</v>
      </c>
      <c r="X68" s="10">
        <v>52.11</v>
      </c>
      <c r="Y68" s="10">
        <v>52.22</v>
      </c>
      <c r="Z68" s="10">
        <v>50.66</v>
      </c>
      <c r="AA68" s="10">
        <v>51</v>
      </c>
      <c r="AB68" s="95">
        <v>13798700</v>
      </c>
      <c r="AC68" s="10">
        <v>50.67</v>
      </c>
      <c r="AD68" s="2" t="e">
        <f>#REF!-#REF!</f>
        <v>#REF!</v>
      </c>
      <c r="AE68" s="138" t="e">
        <f>#REF!/AC70-1</f>
        <v>#REF!</v>
      </c>
    </row>
    <row r="69" spans="1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Y70-Z70</f>
        <v>0</v>
      </c>
      <c r="AE69" s="138" t="e">
        <f>AC70/AC71-1</f>
        <v>#DIV/0!</v>
      </c>
    </row>
    <row r="70" spans="1:31" x14ac:dyDescent="0.25">
      <c r="W70" s="133"/>
      <c r="X70" s="10"/>
      <c r="Y70" s="10"/>
      <c r="Z70" s="10"/>
      <c r="AA70" s="10"/>
      <c r="AB70" s="95"/>
      <c r="AC70" s="10"/>
    </row>
    <row r="208" spans="21:21" x14ac:dyDescent="0.25">
      <c r="U208" s="235"/>
    </row>
    <row r="209" spans="21:21" x14ac:dyDescent="0.25">
      <c r="U209" s="235"/>
    </row>
    <row r="281" spans="21:21" x14ac:dyDescent="0.25">
      <c r="U281" s="284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{026227B1-848C-4D2C-90C1-BDAE7FBC6036}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885" priority="19">
      <formula>F34&gt;0</formula>
    </cfRule>
    <cfRule type="expression" dxfId="884" priority="20">
      <formula>F34&lt;0</formula>
    </cfRule>
  </conditionalFormatting>
  <conditionalFormatting sqref="Q7">
    <cfRule type="expression" dxfId="883" priority="17">
      <formula>Q7&gt;0</formula>
    </cfRule>
    <cfRule type="expression" dxfId="882" priority="18">
      <formula>Q7&lt;0</formula>
    </cfRule>
  </conditionalFormatting>
  <conditionalFormatting sqref="Q8">
    <cfRule type="expression" dxfId="881" priority="15">
      <formula>Q8&gt;0</formula>
    </cfRule>
    <cfRule type="expression" dxfId="880" priority="16">
      <formula>Q8&lt;0</formula>
    </cfRule>
  </conditionalFormatting>
  <conditionalFormatting sqref="F29:F33">
    <cfRule type="expression" dxfId="879" priority="13">
      <formula>F29&gt;0</formula>
    </cfRule>
    <cfRule type="expression" dxfId="878" priority="14">
      <formula>F29&lt;0</formula>
    </cfRule>
  </conditionalFormatting>
  <conditionalFormatting sqref="H29:H33">
    <cfRule type="expression" dxfId="877" priority="11">
      <formula>H29&gt;0</formula>
    </cfRule>
    <cfRule type="expression" dxfId="876" priority="12">
      <formula>H29&lt;0</formula>
    </cfRule>
  </conditionalFormatting>
  <conditionalFormatting sqref="F25:F28">
    <cfRule type="expression" dxfId="875" priority="7">
      <formula>F25&gt;0</formula>
    </cfRule>
    <cfRule type="expression" dxfId="874" priority="8">
      <formula>F25&lt;0</formula>
    </cfRule>
  </conditionalFormatting>
  <conditionalFormatting sqref="H25:H28">
    <cfRule type="expression" dxfId="873" priority="5">
      <formula>H25&gt;0</formula>
    </cfRule>
    <cfRule type="expression" dxfId="872" priority="6">
      <formula>H25&lt;0</formula>
    </cfRule>
  </conditionalFormatting>
  <conditionalFormatting sqref="Q10">
    <cfRule type="expression" dxfId="871" priority="3">
      <formula>Q10&gt;0</formula>
    </cfRule>
    <cfRule type="expression" dxfId="870" priority="4">
      <formula>Q10&lt;0</formula>
    </cfRule>
  </conditionalFormatting>
  <conditionalFormatting sqref="M46">
    <cfRule type="expression" dxfId="869" priority="1">
      <formula>M46&gt;0</formula>
    </cfRule>
    <cfRule type="expression" dxfId="868" priority="2">
      <formula>M46&lt;0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26227B1-848C-4D2C-90C1-BDAE7FBC60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6.710937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262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1"/>
      <c r="W2" s="133">
        <v>42768</v>
      </c>
      <c r="X2" s="10">
        <v>68.37</v>
      </c>
      <c r="Y2" s="10">
        <v>69.67</v>
      </c>
      <c r="Z2" s="10">
        <v>67.83</v>
      </c>
      <c r="AA2" s="10">
        <v>69.400000000000006</v>
      </c>
      <c r="AB2" s="95">
        <v>1329800</v>
      </c>
      <c r="AC2" s="10">
        <v>69.400000000000006</v>
      </c>
      <c r="AD2" s="2">
        <f>Y2-Z2</f>
        <v>1.8400000000000034</v>
      </c>
      <c r="AE2" s="138">
        <f>AC2/AC3-1</f>
        <v>1.0189228529839944E-2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69.55</v>
      </c>
      <c r="T3" s="1"/>
      <c r="W3" s="133">
        <v>42767</v>
      </c>
      <c r="X3" s="10">
        <v>68.67</v>
      </c>
      <c r="Y3" s="10">
        <v>68.8</v>
      </c>
      <c r="Z3" s="10">
        <v>67.760000000000005</v>
      </c>
      <c r="AA3" s="10">
        <v>68.7</v>
      </c>
      <c r="AB3" s="95">
        <v>1574000</v>
      </c>
      <c r="AC3" s="10">
        <v>68.7</v>
      </c>
      <c r="AD3" s="2">
        <f t="shared" ref="AD3:AD66" si="0">Y3-Z3</f>
        <v>1.039999999999992</v>
      </c>
      <c r="AE3" s="138">
        <f t="shared" ref="AE3:AE66" si="1">AC3/AC4-1</f>
        <v>1.6037323224959987E-3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O4" s="11" t="s">
        <v>66</v>
      </c>
      <c r="Q4" s="55">
        <v>69.55</v>
      </c>
      <c r="R4" s="505">
        <v>2.2000000000000001E-3</v>
      </c>
      <c r="T4" s="163"/>
      <c r="U4" s="1"/>
      <c r="W4" s="133">
        <v>42766</v>
      </c>
      <c r="X4" s="10">
        <v>67.569999999999993</v>
      </c>
      <c r="Y4" s="10">
        <v>68.849999999999994</v>
      </c>
      <c r="Z4" s="10">
        <v>67.2</v>
      </c>
      <c r="AA4" s="10">
        <v>68.59</v>
      </c>
      <c r="AB4" s="95">
        <v>1540900</v>
      </c>
      <c r="AC4" s="10">
        <v>68.59</v>
      </c>
      <c r="AD4" s="2">
        <f t="shared" si="0"/>
        <v>1.6499999999999915</v>
      </c>
      <c r="AE4" s="138">
        <f t="shared" si="1"/>
        <v>1.150272821117837E-2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0</v>
      </c>
      <c r="W5" s="133">
        <v>42765</v>
      </c>
      <c r="X5" s="10">
        <v>67.989999999999995</v>
      </c>
      <c r="Y5" s="10">
        <v>68.349999999999994</v>
      </c>
      <c r="Z5" s="10">
        <v>67.36</v>
      </c>
      <c r="AA5" s="10">
        <v>67.81</v>
      </c>
      <c r="AB5" s="95">
        <v>1880600</v>
      </c>
      <c r="AC5" s="10">
        <v>67.81</v>
      </c>
      <c r="AD5" s="2">
        <f t="shared" si="0"/>
        <v>0.98999999999999488</v>
      </c>
      <c r="AE5" s="138">
        <f t="shared" si="1"/>
        <v>-2.3539796969250792E-3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42762</v>
      </c>
      <c r="X6" s="10">
        <v>68.040000000000006</v>
      </c>
      <c r="Y6" s="10">
        <v>68.08</v>
      </c>
      <c r="Z6" s="10">
        <v>67.55</v>
      </c>
      <c r="AA6" s="10">
        <v>67.97</v>
      </c>
      <c r="AB6" s="95">
        <v>1535700</v>
      </c>
      <c r="AC6" s="10">
        <v>67.97</v>
      </c>
      <c r="AD6" s="2">
        <f t="shared" si="0"/>
        <v>0.53000000000000114</v>
      </c>
      <c r="AE6" s="138">
        <f t="shared" si="1"/>
        <v>2.803186780761191E-3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181</v>
      </c>
      <c r="Q7" s="2">
        <f>Q10+Q8</f>
        <v>92.650000000000091</v>
      </c>
      <c r="R7">
        <v>0</v>
      </c>
      <c r="W7" s="133">
        <v>42761</v>
      </c>
      <c r="X7" s="10">
        <v>68.540000000000006</v>
      </c>
      <c r="Y7" s="10">
        <v>68.7</v>
      </c>
      <c r="Z7" s="10">
        <v>67.73</v>
      </c>
      <c r="AA7" s="10">
        <v>67.78</v>
      </c>
      <c r="AB7" s="95">
        <v>1414600</v>
      </c>
      <c r="AC7" s="10">
        <v>67.78</v>
      </c>
      <c r="AD7" s="2">
        <f t="shared" si="0"/>
        <v>0.96999999999999886</v>
      </c>
      <c r="AE7" s="138">
        <f t="shared" si="1"/>
        <v>-1.3822202822639351E-2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184</v>
      </c>
      <c r="P8" s="34"/>
      <c r="Q8" s="2">
        <f>K18+M18-F18+Q2*Q4</f>
        <v>0</v>
      </c>
      <c r="W8" s="133">
        <v>42760</v>
      </c>
      <c r="X8" s="10">
        <v>68.349999999999994</v>
      </c>
      <c r="Y8" s="10">
        <v>68.819999999999993</v>
      </c>
      <c r="Z8" s="10">
        <v>67.790000000000006</v>
      </c>
      <c r="AA8" s="10">
        <v>68.73</v>
      </c>
      <c r="AB8" s="95">
        <v>1751300</v>
      </c>
      <c r="AC8" s="10">
        <v>68.73</v>
      </c>
      <c r="AD8" s="2">
        <f t="shared" si="0"/>
        <v>1.0299999999999869</v>
      </c>
      <c r="AE8" s="138">
        <f t="shared" si="1"/>
        <v>1.4614703277236574E-2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O9" s="11" t="s">
        <v>214</v>
      </c>
      <c r="Q9" s="138">
        <f>IF(Q2=0, 0, Q8/Q6)</f>
        <v>0</v>
      </c>
      <c r="W9" s="133">
        <v>42759</v>
      </c>
      <c r="X9" s="10">
        <v>67.97</v>
      </c>
      <c r="Y9" s="10">
        <v>68.28</v>
      </c>
      <c r="Z9" s="10">
        <v>67.47</v>
      </c>
      <c r="AA9" s="10">
        <v>67.739999999999995</v>
      </c>
      <c r="AB9" s="95">
        <v>1564000</v>
      </c>
      <c r="AC9" s="10">
        <v>67.739999999999995</v>
      </c>
      <c r="AD9" s="2">
        <f t="shared" si="0"/>
        <v>0.81000000000000227</v>
      </c>
      <c r="AE9" s="138">
        <f t="shared" si="1"/>
        <v>-3.3838458143299333E-3</v>
      </c>
    </row>
    <row r="10" spans="1:31" x14ac:dyDescent="0.25">
      <c r="B10" s="4"/>
      <c r="C10" s="4"/>
      <c r="D10" s="3"/>
      <c r="E10" s="3"/>
      <c r="F10" s="3"/>
      <c r="G10" s="4"/>
      <c r="H10" s="185"/>
      <c r="I10" s="3"/>
      <c r="J10" s="3"/>
      <c r="K10" s="3"/>
      <c r="L10" s="4"/>
      <c r="O10" s="11" t="s">
        <v>213</v>
      </c>
      <c r="P10" s="34"/>
      <c r="Q10" s="2">
        <f>M46</f>
        <v>92.650000000000091</v>
      </c>
      <c r="W10" s="133">
        <v>42758</v>
      </c>
      <c r="X10" s="10">
        <v>69.05</v>
      </c>
      <c r="Y10" s="10">
        <v>69.349999999999994</v>
      </c>
      <c r="Z10" s="10">
        <v>67.84</v>
      </c>
      <c r="AA10" s="10">
        <v>67.97</v>
      </c>
      <c r="AB10" s="95">
        <v>1455800</v>
      </c>
      <c r="AC10" s="10">
        <v>67.97</v>
      </c>
      <c r="AD10" s="2">
        <f t="shared" si="0"/>
        <v>1.5099999999999909</v>
      </c>
      <c r="AE10" s="138">
        <f t="shared" si="1"/>
        <v>-1.7064352856109966E-2</v>
      </c>
    </row>
    <row r="11" spans="1:31" x14ac:dyDescent="0.25">
      <c r="B11" s="4"/>
      <c r="C11" s="4"/>
      <c r="D11" s="3"/>
      <c r="E11" s="3"/>
      <c r="F11" s="3"/>
      <c r="G11" s="4"/>
      <c r="H11" s="185"/>
      <c r="I11" s="3"/>
      <c r="J11" s="3"/>
      <c r="K11" s="3"/>
      <c r="L11" s="4"/>
      <c r="O11" s="11" t="s">
        <v>178</v>
      </c>
      <c r="P11" s="34"/>
      <c r="Q11" s="138">
        <f>IF(U58="N/A (N/A)", 0, VALUE(TRIM(CLEAN(MID(U58, FIND("(", U58)+1, 5)))))</f>
        <v>0</v>
      </c>
      <c r="W11" s="133">
        <v>42755</v>
      </c>
      <c r="X11" s="10">
        <v>69.36</v>
      </c>
      <c r="Y11" s="10">
        <v>69.599999999999994</v>
      </c>
      <c r="Z11" s="10">
        <v>68.849999999999994</v>
      </c>
      <c r="AA11" s="10">
        <v>69.150000000000006</v>
      </c>
      <c r="AB11" s="95">
        <v>1434900</v>
      </c>
      <c r="AC11" s="10">
        <v>69.150000000000006</v>
      </c>
      <c r="AD11" s="2">
        <f t="shared" si="0"/>
        <v>0.75</v>
      </c>
      <c r="AE11" s="138">
        <f t="shared" si="1"/>
        <v>2.4644824586836922E-3</v>
      </c>
    </row>
    <row r="12" spans="1:31" x14ac:dyDescent="0.25">
      <c r="H12" s="72"/>
      <c r="W12" s="133">
        <v>42754</v>
      </c>
      <c r="X12" s="10">
        <v>69.36</v>
      </c>
      <c r="Y12" s="10">
        <v>69.739999999999995</v>
      </c>
      <c r="Z12" s="10">
        <v>68.959999999999994</v>
      </c>
      <c r="AA12" s="10">
        <v>68.98</v>
      </c>
      <c r="AB12" s="95">
        <v>1409700</v>
      </c>
      <c r="AC12" s="10">
        <v>68.98</v>
      </c>
      <c r="AD12" s="2">
        <f t="shared" si="0"/>
        <v>0.78000000000000114</v>
      </c>
      <c r="AE12" s="138">
        <f t="shared" si="1"/>
        <v>-8.9080459770113363E-3</v>
      </c>
    </row>
    <row r="13" spans="1:31" x14ac:dyDescent="0.25">
      <c r="H13" s="72"/>
      <c r="W13" s="133">
        <v>42753</v>
      </c>
      <c r="X13" s="10">
        <v>69.739999999999995</v>
      </c>
      <c r="Y13" s="10">
        <v>69.81</v>
      </c>
      <c r="Z13" s="10">
        <v>68.94</v>
      </c>
      <c r="AA13" s="10">
        <v>69.599999999999994</v>
      </c>
      <c r="AB13" s="95">
        <v>1071500</v>
      </c>
      <c r="AC13" s="10">
        <v>69.599999999999994</v>
      </c>
      <c r="AD13" s="2">
        <f t="shared" si="0"/>
        <v>0.87000000000000455</v>
      </c>
      <c r="AE13" s="138">
        <f t="shared" si="1"/>
        <v>-2.7224530735063812E-3</v>
      </c>
    </row>
    <row r="14" spans="1:31" x14ac:dyDescent="0.25">
      <c r="H14" s="72"/>
      <c r="W14" s="133">
        <v>42752</v>
      </c>
      <c r="X14" s="10">
        <v>69.81</v>
      </c>
      <c r="Y14" s="10">
        <v>70</v>
      </c>
      <c r="Z14" s="10">
        <v>69.180000000000007</v>
      </c>
      <c r="AA14" s="10">
        <v>69.790000000000006</v>
      </c>
      <c r="AB14" s="95">
        <v>1011100</v>
      </c>
      <c r="AC14" s="10">
        <v>69.790000000000006</v>
      </c>
      <c r="AD14" s="2">
        <f t="shared" si="0"/>
        <v>0.81999999999999318</v>
      </c>
      <c r="AE14" s="138">
        <f t="shared" si="1"/>
        <v>-3.2847757783488474E-3</v>
      </c>
    </row>
    <row r="15" spans="1:31" x14ac:dyDescent="0.25">
      <c r="H15" s="72"/>
      <c r="W15" s="133">
        <v>42748</v>
      </c>
      <c r="X15" s="10">
        <v>70.23</v>
      </c>
      <c r="Y15" s="10">
        <v>70.42</v>
      </c>
      <c r="Z15" s="10">
        <v>69.86</v>
      </c>
      <c r="AA15" s="10">
        <v>70.02</v>
      </c>
      <c r="AB15" s="95">
        <v>1475000</v>
      </c>
      <c r="AC15" s="10">
        <v>70.02</v>
      </c>
      <c r="AD15" s="2">
        <f t="shared" si="0"/>
        <v>0.56000000000000227</v>
      </c>
      <c r="AE15" s="138">
        <f t="shared" si="1"/>
        <v>1.2870012870012104E-3</v>
      </c>
    </row>
    <row r="16" spans="1:31" x14ac:dyDescent="0.25">
      <c r="H16" s="72"/>
      <c r="W16" s="133">
        <v>42747</v>
      </c>
      <c r="X16" s="10">
        <v>70.010000000000005</v>
      </c>
      <c r="Y16" s="10">
        <v>70.3</v>
      </c>
      <c r="Z16" s="10">
        <v>69.150000000000006</v>
      </c>
      <c r="AA16" s="10">
        <v>69.930000000000007</v>
      </c>
      <c r="AB16" s="95">
        <v>1259700</v>
      </c>
      <c r="AC16" s="10">
        <v>69.930000000000007</v>
      </c>
      <c r="AD16" s="2">
        <f t="shared" si="0"/>
        <v>1.1499999999999915</v>
      </c>
      <c r="AE16" s="138">
        <f t="shared" si="1"/>
        <v>-2.7096406160866948E-3</v>
      </c>
    </row>
    <row r="17" spans="1:31" x14ac:dyDescent="0.25">
      <c r="W17" s="133">
        <v>42746</v>
      </c>
      <c r="X17" s="10">
        <v>70.59</v>
      </c>
      <c r="Y17" s="10">
        <v>71.64</v>
      </c>
      <c r="Z17" s="10">
        <v>70.09</v>
      </c>
      <c r="AA17" s="10">
        <v>70.12</v>
      </c>
      <c r="AB17" s="95">
        <v>2247200</v>
      </c>
      <c r="AC17" s="10">
        <v>70.12</v>
      </c>
      <c r="AD17" s="2">
        <f t="shared" si="0"/>
        <v>1.5499999999999972</v>
      </c>
      <c r="AE17" s="138">
        <f t="shared" si="1"/>
        <v>-2.2766078542970636E-3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42745</v>
      </c>
      <c r="X18" s="10">
        <v>70</v>
      </c>
      <c r="Y18" s="10">
        <v>70.48</v>
      </c>
      <c r="Z18" s="10">
        <v>69.819999999999993</v>
      </c>
      <c r="AA18" s="10">
        <v>70.28</v>
      </c>
      <c r="AB18" s="95">
        <v>1458300</v>
      </c>
      <c r="AC18" s="10">
        <v>70.28</v>
      </c>
      <c r="AD18" s="2">
        <f t="shared" si="0"/>
        <v>0.6600000000000108</v>
      </c>
      <c r="AE18" s="138">
        <f t="shared" si="1"/>
        <v>4.0000000000000036E-3</v>
      </c>
    </row>
    <row r="19" spans="1:31" ht="15.75" thickBot="1" x14ac:dyDescent="0.3">
      <c r="A19" s="356" t="s">
        <v>198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 t="shared" ref="M19" si="2">SumByColor($A$19,M2:M17)</f>
        <v>0</v>
      </c>
      <c r="W19" s="133">
        <v>42744</v>
      </c>
      <c r="X19" s="10">
        <v>69.739999999999995</v>
      </c>
      <c r="Y19" s="10">
        <v>70.290000000000006</v>
      </c>
      <c r="Z19" s="10">
        <v>69.7</v>
      </c>
      <c r="AA19" s="10">
        <v>70</v>
      </c>
      <c r="AB19" s="95">
        <v>1550300</v>
      </c>
      <c r="AC19" s="10">
        <v>70</v>
      </c>
      <c r="AD19" s="2">
        <f t="shared" si="0"/>
        <v>0.59000000000000341</v>
      </c>
      <c r="AE19" s="138">
        <f t="shared" si="1"/>
        <v>3.0090270812437314E-3</v>
      </c>
    </row>
    <row r="20" spans="1:31" x14ac:dyDescent="0.25">
      <c r="W20" s="133">
        <v>42741</v>
      </c>
      <c r="X20" s="10">
        <v>69.38</v>
      </c>
      <c r="Y20" s="10">
        <v>70.510000000000005</v>
      </c>
      <c r="Z20" s="10">
        <v>68.92</v>
      </c>
      <c r="AA20" s="10">
        <v>69.790000000000006</v>
      </c>
      <c r="AB20" s="95">
        <v>1967300</v>
      </c>
      <c r="AC20" s="10">
        <v>69.790000000000006</v>
      </c>
      <c r="AD20" s="2">
        <f t="shared" si="0"/>
        <v>1.5900000000000034</v>
      </c>
      <c r="AE20" s="138">
        <f t="shared" si="1"/>
        <v>3.4507548526241383E-3</v>
      </c>
    </row>
    <row r="21" spans="1:31" x14ac:dyDescent="0.25">
      <c r="W21" s="133">
        <v>42740</v>
      </c>
      <c r="X21" s="10">
        <v>68.12</v>
      </c>
      <c r="Y21" s="10">
        <v>69.75</v>
      </c>
      <c r="Z21" s="10">
        <v>68.12</v>
      </c>
      <c r="AA21" s="10">
        <v>69.55</v>
      </c>
      <c r="AB21" s="95">
        <v>1779800</v>
      </c>
      <c r="AC21" s="10">
        <v>69.55</v>
      </c>
      <c r="AD21" s="2">
        <f t="shared" si="0"/>
        <v>1.6299999999999955</v>
      </c>
      <c r="AE21" s="138">
        <f t="shared" si="1"/>
        <v>1.7854529489243376E-2</v>
      </c>
    </row>
    <row r="22" spans="1:31" x14ac:dyDescent="0.25">
      <c r="W22" s="133">
        <v>42739</v>
      </c>
      <c r="X22" s="10">
        <v>67.510000000000005</v>
      </c>
      <c r="Y22" s="10">
        <v>68.47</v>
      </c>
      <c r="Z22" s="10">
        <v>67.19</v>
      </c>
      <c r="AA22" s="10">
        <v>68.33</v>
      </c>
      <c r="AB22" s="95">
        <v>1171000</v>
      </c>
      <c r="AC22" s="10">
        <v>68.33</v>
      </c>
      <c r="AD22" s="2">
        <f t="shared" si="0"/>
        <v>1.2800000000000011</v>
      </c>
      <c r="AE22" s="138">
        <f t="shared" si="1"/>
        <v>1.1247595086576911E-2</v>
      </c>
    </row>
    <row r="23" spans="1:31" x14ac:dyDescent="0.25">
      <c r="W23" s="133">
        <v>42738</v>
      </c>
      <c r="X23" s="10">
        <v>67.27</v>
      </c>
      <c r="Y23" s="10">
        <v>68.37</v>
      </c>
      <c r="Z23" s="10">
        <v>67.11</v>
      </c>
      <c r="AA23" s="10">
        <v>67.569999999999993</v>
      </c>
      <c r="AB23" s="95">
        <v>1077400</v>
      </c>
      <c r="AC23" s="10">
        <v>67.569999999999993</v>
      </c>
      <c r="AD23" s="2">
        <f t="shared" si="0"/>
        <v>1.2600000000000051</v>
      </c>
      <c r="AE23" s="138">
        <f t="shared" si="1"/>
        <v>1.334733053389292E-2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155</v>
      </c>
      <c r="W24" s="133">
        <v>42734</v>
      </c>
      <c r="X24" s="10">
        <v>67.25</v>
      </c>
      <c r="Y24" s="10">
        <v>67.55</v>
      </c>
      <c r="Z24" s="10">
        <v>66.349999999999994</v>
      </c>
      <c r="AA24" s="10">
        <v>66.680000000000007</v>
      </c>
      <c r="AB24" s="95">
        <v>966400</v>
      </c>
      <c r="AC24" s="10">
        <v>66.680000000000007</v>
      </c>
      <c r="AD24" s="2">
        <f t="shared" si="0"/>
        <v>1.2000000000000028</v>
      </c>
      <c r="AE24" s="138">
        <f t="shared" si="1"/>
        <v>-5.3699284009546266E-3</v>
      </c>
    </row>
    <row r="25" spans="1:31" x14ac:dyDescent="0.25">
      <c r="B25" s="193">
        <v>42577</v>
      </c>
      <c r="C25" s="10">
        <v>30</v>
      </c>
      <c r="D25" s="40">
        <v>52</v>
      </c>
      <c r="E25" s="40">
        <v>58.09</v>
      </c>
      <c r="F25" s="40">
        <f t="shared" ref="F25" si="3">C25*(E25-D25)</f>
        <v>182.7000000000001</v>
      </c>
      <c r="G25" s="40">
        <f t="shared" ref="G25" si="4">D25*C25</f>
        <v>1560</v>
      </c>
      <c r="H25" s="231">
        <f t="shared" ref="H25" si="5">(E25-D25)/D25</f>
        <v>0.11711538461538468</v>
      </c>
      <c r="I25" s="40" t="s">
        <v>263</v>
      </c>
      <c r="W25" s="133">
        <v>42733</v>
      </c>
      <c r="X25" s="10">
        <v>67.14</v>
      </c>
      <c r="Y25" s="10">
        <v>67.83</v>
      </c>
      <c r="Z25" s="10">
        <v>66.88</v>
      </c>
      <c r="AA25" s="10">
        <v>67.040000000000006</v>
      </c>
      <c r="AB25" s="95">
        <v>589400</v>
      </c>
      <c r="AC25" s="10">
        <v>67.040000000000006</v>
      </c>
      <c r="AD25" s="2">
        <f t="shared" si="0"/>
        <v>0.95000000000000284</v>
      </c>
      <c r="AE25" s="138">
        <f t="shared" si="1"/>
        <v>-3.4190575293591152E-3</v>
      </c>
    </row>
    <row r="26" spans="1:31" x14ac:dyDescent="0.25">
      <c r="B26" s="193">
        <v>42578</v>
      </c>
      <c r="C26" s="10">
        <v>50</v>
      </c>
      <c r="D26" s="40">
        <v>50.607999999999997</v>
      </c>
      <c r="E26" s="40">
        <v>50.51</v>
      </c>
      <c r="F26" s="40">
        <f t="shared" ref="F26" si="6">C26*(E26-D26)</f>
        <v>-4.8999999999999488</v>
      </c>
      <c r="G26" s="40">
        <f t="shared" ref="G26" si="7">D26*C26</f>
        <v>2530.3999999999996</v>
      </c>
      <c r="H26" s="231">
        <f t="shared" ref="H26" si="8">(E26-D26)/D26</f>
        <v>-1.9364527347454747E-3</v>
      </c>
      <c r="I26" s="40"/>
      <c r="W26" s="133">
        <v>42732</v>
      </c>
      <c r="X26" s="10">
        <v>68.13</v>
      </c>
      <c r="Y26" s="10">
        <v>68.3</v>
      </c>
      <c r="Z26" s="10">
        <v>67.12</v>
      </c>
      <c r="AA26" s="10">
        <v>67.27</v>
      </c>
      <c r="AB26" s="95">
        <v>703200</v>
      </c>
      <c r="AC26" s="10">
        <v>67.27</v>
      </c>
      <c r="AD26" s="2">
        <f t="shared" si="0"/>
        <v>1.1799999999999926</v>
      </c>
      <c r="AE26" s="138">
        <f t="shared" si="1"/>
        <v>-1.2042884417682642E-2</v>
      </c>
    </row>
    <row r="27" spans="1:31" x14ac:dyDescent="0.25">
      <c r="B27" s="193">
        <v>42580</v>
      </c>
      <c r="C27" s="10">
        <v>20</v>
      </c>
      <c r="D27" s="40">
        <v>50.396500000000003</v>
      </c>
      <c r="E27" s="40">
        <v>50.53</v>
      </c>
      <c r="F27" s="40">
        <f t="shared" ref="F27" si="9">C27*(E27-D27)</f>
        <v>2.6699999999999591</v>
      </c>
      <c r="G27" s="40">
        <f t="shared" ref="G27" si="10">D27*C27</f>
        <v>1007.9300000000001</v>
      </c>
      <c r="H27" s="231">
        <f t="shared" ref="H27" si="11">(E27-D27)/D27</f>
        <v>2.6489934816901562E-3</v>
      </c>
      <c r="I27" s="40" t="s">
        <v>266</v>
      </c>
      <c r="W27" s="133">
        <v>42731</v>
      </c>
      <c r="X27" s="10">
        <v>67.63</v>
      </c>
      <c r="Y27" s="10">
        <v>68.39</v>
      </c>
      <c r="Z27" s="10">
        <v>67.27</v>
      </c>
      <c r="AA27" s="10">
        <v>68.09</v>
      </c>
      <c r="AB27" s="95">
        <v>607100</v>
      </c>
      <c r="AC27" s="10">
        <v>68.09</v>
      </c>
      <c r="AD27" s="2">
        <f t="shared" si="0"/>
        <v>1.1200000000000045</v>
      </c>
      <c r="AE27" s="138">
        <f t="shared" si="1"/>
        <v>6.8017152151413907E-3</v>
      </c>
    </row>
    <row r="28" spans="1:31" x14ac:dyDescent="0.25">
      <c r="B28" s="193">
        <v>42585</v>
      </c>
      <c r="C28" s="10">
        <v>20</v>
      </c>
      <c r="D28" s="40">
        <v>50.396500000000003</v>
      </c>
      <c r="E28" s="40">
        <v>49.96</v>
      </c>
      <c r="F28" s="40">
        <f t="shared" ref="F28" si="12">C28*(E28-D28)</f>
        <v>-8.7300000000000466</v>
      </c>
      <c r="G28" s="40">
        <f t="shared" ref="G28" si="13">D28*C28</f>
        <v>1007.9300000000001</v>
      </c>
      <c r="H28" s="231">
        <f t="shared" ref="H28" si="14">(E28-D28)/D28</f>
        <v>-8.6613157659758567E-3</v>
      </c>
      <c r="I28" s="40"/>
      <c r="W28" s="133">
        <v>42727</v>
      </c>
      <c r="X28" s="10">
        <v>67.31</v>
      </c>
      <c r="Y28" s="10">
        <v>67.75</v>
      </c>
      <c r="Z28" s="10">
        <v>67.11</v>
      </c>
      <c r="AA28" s="10">
        <v>67.63</v>
      </c>
      <c r="AB28" s="95">
        <v>571500</v>
      </c>
      <c r="AC28" s="10">
        <v>67.63</v>
      </c>
      <c r="AD28" s="2">
        <f t="shared" si="0"/>
        <v>0.64000000000000057</v>
      </c>
      <c r="AE28" s="138">
        <f t="shared" si="1"/>
        <v>3.8592845480183158E-3</v>
      </c>
    </row>
    <row r="29" spans="1:31" x14ac:dyDescent="0.25">
      <c r="B29" s="193">
        <v>42593</v>
      </c>
      <c r="C29" s="10">
        <v>20</v>
      </c>
      <c r="D29" s="40">
        <v>50.396500000000003</v>
      </c>
      <c r="E29" s="40">
        <v>52.02</v>
      </c>
      <c r="F29" s="40">
        <f t="shared" ref="F29" si="15">C29*(E29-D29)</f>
        <v>32.47</v>
      </c>
      <c r="G29" s="40">
        <f t="shared" ref="G29" si="16">D29*C29</f>
        <v>1007.9300000000001</v>
      </c>
      <c r="H29" s="231">
        <f t="shared" ref="H29" si="17">(E29-D29)/D29</f>
        <v>3.22145387080452E-2</v>
      </c>
      <c r="I29" s="40"/>
      <c r="W29" s="133">
        <v>42726</v>
      </c>
      <c r="X29" s="10">
        <v>68.16</v>
      </c>
      <c r="Y29" s="10">
        <v>68.680000000000007</v>
      </c>
      <c r="Z29" s="10">
        <v>67.239999999999995</v>
      </c>
      <c r="AA29" s="10">
        <v>67.37</v>
      </c>
      <c r="AB29" s="95">
        <v>965900</v>
      </c>
      <c r="AC29" s="10">
        <v>67.37</v>
      </c>
      <c r="AD29" s="2">
        <f t="shared" si="0"/>
        <v>1.4400000000000119</v>
      </c>
      <c r="AE29" s="138">
        <f t="shared" si="1"/>
        <v>-7.3670251952261401E-3</v>
      </c>
    </row>
    <row r="30" spans="1:31" x14ac:dyDescent="0.25">
      <c r="B30" s="193">
        <v>42601</v>
      </c>
      <c r="C30" s="10">
        <v>20</v>
      </c>
      <c r="D30" s="40">
        <v>50.396500000000003</v>
      </c>
      <c r="E30" s="40">
        <v>52.95</v>
      </c>
      <c r="F30" s="40">
        <f t="shared" ref="F30" si="18">C30*(E30-D30)</f>
        <v>51.069999999999993</v>
      </c>
      <c r="G30" s="40">
        <f t="shared" ref="G30" si="19">D30*C30</f>
        <v>1007.9300000000001</v>
      </c>
      <c r="H30" s="231">
        <f t="shared" ref="H30" si="20">(E30-D30)/D30</f>
        <v>5.0668201164763414E-2</v>
      </c>
      <c r="I30" s="40"/>
      <c r="W30" s="133">
        <v>42725</v>
      </c>
      <c r="X30" s="10">
        <v>68.849999999999994</v>
      </c>
      <c r="Y30" s="10">
        <v>69.260000000000005</v>
      </c>
      <c r="Z30" s="10">
        <v>67.790000000000006</v>
      </c>
      <c r="AA30" s="10">
        <v>67.87</v>
      </c>
      <c r="AB30" s="95">
        <v>1002900</v>
      </c>
      <c r="AC30" s="10">
        <v>67.87</v>
      </c>
      <c r="AD30" s="2">
        <f t="shared" si="0"/>
        <v>1.4699999999999989</v>
      </c>
      <c r="AE30" s="138">
        <f t="shared" si="1"/>
        <v>-1.2081513828238744E-2</v>
      </c>
    </row>
    <row r="31" spans="1:31" x14ac:dyDescent="0.25">
      <c r="B31" s="193">
        <v>42605</v>
      </c>
      <c r="C31" s="10">
        <v>20</v>
      </c>
      <c r="D31" s="40">
        <v>50.396500000000003</v>
      </c>
      <c r="E31" s="40">
        <v>53.6</v>
      </c>
      <c r="F31" s="40">
        <f t="shared" ref="F31" si="21">C31*(E31-D31)</f>
        <v>64.069999999999965</v>
      </c>
      <c r="G31" s="40">
        <f t="shared" ref="G31" si="22">D31*C31</f>
        <v>1007.9300000000001</v>
      </c>
      <c r="H31" s="231">
        <f t="shared" ref="H31" si="23">(E31-D31)/D31</f>
        <v>6.3565922236663228E-2</v>
      </c>
      <c r="I31" s="40"/>
      <c r="W31" s="133">
        <v>42724</v>
      </c>
      <c r="X31" s="10">
        <v>67.819999999999993</v>
      </c>
      <c r="Y31" s="10">
        <v>68.84</v>
      </c>
      <c r="Z31" s="10">
        <v>67.8</v>
      </c>
      <c r="AA31" s="10">
        <v>68.7</v>
      </c>
      <c r="AB31" s="95">
        <v>1274600</v>
      </c>
      <c r="AC31" s="10">
        <v>68.7</v>
      </c>
      <c r="AD31" s="2">
        <f t="shared" si="0"/>
        <v>1.0400000000000063</v>
      </c>
      <c r="AE31" s="138">
        <f t="shared" si="1"/>
        <v>1.387249114521838E-2</v>
      </c>
    </row>
    <row r="32" spans="1:31" x14ac:dyDescent="0.25">
      <c r="B32" s="193">
        <v>42606</v>
      </c>
      <c r="C32" s="10">
        <v>20</v>
      </c>
      <c r="D32" s="40">
        <v>50.396500000000003</v>
      </c>
      <c r="E32" s="40">
        <v>53.98</v>
      </c>
      <c r="F32" s="40">
        <f t="shared" ref="F32" si="24">C32*(E32-D32)</f>
        <v>71.669999999999874</v>
      </c>
      <c r="G32" s="40">
        <f t="shared" ref="G32" si="25">D32*C32</f>
        <v>1007.9300000000001</v>
      </c>
      <c r="H32" s="231">
        <f t="shared" ref="H32" si="26">(E32-D32)/D32</f>
        <v>7.1106128401773799E-2</v>
      </c>
      <c r="I32" s="40"/>
      <c r="W32" s="133">
        <v>42723</v>
      </c>
      <c r="X32" s="10">
        <v>67.34</v>
      </c>
      <c r="Y32" s="10">
        <v>68.069999999999993</v>
      </c>
      <c r="Z32" s="10">
        <v>66.44</v>
      </c>
      <c r="AA32" s="10">
        <v>67.760000000000005</v>
      </c>
      <c r="AB32" s="95">
        <v>923800</v>
      </c>
      <c r="AC32" s="10">
        <v>67.760000000000005</v>
      </c>
      <c r="AD32" s="2">
        <f t="shared" si="0"/>
        <v>1.6299999999999955</v>
      </c>
      <c r="AE32" s="138">
        <f t="shared" si="1"/>
        <v>8.4834052686413308E-3</v>
      </c>
    </row>
    <row r="33" spans="1:31" x14ac:dyDescent="0.25">
      <c r="B33" s="193">
        <v>42609</v>
      </c>
      <c r="C33" s="10">
        <v>20</v>
      </c>
      <c r="D33" s="40">
        <v>50.396500000000003</v>
      </c>
      <c r="E33" s="40">
        <v>55.31</v>
      </c>
      <c r="F33" s="40">
        <f t="shared" ref="F33" si="27">C33*(E33-D33)</f>
        <v>98.269999999999982</v>
      </c>
      <c r="G33" s="40">
        <f t="shared" ref="G33" si="28">D33*C33</f>
        <v>1007.9300000000001</v>
      </c>
      <c r="H33" s="231">
        <f t="shared" ref="H33" si="29">(E33-D33)/D33</f>
        <v>9.7496849979661265E-2</v>
      </c>
      <c r="I33" s="236"/>
      <c r="W33" s="133">
        <v>42720</v>
      </c>
      <c r="X33" s="10">
        <v>67.92</v>
      </c>
      <c r="Y33" s="10">
        <v>68.430000000000007</v>
      </c>
      <c r="Z33" s="10">
        <v>66.63</v>
      </c>
      <c r="AA33" s="10">
        <v>67.19</v>
      </c>
      <c r="AB33" s="95">
        <v>2565500</v>
      </c>
      <c r="AC33" s="10">
        <v>67.19</v>
      </c>
      <c r="AD33" s="2">
        <f t="shared" si="0"/>
        <v>1.8000000000000114</v>
      </c>
      <c r="AE33" s="138">
        <f t="shared" si="1"/>
        <v>-5.770938147380944E-3</v>
      </c>
    </row>
    <row r="34" spans="1:31" x14ac:dyDescent="0.25">
      <c r="B34" s="193">
        <v>42611</v>
      </c>
      <c r="C34" s="10">
        <v>0</v>
      </c>
      <c r="D34" s="40"/>
      <c r="E34" s="40"/>
      <c r="F34" s="40">
        <v>92.65</v>
      </c>
      <c r="G34" s="40"/>
      <c r="H34" s="231"/>
      <c r="I34" s="40"/>
      <c r="W34" s="133">
        <v>42719</v>
      </c>
      <c r="X34" s="10">
        <v>66.81</v>
      </c>
      <c r="Y34" s="10">
        <v>68.180000000000007</v>
      </c>
      <c r="Z34" s="10">
        <v>66.47</v>
      </c>
      <c r="AA34" s="10">
        <v>67.58</v>
      </c>
      <c r="AB34" s="95">
        <v>1543300</v>
      </c>
      <c r="AC34" s="10">
        <v>67.58</v>
      </c>
      <c r="AD34" s="2">
        <f t="shared" si="0"/>
        <v>1.710000000000008</v>
      </c>
      <c r="AE34" s="138">
        <f t="shared" si="1"/>
        <v>8.8072846693536544E-3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133">
        <v>42718</v>
      </c>
      <c r="X35" s="10">
        <v>67</v>
      </c>
      <c r="Y35" s="10">
        <v>68.36</v>
      </c>
      <c r="Z35" s="10">
        <v>66.569999999999993</v>
      </c>
      <c r="AA35" s="10">
        <v>66.989999999999995</v>
      </c>
      <c r="AB35" s="95">
        <v>3112800</v>
      </c>
      <c r="AC35" s="10">
        <v>66.989999999999995</v>
      </c>
      <c r="AD35" s="2">
        <f t="shared" si="0"/>
        <v>1.7900000000000063</v>
      </c>
      <c r="AE35" s="138">
        <f t="shared" si="1"/>
        <v>2.8400368437212054E-2</v>
      </c>
    </row>
    <row r="36" spans="1:31" x14ac:dyDescent="0.25">
      <c r="B36" s="193"/>
      <c r="C36" s="10"/>
      <c r="D36" s="40"/>
      <c r="E36" s="40"/>
      <c r="F36" s="40"/>
      <c r="G36" s="40"/>
      <c r="H36" s="231"/>
      <c r="I36" s="40"/>
      <c r="W36" s="133">
        <v>42717</v>
      </c>
      <c r="X36" s="10">
        <v>64.61</v>
      </c>
      <c r="Y36" s="10">
        <v>65.92</v>
      </c>
      <c r="Z36" s="10">
        <v>64.48</v>
      </c>
      <c r="AA36" s="10">
        <v>65.14</v>
      </c>
      <c r="AB36" s="95">
        <v>1332200</v>
      </c>
      <c r="AC36" s="10">
        <v>65.14</v>
      </c>
      <c r="AD36" s="2">
        <f t="shared" si="0"/>
        <v>1.4399999999999977</v>
      </c>
      <c r="AE36" s="138">
        <f t="shared" si="1"/>
        <v>1.3852140077821096E-2</v>
      </c>
    </row>
    <row r="37" spans="1:31" x14ac:dyDescent="0.25">
      <c r="B37" s="193"/>
      <c r="C37" s="10"/>
      <c r="D37" s="40"/>
      <c r="E37" s="40"/>
      <c r="F37" s="40"/>
      <c r="G37" s="40"/>
      <c r="H37" s="231"/>
      <c r="I37" s="40"/>
      <c r="W37" s="133">
        <v>42716</v>
      </c>
      <c r="X37" s="10">
        <v>64.790000000000006</v>
      </c>
      <c r="Y37" s="10">
        <v>64.84</v>
      </c>
      <c r="Z37" s="10">
        <v>63.68</v>
      </c>
      <c r="AA37" s="10">
        <v>64.25</v>
      </c>
      <c r="AB37" s="95">
        <v>1054500</v>
      </c>
      <c r="AC37" s="10">
        <v>64.25</v>
      </c>
      <c r="AD37" s="2">
        <f t="shared" si="0"/>
        <v>1.1600000000000037</v>
      </c>
      <c r="AE37" s="138">
        <f t="shared" si="1"/>
        <v>-1.0625192485371082E-2</v>
      </c>
    </row>
    <row r="38" spans="1:31" x14ac:dyDescent="0.25">
      <c r="B38" s="193"/>
      <c r="C38" s="10"/>
      <c r="D38" s="40"/>
      <c r="E38" s="40"/>
      <c r="F38" s="40"/>
      <c r="G38" s="40"/>
      <c r="H38" s="231"/>
      <c r="I38" s="40"/>
      <c r="W38" s="133">
        <v>42713</v>
      </c>
      <c r="X38" s="10">
        <v>66.37</v>
      </c>
      <c r="Y38" s="10">
        <v>66.569999999999993</v>
      </c>
      <c r="Z38" s="10">
        <v>64.819999999999993</v>
      </c>
      <c r="AA38" s="10">
        <v>64.94</v>
      </c>
      <c r="AB38" s="95">
        <v>1219800</v>
      </c>
      <c r="AC38" s="10">
        <v>64.94</v>
      </c>
      <c r="AD38" s="2">
        <f t="shared" si="0"/>
        <v>1.75</v>
      </c>
      <c r="AE38" s="138">
        <f t="shared" si="1"/>
        <v>-2.0660533856130314E-2</v>
      </c>
    </row>
    <row r="39" spans="1:31" x14ac:dyDescent="0.25">
      <c r="B39" s="193"/>
      <c r="C39" s="10"/>
      <c r="D39" s="40"/>
      <c r="E39" s="40"/>
      <c r="F39" s="40"/>
      <c r="G39" s="40"/>
      <c r="H39" s="231"/>
      <c r="I39" s="40"/>
      <c r="W39" s="133">
        <v>42712</v>
      </c>
      <c r="X39" s="10">
        <v>65.86</v>
      </c>
      <c r="Y39" s="10">
        <v>66.790000000000006</v>
      </c>
      <c r="Z39" s="10">
        <v>65.58</v>
      </c>
      <c r="AA39" s="10">
        <v>66.31</v>
      </c>
      <c r="AB39" s="95">
        <v>1096700</v>
      </c>
      <c r="AC39" s="10">
        <v>66.31</v>
      </c>
      <c r="AD39" s="2">
        <f t="shared" si="0"/>
        <v>1.210000000000008</v>
      </c>
      <c r="AE39" s="138">
        <f t="shared" si="1"/>
        <v>2.4187452758881456E-3</v>
      </c>
    </row>
    <row r="40" spans="1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638" t="s">
        <v>78</v>
      </c>
      <c r="P40" s="638"/>
      <c r="W40" s="133">
        <v>42711</v>
      </c>
      <c r="X40" s="10">
        <v>64.709999999999994</v>
      </c>
      <c r="Y40" s="10">
        <v>66.180000000000007</v>
      </c>
      <c r="Z40" s="10">
        <v>64.400000000000006</v>
      </c>
      <c r="AA40" s="10">
        <v>66.150000000000006</v>
      </c>
      <c r="AB40" s="95">
        <v>1308300</v>
      </c>
      <c r="AC40" s="10">
        <v>66.150000000000006</v>
      </c>
      <c r="AD40" s="2">
        <f t="shared" si="0"/>
        <v>1.7800000000000011</v>
      </c>
      <c r="AE40" s="138">
        <f t="shared" si="1"/>
        <v>1.8789465578315179E-2</v>
      </c>
    </row>
    <row r="41" spans="1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76.50500000000001</v>
      </c>
      <c r="Q41" s="2"/>
      <c r="W41" s="133">
        <v>42710</v>
      </c>
      <c r="X41" s="10">
        <v>64.41</v>
      </c>
      <c r="Y41" s="10">
        <v>64.98</v>
      </c>
      <c r="Z41" s="10">
        <v>64.040000000000006</v>
      </c>
      <c r="AA41" s="10">
        <v>64.930000000000007</v>
      </c>
      <c r="AB41" s="95">
        <v>1234200</v>
      </c>
      <c r="AC41" s="10">
        <v>64.930000000000007</v>
      </c>
      <c r="AD41" s="2">
        <f t="shared" si="0"/>
        <v>0.93999999999999773</v>
      </c>
      <c r="AE41" s="138">
        <f t="shared" si="1"/>
        <v>9.6408023635516926E-3</v>
      </c>
    </row>
    <row r="42" spans="1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30">O42*$Q$4</f>
        <v>75.8095</v>
      </c>
      <c r="Q42" s="2"/>
      <c r="T42" s="91" t="s">
        <v>113</v>
      </c>
      <c r="W42" s="133">
        <v>42709</v>
      </c>
      <c r="X42" s="10">
        <v>64</v>
      </c>
      <c r="Y42" s="10">
        <v>64.59</v>
      </c>
      <c r="Z42" s="10">
        <v>63.62</v>
      </c>
      <c r="AA42" s="10">
        <v>64.31</v>
      </c>
      <c r="AB42" s="95">
        <v>1970900</v>
      </c>
      <c r="AC42" s="10">
        <v>64.31</v>
      </c>
      <c r="AD42" s="2">
        <f t="shared" si="0"/>
        <v>0.97000000000000597</v>
      </c>
      <c r="AE42" s="138">
        <f t="shared" si="1"/>
        <v>6.8889932675748611E-3</v>
      </c>
    </row>
    <row r="43" spans="1:31" ht="15.75" thickTop="1" x14ac:dyDescent="0.25">
      <c r="O43" s="83">
        <v>1.08</v>
      </c>
      <c r="P43" s="83">
        <f t="shared" si="30"/>
        <v>75.114000000000004</v>
      </c>
      <c r="Q43" s="2"/>
      <c r="T43" s="128" t="s">
        <v>98</v>
      </c>
      <c r="U43" s="129">
        <v>68.7</v>
      </c>
      <c r="W43" s="133">
        <v>42706</v>
      </c>
      <c r="X43" s="10">
        <v>63.34</v>
      </c>
      <c r="Y43" s="10">
        <v>64.14</v>
      </c>
      <c r="Z43" s="10">
        <v>62.83</v>
      </c>
      <c r="AA43" s="10">
        <v>63.87</v>
      </c>
      <c r="AB43" s="95">
        <v>2282300</v>
      </c>
      <c r="AC43" s="10">
        <v>63.87</v>
      </c>
      <c r="AD43" s="2">
        <f t="shared" si="0"/>
        <v>1.3100000000000023</v>
      </c>
      <c r="AE43" s="138">
        <f t="shared" si="1"/>
        <v>5.6683986773735651E-3</v>
      </c>
    </row>
    <row r="44" spans="1:31" x14ac:dyDescent="0.25">
      <c r="O44" s="83">
        <v>1.07</v>
      </c>
      <c r="P44" s="83">
        <f t="shared" si="30"/>
        <v>74.418499999999995</v>
      </c>
      <c r="Q44" s="2"/>
      <c r="T44" s="93" t="s">
        <v>99</v>
      </c>
      <c r="U44" s="130">
        <v>68.37</v>
      </c>
      <c r="W44" s="133">
        <v>42705</v>
      </c>
      <c r="X44" s="10">
        <v>66.48</v>
      </c>
      <c r="Y44" s="10">
        <v>66.5</v>
      </c>
      <c r="Z44" s="10">
        <v>63.5</v>
      </c>
      <c r="AA44" s="10">
        <v>63.51</v>
      </c>
      <c r="AB44" s="95">
        <v>2879500</v>
      </c>
      <c r="AC44" s="10">
        <v>63.51</v>
      </c>
      <c r="AD44" s="2">
        <f t="shared" si="0"/>
        <v>3</v>
      </c>
      <c r="AE44" s="138">
        <f t="shared" si="1"/>
        <v>-4.7826086956521796E-2</v>
      </c>
    </row>
    <row r="45" spans="1:31" x14ac:dyDescent="0.25">
      <c r="O45" s="83">
        <v>1.06</v>
      </c>
      <c r="P45" s="83">
        <f t="shared" si="30"/>
        <v>73.722999999999999</v>
      </c>
      <c r="Q45" s="2"/>
      <c r="T45" s="93" t="s">
        <v>100</v>
      </c>
      <c r="U45" s="130" t="s">
        <v>505</v>
      </c>
      <c r="W45" s="133">
        <v>42704</v>
      </c>
      <c r="X45" s="10">
        <v>67.3</v>
      </c>
      <c r="Y45" s="10">
        <v>67.48</v>
      </c>
      <c r="Z45" s="10">
        <v>66.44</v>
      </c>
      <c r="AA45" s="10">
        <v>66.7</v>
      </c>
      <c r="AB45" s="95">
        <v>1751100</v>
      </c>
      <c r="AC45" s="10">
        <v>66.7</v>
      </c>
      <c r="AD45" s="2">
        <f t="shared" si="0"/>
        <v>1.0400000000000063</v>
      </c>
      <c r="AE45" s="138">
        <f t="shared" si="1"/>
        <v>-8.6206896551723755E-3</v>
      </c>
    </row>
    <row r="46" spans="1:31" x14ac:dyDescent="0.25">
      <c r="L46" t="s">
        <v>65</v>
      </c>
      <c r="M46" s="2">
        <f>M64+K64-F64</f>
        <v>92.650000000000091</v>
      </c>
      <c r="O46" s="83">
        <v>1.05</v>
      </c>
      <c r="P46" s="83">
        <f t="shared" si="30"/>
        <v>73.027500000000003</v>
      </c>
      <c r="Q46" s="2"/>
      <c r="T46" s="93" t="s">
        <v>101</v>
      </c>
      <c r="U46" s="130" t="s">
        <v>564</v>
      </c>
      <c r="W46" s="133">
        <v>42703</v>
      </c>
      <c r="X46" s="10">
        <v>66.34</v>
      </c>
      <c r="Y46" s="10">
        <v>67.760000000000005</v>
      </c>
      <c r="Z46" s="10">
        <v>66.11</v>
      </c>
      <c r="AA46" s="10">
        <v>67.28</v>
      </c>
      <c r="AB46" s="95">
        <v>1895700</v>
      </c>
      <c r="AC46" s="10">
        <v>67.28</v>
      </c>
      <c r="AD46" s="2">
        <f t="shared" si="0"/>
        <v>1.6500000000000057</v>
      </c>
      <c r="AE46" s="138">
        <f t="shared" si="1"/>
        <v>1.6774973552969641E-2</v>
      </c>
    </row>
    <row r="47" spans="1:31" x14ac:dyDescent="0.25">
      <c r="A47" s="263" t="s">
        <v>1</v>
      </c>
      <c r="B47" s="263" t="s">
        <v>2</v>
      </c>
      <c r="C47" s="263" t="s">
        <v>4</v>
      </c>
      <c r="D47" s="264" t="s">
        <v>5</v>
      </c>
      <c r="E47" s="264" t="s">
        <v>94</v>
      </c>
      <c r="F47" s="264" t="s">
        <v>60</v>
      </c>
      <c r="G47" s="263" t="s">
        <v>3</v>
      </c>
      <c r="H47" s="263" t="s">
        <v>6</v>
      </c>
      <c r="I47" s="264" t="s">
        <v>7</v>
      </c>
      <c r="J47" s="264" t="s">
        <v>95</v>
      </c>
      <c r="K47" s="264" t="s">
        <v>61</v>
      </c>
      <c r="L47" s="263" t="s">
        <v>37</v>
      </c>
      <c r="M47" s="263" t="s">
        <v>38</v>
      </c>
      <c r="O47" s="83">
        <v>1.04</v>
      </c>
      <c r="P47" s="83">
        <f t="shared" si="30"/>
        <v>72.331999999999994</v>
      </c>
      <c r="Q47" s="2"/>
      <c r="T47" s="93" t="s">
        <v>102</v>
      </c>
      <c r="U47" s="130">
        <v>69.95</v>
      </c>
      <c r="W47" s="133">
        <v>42702</v>
      </c>
      <c r="X47" s="10">
        <v>66.52</v>
      </c>
      <c r="Y47" s="10">
        <v>66.790000000000006</v>
      </c>
      <c r="Z47" s="10">
        <v>65.900000000000006</v>
      </c>
      <c r="AA47" s="10">
        <v>66.17</v>
      </c>
      <c r="AB47" s="95">
        <v>984300</v>
      </c>
      <c r="AC47" s="10">
        <v>66.17</v>
      </c>
      <c r="AD47" s="2">
        <f t="shared" si="0"/>
        <v>0.89000000000000057</v>
      </c>
      <c r="AE47" s="138">
        <f t="shared" si="1"/>
        <v>-1.1650485436893177E-2</v>
      </c>
    </row>
    <row r="48" spans="1:31" x14ac:dyDescent="0.25">
      <c r="A48" s="265" t="s">
        <v>262</v>
      </c>
      <c r="B48" s="266">
        <v>42577</v>
      </c>
      <c r="C48" s="261">
        <v>30</v>
      </c>
      <c r="D48" s="262">
        <v>52</v>
      </c>
      <c r="E48" s="262">
        <v>0</v>
      </c>
      <c r="F48" s="262">
        <f>D48*C48+E48</f>
        <v>1560</v>
      </c>
      <c r="G48" s="266">
        <v>42580</v>
      </c>
      <c r="H48" s="267">
        <v>30</v>
      </c>
      <c r="I48" s="262">
        <v>50.75</v>
      </c>
      <c r="J48" s="262">
        <v>0.03</v>
      </c>
      <c r="K48" s="262">
        <f>H48*I48-J48</f>
        <v>1522.47</v>
      </c>
      <c r="L48" s="266"/>
      <c r="M48" s="261"/>
      <c r="O48" s="83">
        <v>1.03</v>
      </c>
      <c r="P48" s="83">
        <f t="shared" si="30"/>
        <v>71.636499999999998</v>
      </c>
      <c r="Q48" s="2"/>
      <c r="T48" s="93" t="s">
        <v>103</v>
      </c>
      <c r="U48" s="130">
        <v>0.78687600000000002</v>
      </c>
      <c r="W48" s="133">
        <v>42699</v>
      </c>
      <c r="X48" s="10">
        <v>66.7</v>
      </c>
      <c r="Y48" s="10">
        <v>66.97</v>
      </c>
      <c r="Z48" s="10">
        <v>66.099999999999994</v>
      </c>
      <c r="AA48" s="10">
        <v>66.95</v>
      </c>
      <c r="AB48" s="95">
        <v>439600</v>
      </c>
      <c r="AC48" s="10">
        <v>66.95</v>
      </c>
      <c r="AD48" s="2">
        <f t="shared" si="0"/>
        <v>0.87000000000000455</v>
      </c>
      <c r="AE48" s="138">
        <f t="shared" si="1"/>
        <v>7.0697954271961017E-3</v>
      </c>
    </row>
    <row r="49" spans="1:31" x14ac:dyDescent="0.25">
      <c r="A49" s="268" t="s">
        <v>71</v>
      </c>
      <c r="B49" s="266">
        <v>42578</v>
      </c>
      <c r="C49" s="261">
        <v>20</v>
      </c>
      <c r="D49" s="262">
        <v>48.52</v>
      </c>
      <c r="E49" s="262">
        <v>0</v>
      </c>
      <c r="F49" s="262">
        <f>D49*C49+E49</f>
        <v>970.40000000000009</v>
      </c>
      <c r="G49" s="266">
        <v>42611</v>
      </c>
      <c r="H49" s="267">
        <v>20</v>
      </c>
      <c r="I49" s="262">
        <v>55.03</v>
      </c>
      <c r="J49" s="262">
        <v>0.02</v>
      </c>
      <c r="K49" s="262">
        <f>H49*I49-J49</f>
        <v>1100.58</v>
      </c>
      <c r="L49" s="261"/>
      <c r="M49" s="261"/>
      <c r="O49" s="83">
        <v>1.02</v>
      </c>
      <c r="P49" s="83">
        <f t="shared" si="30"/>
        <v>70.941000000000003</v>
      </c>
      <c r="Q49" s="2"/>
      <c r="T49" s="93" t="s">
        <v>104</v>
      </c>
      <c r="U49" s="130" t="s">
        <v>388</v>
      </c>
      <c r="W49" s="133">
        <v>42697</v>
      </c>
      <c r="X49" s="10">
        <v>66.8</v>
      </c>
      <c r="Y49" s="10">
        <v>66.930000000000007</v>
      </c>
      <c r="Z49" s="10">
        <v>65.86</v>
      </c>
      <c r="AA49" s="10">
        <v>66.48</v>
      </c>
      <c r="AB49" s="95">
        <v>1362000</v>
      </c>
      <c r="AC49" s="10">
        <v>66.48</v>
      </c>
      <c r="AD49" s="2">
        <f t="shared" si="0"/>
        <v>1.0700000000000074</v>
      </c>
      <c r="AE49" s="138">
        <f t="shared" si="1"/>
        <v>-5.0882969170905623E-3</v>
      </c>
    </row>
    <row r="50" spans="1:31" x14ac:dyDescent="0.25">
      <c r="A50" s="261"/>
      <c r="B50" s="266"/>
      <c r="C50" s="261"/>
      <c r="D50" s="262"/>
      <c r="E50" s="262"/>
      <c r="F50" s="262"/>
      <c r="G50" s="261"/>
      <c r="H50" s="267"/>
      <c r="I50" s="262"/>
      <c r="J50" s="262"/>
      <c r="K50" s="262"/>
      <c r="L50" s="261"/>
      <c r="M50" s="261"/>
      <c r="O50" s="83">
        <v>1.01</v>
      </c>
      <c r="P50" s="83">
        <f t="shared" si="30"/>
        <v>70.245499999999993</v>
      </c>
      <c r="Q50" s="2"/>
      <c r="T50" s="93"/>
      <c r="U50" s="130"/>
      <c r="W50" s="133">
        <v>42696</v>
      </c>
      <c r="X50" s="10">
        <v>66.260000000000005</v>
      </c>
      <c r="Y50" s="10">
        <v>67.03</v>
      </c>
      <c r="Z50" s="10">
        <v>66.260000000000005</v>
      </c>
      <c r="AA50" s="10">
        <v>66.819999999999993</v>
      </c>
      <c r="AB50" s="95">
        <v>1871900</v>
      </c>
      <c r="AC50" s="10">
        <v>66.819999999999993</v>
      </c>
      <c r="AD50" s="2">
        <f t="shared" si="0"/>
        <v>0.76999999999999602</v>
      </c>
      <c r="AE50" s="138">
        <f t="shared" si="1"/>
        <v>-1.1958146487296428E-3</v>
      </c>
    </row>
    <row r="51" spans="1:31" x14ac:dyDescent="0.25">
      <c r="A51" s="261"/>
      <c r="B51" s="266"/>
      <c r="C51" s="261"/>
      <c r="D51" s="262"/>
      <c r="E51" s="262"/>
      <c r="F51" s="262"/>
      <c r="G51" s="261"/>
      <c r="H51" s="267"/>
      <c r="I51" s="262"/>
      <c r="J51" s="262"/>
      <c r="K51" s="262"/>
      <c r="L51" s="261"/>
      <c r="M51" s="261"/>
      <c r="O51" s="83">
        <v>1</v>
      </c>
      <c r="P51" s="83">
        <f t="shared" si="30"/>
        <v>69.55</v>
      </c>
      <c r="Q51" s="2"/>
      <c r="T51" s="93" t="s">
        <v>105</v>
      </c>
      <c r="U51" s="130" t="s">
        <v>565</v>
      </c>
      <c r="W51" s="133">
        <v>42695</v>
      </c>
      <c r="X51" s="10">
        <v>66.5</v>
      </c>
      <c r="Y51" s="10">
        <v>67.099999999999994</v>
      </c>
      <c r="Z51" s="10">
        <v>66.05</v>
      </c>
      <c r="AA51" s="10">
        <v>66.900000000000006</v>
      </c>
      <c r="AB51" s="95">
        <v>2356100</v>
      </c>
      <c r="AC51" s="10">
        <v>66.900000000000006</v>
      </c>
      <c r="AD51" s="2">
        <f t="shared" si="0"/>
        <v>1.0499999999999972</v>
      </c>
      <c r="AE51" s="138">
        <f t="shared" si="1"/>
        <v>6.9235400361229438E-3</v>
      </c>
    </row>
    <row r="52" spans="1:31" x14ac:dyDescent="0.25">
      <c r="A52" s="261"/>
      <c r="B52" s="266"/>
      <c r="C52" s="261"/>
      <c r="D52" s="262"/>
      <c r="E52" s="262"/>
      <c r="F52" s="262"/>
      <c r="G52" s="261"/>
      <c r="H52" s="267"/>
      <c r="I52" s="262"/>
      <c r="J52" s="262"/>
      <c r="K52" s="262"/>
      <c r="L52" s="261"/>
      <c r="M52" s="261"/>
      <c r="O52" s="83">
        <v>0.99</v>
      </c>
      <c r="P52" s="83">
        <f t="shared" si="30"/>
        <v>68.854500000000002</v>
      </c>
      <c r="Q52" s="2"/>
      <c r="T52" s="93" t="s">
        <v>106</v>
      </c>
      <c r="U52" s="130" t="s">
        <v>398</v>
      </c>
      <c r="W52" s="133">
        <v>42692</v>
      </c>
      <c r="X52" s="10">
        <v>66.63</v>
      </c>
      <c r="Y52" s="10">
        <v>66.739999999999995</v>
      </c>
      <c r="Z52" s="10">
        <v>66.08</v>
      </c>
      <c r="AA52" s="10">
        <v>66.44</v>
      </c>
      <c r="AB52" s="95">
        <v>1514500</v>
      </c>
      <c r="AC52" s="10">
        <v>66.44</v>
      </c>
      <c r="AD52" s="2">
        <f t="shared" si="0"/>
        <v>0.65999999999999659</v>
      </c>
      <c r="AE52" s="138">
        <f t="shared" si="1"/>
        <v>-2.4024024024023038E-3</v>
      </c>
    </row>
    <row r="53" spans="1:31" x14ac:dyDescent="0.25">
      <c r="A53" s="261"/>
      <c r="B53" s="261"/>
      <c r="C53" s="261"/>
      <c r="D53" s="262"/>
      <c r="E53" s="262"/>
      <c r="F53" s="262"/>
      <c r="G53" s="261"/>
      <c r="H53" s="267"/>
      <c r="I53" s="262"/>
      <c r="J53" s="262"/>
      <c r="K53" s="262"/>
      <c r="L53" s="261"/>
      <c r="M53" s="261"/>
      <c r="O53" s="83">
        <v>0.98</v>
      </c>
      <c r="P53" s="83">
        <f t="shared" si="30"/>
        <v>68.158999999999992</v>
      </c>
      <c r="Q53" s="2"/>
      <c r="T53" s="93" t="s">
        <v>107</v>
      </c>
      <c r="U53" s="131">
        <v>1333635</v>
      </c>
      <c r="W53" s="133">
        <v>42691</v>
      </c>
      <c r="X53" s="10">
        <v>66.25</v>
      </c>
      <c r="Y53" s="10">
        <v>66.930000000000007</v>
      </c>
      <c r="Z53" s="10">
        <v>66.099999999999994</v>
      </c>
      <c r="AA53" s="10">
        <v>66.599999999999994</v>
      </c>
      <c r="AB53" s="95">
        <v>2342900</v>
      </c>
      <c r="AC53" s="10">
        <v>66.599999999999994</v>
      </c>
      <c r="AD53" s="2">
        <f t="shared" si="0"/>
        <v>0.83000000000001251</v>
      </c>
      <c r="AE53" s="138">
        <f t="shared" si="1"/>
        <v>1.0622154779969417E-2</v>
      </c>
    </row>
    <row r="54" spans="1:31" x14ac:dyDescent="0.25">
      <c r="A54" s="261"/>
      <c r="B54" s="261"/>
      <c r="C54" s="261"/>
      <c r="D54" s="262"/>
      <c r="E54" s="262"/>
      <c r="F54" s="262"/>
      <c r="G54" s="261"/>
      <c r="H54" s="267"/>
      <c r="I54" s="262"/>
      <c r="J54" s="262"/>
      <c r="K54" s="262"/>
      <c r="L54" s="261"/>
      <c r="M54" s="261"/>
      <c r="O54" s="83">
        <v>0.97</v>
      </c>
      <c r="P54" s="83">
        <f t="shared" si="30"/>
        <v>67.463499999999996</v>
      </c>
      <c r="T54" s="93" t="s">
        <v>110</v>
      </c>
      <c r="U54" s="131">
        <v>1678290</v>
      </c>
      <c r="W54" s="133">
        <v>42690</v>
      </c>
      <c r="X54" s="10">
        <v>65.400000000000006</v>
      </c>
      <c r="Y54" s="10">
        <v>66.099999999999994</v>
      </c>
      <c r="Z54" s="10">
        <v>65.209999999999994</v>
      </c>
      <c r="AA54" s="10">
        <v>65.900000000000006</v>
      </c>
      <c r="AB54" s="95">
        <v>1989700</v>
      </c>
      <c r="AC54" s="10">
        <v>65.900000000000006</v>
      </c>
      <c r="AD54" s="2">
        <f t="shared" si="0"/>
        <v>0.89000000000000057</v>
      </c>
      <c r="AE54" s="138">
        <f t="shared" si="1"/>
        <v>6.5678936917672459E-3</v>
      </c>
    </row>
    <row r="55" spans="1:31" x14ac:dyDescent="0.25">
      <c r="A55" s="261"/>
      <c r="B55" s="261"/>
      <c r="C55" s="261"/>
      <c r="D55" s="262"/>
      <c r="E55" s="262"/>
      <c r="F55" s="262"/>
      <c r="G55" s="261"/>
      <c r="H55" s="267"/>
      <c r="I55" s="262"/>
      <c r="J55" s="262"/>
      <c r="K55" s="262"/>
      <c r="L55" s="261"/>
      <c r="M55" s="261"/>
      <c r="O55" s="83">
        <v>0.96</v>
      </c>
      <c r="P55" s="83">
        <f t="shared" si="30"/>
        <v>66.768000000000001</v>
      </c>
      <c r="T55" s="93" t="s">
        <v>108</v>
      </c>
      <c r="U55" s="130" t="s">
        <v>566</v>
      </c>
      <c r="W55" s="133">
        <v>42689</v>
      </c>
      <c r="X55" s="10">
        <v>65.77</v>
      </c>
      <c r="Y55" s="10">
        <v>66.3</v>
      </c>
      <c r="Z55" s="10">
        <v>65.3</v>
      </c>
      <c r="AA55" s="10">
        <v>65.47</v>
      </c>
      <c r="AB55" s="95">
        <v>3418400</v>
      </c>
      <c r="AC55" s="10">
        <v>65.47</v>
      </c>
      <c r="AD55" s="2">
        <f t="shared" si="0"/>
        <v>1</v>
      </c>
      <c r="AE55" s="138">
        <f t="shared" si="1"/>
        <v>4.5843520782407055E-4</v>
      </c>
    </row>
    <row r="56" spans="1:31" x14ac:dyDescent="0.25">
      <c r="A56" s="261"/>
      <c r="B56" s="261"/>
      <c r="C56" s="261"/>
      <c r="D56" s="262"/>
      <c r="E56" s="262"/>
      <c r="F56" s="262"/>
      <c r="G56" s="261"/>
      <c r="H56" s="267"/>
      <c r="I56" s="262"/>
      <c r="J56" s="262"/>
      <c r="K56" s="262"/>
      <c r="L56" s="261"/>
      <c r="M56" s="261"/>
      <c r="O56" s="83">
        <v>0.95</v>
      </c>
      <c r="P56" s="83">
        <f t="shared" si="30"/>
        <v>66.072499999999991</v>
      </c>
      <c r="T56" s="93" t="s">
        <v>111</v>
      </c>
      <c r="U56" s="130">
        <v>39.409999999999997</v>
      </c>
      <c r="W56" s="133">
        <v>42688</v>
      </c>
      <c r="X56" s="10">
        <v>65.77</v>
      </c>
      <c r="Y56" s="10">
        <v>65.86</v>
      </c>
      <c r="Z56" s="10">
        <v>65.08</v>
      </c>
      <c r="AA56" s="10">
        <v>65.44</v>
      </c>
      <c r="AB56" s="95">
        <v>2373300</v>
      </c>
      <c r="AC56" s="10">
        <v>65.44</v>
      </c>
      <c r="AD56" s="2">
        <f t="shared" si="0"/>
        <v>0.78000000000000114</v>
      </c>
      <c r="AE56" s="138">
        <f t="shared" si="1"/>
        <v>-1.5278838808263639E-4</v>
      </c>
    </row>
    <row r="57" spans="1:31" x14ac:dyDescent="0.25">
      <c r="A57" s="261"/>
      <c r="B57" s="261"/>
      <c r="C57" s="261"/>
      <c r="D57" s="262"/>
      <c r="E57" s="262"/>
      <c r="F57" s="262"/>
      <c r="G57" s="261"/>
      <c r="H57" s="267"/>
      <c r="I57" s="262"/>
      <c r="J57" s="262"/>
      <c r="K57" s="262"/>
      <c r="L57" s="261"/>
      <c r="M57" s="261"/>
      <c r="O57" s="83">
        <v>0.94</v>
      </c>
      <c r="P57" s="83">
        <f t="shared" si="30"/>
        <v>65.376999999999995</v>
      </c>
      <c r="T57" s="93" t="s">
        <v>112</v>
      </c>
      <c r="U57" s="130">
        <v>1.76</v>
      </c>
      <c r="W57" s="133">
        <v>42685</v>
      </c>
      <c r="X57" s="10">
        <v>65.930000000000007</v>
      </c>
      <c r="Y57" s="10">
        <v>66.16</v>
      </c>
      <c r="Z57" s="10">
        <v>65.11</v>
      </c>
      <c r="AA57" s="10">
        <v>65.45</v>
      </c>
      <c r="AB57" s="95">
        <v>2926300</v>
      </c>
      <c r="AC57" s="10">
        <v>65.45</v>
      </c>
      <c r="AD57" s="2">
        <f t="shared" si="0"/>
        <v>1.0499999999999972</v>
      </c>
      <c r="AE57" s="138">
        <f t="shared" si="1"/>
        <v>-1.1627906976744096E-2</v>
      </c>
    </row>
    <row r="58" spans="1:31" x14ac:dyDescent="0.25">
      <c r="A58" s="261"/>
      <c r="B58" s="261"/>
      <c r="C58" s="261"/>
      <c r="D58" s="262"/>
      <c r="E58" s="262"/>
      <c r="F58" s="262"/>
      <c r="G58" s="261"/>
      <c r="H58" s="267"/>
      <c r="I58" s="262"/>
      <c r="J58" s="262"/>
      <c r="K58" s="262"/>
      <c r="L58" s="261"/>
      <c r="M58" s="261"/>
      <c r="O58" s="83">
        <v>0.93</v>
      </c>
      <c r="P58" s="83">
        <f t="shared" si="30"/>
        <v>64.6815</v>
      </c>
      <c r="T58" s="93" t="s">
        <v>109</v>
      </c>
      <c r="U58" s="130" t="s">
        <v>123</v>
      </c>
      <c r="W58" s="133">
        <v>42684</v>
      </c>
      <c r="X58" s="10">
        <v>66.849999999999994</v>
      </c>
      <c r="Y58" s="10">
        <v>67.63</v>
      </c>
      <c r="Z58" s="10">
        <v>65</v>
      </c>
      <c r="AA58" s="10">
        <v>66.22</v>
      </c>
      <c r="AB58" s="95">
        <v>2153100</v>
      </c>
      <c r="AC58" s="10">
        <v>66.22</v>
      </c>
      <c r="AD58" s="2">
        <f t="shared" si="0"/>
        <v>2.6299999999999955</v>
      </c>
      <c r="AE58" s="138">
        <f t="shared" si="1"/>
        <v>-4.6595520817676039E-3</v>
      </c>
    </row>
    <row r="59" spans="1:31" x14ac:dyDescent="0.25">
      <c r="A59" s="261"/>
      <c r="B59" s="261"/>
      <c r="C59" s="261"/>
      <c r="D59" s="262"/>
      <c r="E59" s="262"/>
      <c r="F59" s="262"/>
      <c r="G59" s="261"/>
      <c r="H59" s="267"/>
      <c r="I59" s="262"/>
      <c r="J59" s="262"/>
      <c r="K59" s="262"/>
      <c r="L59" s="261"/>
      <c r="M59" s="261"/>
      <c r="O59" s="83">
        <v>0.92</v>
      </c>
      <c r="P59" s="83">
        <f t="shared" si="30"/>
        <v>63.985999999999997</v>
      </c>
      <c r="W59" s="133">
        <v>42683</v>
      </c>
      <c r="X59" s="10">
        <v>64.989999999999995</v>
      </c>
      <c r="Y59" s="10">
        <v>66.97</v>
      </c>
      <c r="Z59" s="10">
        <v>64.77</v>
      </c>
      <c r="AA59" s="10">
        <v>66.53</v>
      </c>
      <c r="AB59" s="95">
        <v>2760800</v>
      </c>
      <c r="AC59" s="10">
        <v>66.53</v>
      </c>
      <c r="AD59" s="2">
        <f t="shared" si="0"/>
        <v>2.2000000000000028</v>
      </c>
      <c r="AE59" s="138">
        <f t="shared" si="1"/>
        <v>2.4107277384359804E-3</v>
      </c>
    </row>
    <row r="60" spans="1:31" x14ac:dyDescent="0.25">
      <c r="A60" s="261"/>
      <c r="B60" s="261"/>
      <c r="C60" s="261"/>
      <c r="D60" s="262"/>
      <c r="E60" s="262"/>
      <c r="F60" s="262"/>
      <c r="G60" s="261"/>
      <c r="H60" s="267"/>
      <c r="I60" s="262"/>
      <c r="J60" s="262"/>
      <c r="K60" s="262"/>
      <c r="L60" s="261"/>
      <c r="M60" s="261"/>
      <c r="O60" s="83">
        <v>0.91</v>
      </c>
      <c r="P60" s="83">
        <f t="shared" si="30"/>
        <v>63.290500000000002</v>
      </c>
      <c r="W60" s="133">
        <v>42682</v>
      </c>
      <c r="X60" s="10">
        <v>66.31</v>
      </c>
      <c r="Y60" s="10">
        <v>66.760000000000005</v>
      </c>
      <c r="Z60" s="10">
        <v>65.75</v>
      </c>
      <c r="AA60" s="10">
        <v>66.37</v>
      </c>
      <c r="AB60" s="95">
        <v>2761700</v>
      </c>
      <c r="AC60" s="10">
        <v>66.37</v>
      </c>
      <c r="AD60" s="2">
        <f t="shared" si="0"/>
        <v>1.0100000000000051</v>
      </c>
      <c r="AE60" s="138">
        <f t="shared" si="1"/>
        <v>-2.254960914010673E-3</v>
      </c>
    </row>
    <row r="61" spans="1:31" x14ac:dyDescent="0.25">
      <c r="A61" s="261"/>
      <c r="B61" s="261"/>
      <c r="C61" s="261"/>
      <c r="D61" s="262"/>
      <c r="E61" s="262"/>
      <c r="F61" s="262"/>
      <c r="G61" s="261"/>
      <c r="H61" s="267"/>
      <c r="I61" s="262"/>
      <c r="J61" s="262"/>
      <c r="K61" s="262"/>
      <c r="L61" s="261"/>
      <c r="M61" s="261"/>
      <c r="O61" s="83">
        <v>0.9</v>
      </c>
      <c r="P61" s="83">
        <f t="shared" si="30"/>
        <v>62.594999999999999</v>
      </c>
      <c r="W61" s="133">
        <v>42681</v>
      </c>
      <c r="X61" s="10">
        <v>67.319999999999993</v>
      </c>
      <c r="Y61" s="10">
        <v>67.5</v>
      </c>
      <c r="Z61" s="10">
        <v>66.209999999999994</v>
      </c>
      <c r="AA61" s="10">
        <v>66.52</v>
      </c>
      <c r="AB61" s="95">
        <v>2617300</v>
      </c>
      <c r="AC61" s="10">
        <v>66.52</v>
      </c>
      <c r="AD61" s="2">
        <f t="shared" si="0"/>
        <v>1.2900000000000063</v>
      </c>
      <c r="AE61" s="138">
        <f t="shared" si="1"/>
        <v>1.0788633946208659E-2</v>
      </c>
    </row>
    <row r="62" spans="1:31" x14ac:dyDescent="0.25">
      <c r="A62" s="261"/>
      <c r="B62" s="261"/>
      <c r="C62" s="261"/>
      <c r="D62" s="262"/>
      <c r="E62" s="262"/>
      <c r="F62" s="262"/>
      <c r="G62" s="261"/>
      <c r="H62" s="267"/>
      <c r="I62" s="262"/>
      <c r="J62" s="262"/>
      <c r="K62" s="262"/>
      <c r="L62" s="261"/>
      <c r="M62" s="261"/>
      <c r="W62" s="133">
        <v>42678</v>
      </c>
      <c r="X62" s="10">
        <v>66.33</v>
      </c>
      <c r="Y62" s="10">
        <v>67.040000000000006</v>
      </c>
      <c r="Z62" s="10">
        <v>65.69</v>
      </c>
      <c r="AA62" s="10">
        <v>65.81</v>
      </c>
      <c r="AB62" s="95">
        <v>3087700</v>
      </c>
      <c r="AC62" s="10">
        <v>65.81</v>
      </c>
      <c r="AD62" s="2">
        <f t="shared" si="0"/>
        <v>1.3500000000000085</v>
      </c>
      <c r="AE62" s="138">
        <f t="shared" si="1"/>
        <v>-1.0673481659651096E-2</v>
      </c>
    </row>
    <row r="63" spans="1:31" x14ac:dyDescent="0.25">
      <c r="A63" s="261"/>
      <c r="B63" s="261"/>
      <c r="C63" s="261"/>
      <c r="D63" s="262"/>
      <c r="E63" s="262"/>
      <c r="F63" s="262"/>
      <c r="G63" s="261"/>
      <c r="H63" s="261"/>
      <c r="I63" s="262"/>
      <c r="J63" s="262"/>
      <c r="K63" s="262"/>
      <c r="L63" s="261"/>
      <c r="M63" s="261"/>
      <c r="W63" s="133">
        <v>42677</v>
      </c>
      <c r="X63" s="10">
        <v>67.42</v>
      </c>
      <c r="Y63" s="10">
        <v>67.540000000000006</v>
      </c>
      <c r="Z63" s="10">
        <v>66.48</v>
      </c>
      <c r="AA63" s="10">
        <v>66.52</v>
      </c>
      <c r="AB63" s="95">
        <v>2483600</v>
      </c>
      <c r="AC63" s="10">
        <v>66.52</v>
      </c>
      <c r="AD63" s="2">
        <f t="shared" si="0"/>
        <v>1.0600000000000023</v>
      </c>
      <c r="AE63" s="138">
        <f t="shared" si="1"/>
        <v>-1.1736740454613037E-2</v>
      </c>
    </row>
    <row r="64" spans="1:31" x14ac:dyDescent="0.25">
      <c r="A64" s="32" t="s">
        <v>81</v>
      </c>
      <c r="B64" s="14"/>
      <c r="C64" s="14">
        <f>SUM(C48:C52)</f>
        <v>50</v>
      </c>
      <c r="D64" s="18"/>
      <c r="E64" s="18"/>
      <c r="F64" s="18">
        <f>SUM(F48:F52)</f>
        <v>2530.4</v>
      </c>
      <c r="G64" s="14"/>
      <c r="H64" s="14">
        <f>SUM(H48:H51)</f>
        <v>50</v>
      </c>
      <c r="I64" s="18"/>
      <c r="J64" s="18"/>
      <c r="K64" s="18">
        <f>SUM(K48:K51)</f>
        <v>2623.05</v>
      </c>
      <c r="L64" s="14"/>
      <c r="M64" s="18">
        <f>SUM(M48:M56)</f>
        <v>0</v>
      </c>
      <c r="W64" s="133">
        <v>42676</v>
      </c>
      <c r="X64" s="10">
        <v>68</v>
      </c>
      <c r="Y64" s="10">
        <v>68.22</v>
      </c>
      <c r="Z64" s="10">
        <v>67.209999999999994</v>
      </c>
      <c r="AA64" s="10">
        <v>67.31</v>
      </c>
      <c r="AB64" s="95">
        <v>3684900</v>
      </c>
      <c r="AC64" s="10">
        <v>67.31</v>
      </c>
      <c r="AD64" s="2">
        <f t="shared" si="0"/>
        <v>1.0100000000000051</v>
      </c>
      <c r="AE64" s="138">
        <f t="shared" si="1"/>
        <v>-1.1600587371512372E-2</v>
      </c>
    </row>
    <row r="65" spans="1:31" ht="15.75" thickBot="1" x14ac:dyDescent="0.3">
      <c r="A65" s="467" t="s">
        <v>198</v>
      </c>
      <c r="B65" s="468"/>
      <c r="C65" s="469">
        <f>SumByColor($A$19,C48:C63)</f>
        <v>0</v>
      </c>
      <c r="D65" s="469"/>
      <c r="E65" s="469"/>
      <c r="F65" s="470">
        <f>SumByColor($A$19,F48:F63)</f>
        <v>0</v>
      </c>
      <c r="G65" s="469"/>
      <c r="H65" s="469">
        <f>SumByColor($A$19,H48:H63)</f>
        <v>0</v>
      </c>
      <c r="I65" s="469"/>
      <c r="J65" s="469"/>
      <c r="K65" s="470">
        <f>SumByColor($A$19,K48:K63)</f>
        <v>0</v>
      </c>
      <c r="L65" s="469"/>
      <c r="M65" s="470">
        <f t="shared" ref="M65" si="31">SumByColor($A$19,M48:M63)</f>
        <v>0</v>
      </c>
      <c r="W65" s="133">
        <v>42675</v>
      </c>
      <c r="X65" s="10">
        <v>69.39</v>
      </c>
      <c r="Y65" s="10">
        <v>69.55</v>
      </c>
      <c r="Z65" s="10">
        <v>67.52</v>
      </c>
      <c r="AA65" s="10">
        <v>68.099999999999994</v>
      </c>
      <c r="AB65" s="95">
        <v>5326000</v>
      </c>
      <c r="AC65" s="10">
        <v>68.099999999999994</v>
      </c>
      <c r="AD65" s="2">
        <f t="shared" si="0"/>
        <v>2.0300000000000011</v>
      </c>
      <c r="AE65" s="138">
        <f t="shared" si="1"/>
        <v>-1.9720742766661914E-2</v>
      </c>
    </row>
    <row r="66" spans="1:31" x14ac:dyDescent="0.25">
      <c r="W66" s="133">
        <v>42674</v>
      </c>
      <c r="X66" s="10">
        <v>69.760000000000005</v>
      </c>
      <c r="Y66" s="10">
        <v>71.040000000000006</v>
      </c>
      <c r="Z66" s="10">
        <v>69.349999999999994</v>
      </c>
      <c r="AA66" s="10">
        <v>69.47</v>
      </c>
      <c r="AB66" s="95">
        <v>3711100</v>
      </c>
      <c r="AC66" s="10">
        <v>69.47</v>
      </c>
      <c r="AD66" s="2">
        <f t="shared" si="0"/>
        <v>1.6900000000000119</v>
      </c>
      <c r="AE66" s="138">
        <f t="shared" si="1"/>
        <v>-6.2938063224144969E-3</v>
      </c>
    </row>
    <row r="67" spans="1:31" x14ac:dyDescent="0.25">
      <c r="W67" s="133">
        <v>42671</v>
      </c>
      <c r="X67" s="10">
        <v>68.63</v>
      </c>
      <c r="Y67" s="10">
        <v>70.099999999999994</v>
      </c>
      <c r="Z67" s="10">
        <v>68.47</v>
      </c>
      <c r="AA67" s="10">
        <v>69.91</v>
      </c>
      <c r="AB67" s="95">
        <v>4018100</v>
      </c>
      <c r="AC67" s="10">
        <v>69.91</v>
      </c>
      <c r="AD67" s="2">
        <f>Y67-Z67</f>
        <v>1.6299999999999955</v>
      </c>
      <c r="AE67" s="138" t="e">
        <f>AC67/#REF!-1</f>
        <v>#REF!</v>
      </c>
    </row>
    <row r="68" spans="1:31" x14ac:dyDescent="0.25">
      <c r="W68" s="133" t="s">
        <v>121</v>
      </c>
      <c r="X68" s="10"/>
      <c r="Y68" s="10"/>
      <c r="Z68" s="10"/>
      <c r="AA68" s="10"/>
      <c r="AB68" s="95"/>
      <c r="AC68" s="10"/>
      <c r="AD68" s="2" t="e">
        <f>#REF!-#REF!</f>
        <v>#REF!</v>
      </c>
      <c r="AE68" s="138" t="e">
        <f>#REF!/AC69-1</f>
        <v>#REF!</v>
      </c>
    </row>
    <row r="69" spans="1:31" x14ac:dyDescent="0.25">
      <c r="W69" s="133"/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{DFBD8A07-A8F0-461D-8BAC-09B6740ACCCE}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867" priority="11">
      <formula>F34&gt;0</formula>
    </cfRule>
    <cfRule type="expression" dxfId="866" priority="12">
      <formula>F34&lt;0</formula>
    </cfRule>
  </conditionalFormatting>
  <conditionalFormatting sqref="Q7">
    <cfRule type="expression" dxfId="865" priority="9">
      <formula>Q7&gt;0</formula>
    </cfRule>
    <cfRule type="expression" dxfId="864" priority="10">
      <formula>Q7&lt;0</formula>
    </cfRule>
  </conditionalFormatting>
  <conditionalFormatting sqref="Q8">
    <cfRule type="expression" dxfId="863" priority="7">
      <formula>Q8&gt;0</formula>
    </cfRule>
    <cfRule type="expression" dxfId="862" priority="8">
      <formula>Q8&lt;0</formula>
    </cfRule>
  </conditionalFormatting>
  <conditionalFormatting sqref="F25:F33">
    <cfRule type="expression" dxfId="861" priority="5">
      <formula>F25&gt;0</formula>
    </cfRule>
    <cfRule type="expression" dxfId="860" priority="6">
      <formula>F25&lt;0</formula>
    </cfRule>
  </conditionalFormatting>
  <conditionalFormatting sqref="H25:H33">
    <cfRule type="expression" dxfId="859" priority="3">
      <formula>H25&gt;0</formula>
    </cfRule>
    <cfRule type="expression" dxfId="858" priority="4">
      <formula>H25&lt;0</formula>
    </cfRule>
  </conditionalFormatting>
  <conditionalFormatting sqref="M46">
    <cfRule type="expression" dxfId="857" priority="1">
      <formula>M46&gt;0</formula>
    </cfRule>
    <cfRule type="expression" dxfId="856" priority="2">
      <formula>M46&lt;0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FBD8A07-A8F0-461D-8BAC-09B6740ACC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AE7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4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E1" s="11" t="s">
        <v>128</v>
      </c>
    </row>
    <row r="2" spans="1:31" x14ac:dyDescent="0.25">
      <c r="A2" s="6" t="s">
        <v>294</v>
      </c>
      <c r="B2" s="459">
        <v>42626</v>
      </c>
      <c r="C2" s="4">
        <v>20</v>
      </c>
      <c r="D2" s="3">
        <v>90.85</v>
      </c>
      <c r="E2" s="3">
        <v>0</v>
      </c>
      <c r="F2" s="3">
        <f t="shared" ref="F2:F7" si="0">D2*C2 + E2</f>
        <v>1817</v>
      </c>
      <c r="G2" s="459">
        <v>42762</v>
      </c>
      <c r="H2" s="7">
        <v>40</v>
      </c>
      <c r="I2" s="44">
        <v>77.78</v>
      </c>
      <c r="J2" s="44">
        <v>7.0000000000000007E-2</v>
      </c>
      <c r="K2" s="44">
        <f>I2*H2 - J2</f>
        <v>3111.1299999999997</v>
      </c>
      <c r="L2" s="74">
        <v>42678</v>
      </c>
      <c r="M2" s="44">
        <v>17</v>
      </c>
      <c r="O2" s="11" t="s">
        <v>57</v>
      </c>
      <c r="Q2">
        <f>C18-H18</f>
        <v>180</v>
      </c>
      <c r="T2" s="1"/>
      <c r="W2" s="133">
        <v>42768</v>
      </c>
      <c r="X2" s="10">
        <v>76.349999999999994</v>
      </c>
      <c r="Y2" s="10">
        <v>76.349999999999994</v>
      </c>
      <c r="Z2" s="10">
        <v>74.05</v>
      </c>
      <c r="AA2" s="10">
        <v>74.8</v>
      </c>
      <c r="AB2" s="95">
        <v>18742700</v>
      </c>
      <c r="AC2" s="10">
        <v>74.8</v>
      </c>
      <c r="AD2" s="2"/>
      <c r="AE2" s="138">
        <f>AC2/AC3-1</f>
        <v>-4.0656662819033018E-2</v>
      </c>
    </row>
    <row r="3" spans="1:31" x14ac:dyDescent="0.25">
      <c r="A3" s="23" t="s">
        <v>71</v>
      </c>
      <c r="B3" s="459">
        <v>42646</v>
      </c>
      <c r="C3" s="4">
        <v>20</v>
      </c>
      <c r="D3" s="3">
        <v>87.56</v>
      </c>
      <c r="E3" s="3">
        <v>0</v>
      </c>
      <c r="F3" s="3">
        <f t="shared" si="0"/>
        <v>1751.2</v>
      </c>
      <c r="G3" s="74"/>
      <c r="H3" s="185"/>
      <c r="I3" s="3"/>
      <c r="J3" s="3"/>
      <c r="K3" s="3"/>
      <c r="L3" s="74">
        <v>42769</v>
      </c>
      <c r="M3" s="44">
        <v>40</v>
      </c>
      <c r="O3" s="11" t="s">
        <v>58</v>
      </c>
      <c r="Q3" s="495">
        <f>IF(Q2=0, Q4, (F18-K18-M18)/Q2)</f>
        <v>80.347055555555571</v>
      </c>
      <c r="T3" s="1"/>
      <c r="W3" s="133">
        <v>42767</v>
      </c>
      <c r="X3" s="10">
        <v>78.650000000000006</v>
      </c>
      <c r="Y3" s="10">
        <v>79.099999999999994</v>
      </c>
      <c r="Z3" s="10">
        <v>77.69</v>
      </c>
      <c r="AA3" s="10">
        <v>77.97</v>
      </c>
      <c r="AB3" s="95">
        <v>6463100</v>
      </c>
      <c r="AC3" s="10">
        <v>77.97</v>
      </c>
      <c r="AD3" s="2"/>
      <c r="AE3" s="138">
        <f t="shared" ref="AE3:AE66" si="1">AC3/AC4-1</f>
        <v>-1.0658545869813518E-2</v>
      </c>
    </row>
    <row r="4" spans="1:31" x14ac:dyDescent="0.25">
      <c r="B4" s="74">
        <v>42677</v>
      </c>
      <c r="C4" s="4">
        <v>40</v>
      </c>
      <c r="D4" s="3">
        <v>81.98</v>
      </c>
      <c r="E4" s="3">
        <v>0</v>
      </c>
      <c r="F4" s="3">
        <f t="shared" si="0"/>
        <v>3279.2000000000003</v>
      </c>
      <c r="G4" s="74"/>
      <c r="H4" s="185"/>
      <c r="I4" s="3"/>
      <c r="J4" s="3"/>
      <c r="K4" s="3"/>
      <c r="L4" s="4"/>
      <c r="M4" s="4"/>
      <c r="O4" s="11" t="s">
        <v>66</v>
      </c>
      <c r="Q4" s="55">
        <v>75.459999999999994</v>
      </c>
      <c r="R4" s="505">
        <v>8.8000000000000005E-3</v>
      </c>
      <c r="T4" s="163"/>
      <c r="U4" s="1"/>
      <c r="W4" s="133">
        <v>42766</v>
      </c>
      <c r="X4" s="10">
        <v>78.55</v>
      </c>
      <c r="Y4" s="10">
        <v>79.3</v>
      </c>
      <c r="Z4" s="10">
        <v>78.510000000000005</v>
      </c>
      <c r="AA4" s="10">
        <v>78.81</v>
      </c>
      <c r="AB4" s="95">
        <v>6435200</v>
      </c>
      <c r="AC4" s="10">
        <v>78.81</v>
      </c>
      <c r="AD4" s="2"/>
      <c r="AE4" s="138">
        <f t="shared" si="1"/>
        <v>1.6522623284187521E-3</v>
      </c>
    </row>
    <row r="5" spans="1:31" x14ac:dyDescent="0.25">
      <c r="B5" s="503">
        <v>42760</v>
      </c>
      <c r="C5" s="4">
        <v>20</v>
      </c>
      <c r="D5" s="3">
        <v>80.28</v>
      </c>
      <c r="E5" s="3">
        <v>0</v>
      </c>
      <c r="F5" s="3">
        <f t="shared" si="0"/>
        <v>1605.6</v>
      </c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13582.8</v>
      </c>
      <c r="W5" s="133">
        <v>42765</v>
      </c>
      <c r="X5" s="10">
        <v>77.459999999999994</v>
      </c>
      <c r="Y5" s="10">
        <v>79.02</v>
      </c>
      <c r="Z5" s="10">
        <v>77.319999999999993</v>
      </c>
      <c r="AA5" s="10">
        <v>78.680000000000007</v>
      </c>
      <c r="AB5" s="95">
        <v>7488500</v>
      </c>
      <c r="AC5" s="10">
        <v>78.680000000000007</v>
      </c>
      <c r="AD5" s="2"/>
      <c r="AE5" s="138">
        <f t="shared" si="1"/>
        <v>1.1961414790996772E-2</v>
      </c>
    </row>
    <row r="6" spans="1:31" x14ac:dyDescent="0.25">
      <c r="B6" s="503">
        <v>42762</v>
      </c>
      <c r="C6" s="4">
        <v>80</v>
      </c>
      <c r="D6" s="3">
        <v>77.180000000000007</v>
      </c>
      <c r="E6" s="3">
        <v>0</v>
      </c>
      <c r="F6" s="3">
        <f t="shared" si="0"/>
        <v>6174.4000000000005</v>
      </c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14462.470000000003</v>
      </c>
      <c r="W6" s="133">
        <v>42762</v>
      </c>
      <c r="X6" s="10">
        <v>79.83</v>
      </c>
      <c r="Y6" s="10">
        <v>79.89</v>
      </c>
      <c r="Z6" s="10">
        <v>77.03</v>
      </c>
      <c r="AA6" s="10">
        <v>77.75</v>
      </c>
      <c r="AB6" s="95">
        <v>10924400</v>
      </c>
      <c r="AC6" s="10">
        <v>77.75</v>
      </c>
      <c r="AD6" s="2"/>
      <c r="AE6" s="138">
        <f t="shared" si="1"/>
        <v>-1.991680322702627E-2</v>
      </c>
    </row>
    <row r="7" spans="1:31" x14ac:dyDescent="0.25">
      <c r="B7" s="503">
        <v>42768</v>
      </c>
      <c r="C7" s="7">
        <v>40</v>
      </c>
      <c r="D7" s="44">
        <v>75.08</v>
      </c>
      <c r="E7" s="44">
        <v>0</v>
      </c>
      <c r="F7" s="44">
        <f t="shared" si="0"/>
        <v>3003.2</v>
      </c>
      <c r="G7" s="4"/>
      <c r="H7" s="185"/>
      <c r="I7" s="3"/>
      <c r="J7" s="3"/>
      <c r="K7" s="3"/>
      <c r="L7" s="4"/>
      <c r="M7" s="4"/>
      <c r="O7" s="11" t="s">
        <v>181</v>
      </c>
      <c r="Q7" s="2">
        <f>Q10+Q8</f>
        <v>-879.67000000000371</v>
      </c>
      <c r="R7">
        <v>40</v>
      </c>
      <c r="W7" s="133">
        <v>42761</v>
      </c>
      <c r="X7" s="10">
        <v>79.08</v>
      </c>
      <c r="Y7" s="10">
        <v>80.42</v>
      </c>
      <c r="Z7" s="10">
        <v>78.44</v>
      </c>
      <c r="AA7" s="10">
        <v>79.33</v>
      </c>
      <c r="AB7" s="95">
        <v>7627500</v>
      </c>
      <c r="AC7" s="10">
        <v>79.33</v>
      </c>
      <c r="AD7" s="2"/>
      <c r="AE7" s="138">
        <f t="shared" si="1"/>
        <v>-2.0128318027424763E-3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184</v>
      </c>
      <c r="P8" s="34"/>
      <c r="Q8" s="2">
        <f>K18+M18-F18+Q2*Q4</f>
        <v>-879.67000000000371</v>
      </c>
      <c r="W8" s="133">
        <v>42760</v>
      </c>
      <c r="X8" s="10">
        <v>81.92</v>
      </c>
      <c r="Y8" s="10">
        <v>82.2</v>
      </c>
      <c r="Z8" s="10">
        <v>79.42</v>
      </c>
      <c r="AA8" s="10">
        <v>79.489999999999995</v>
      </c>
      <c r="AB8" s="95">
        <v>10652200</v>
      </c>
      <c r="AC8" s="10">
        <v>79.489999999999995</v>
      </c>
      <c r="AD8" s="2"/>
      <c r="AE8" s="138">
        <f t="shared" si="1"/>
        <v>-2.8001956468574285E-2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214</v>
      </c>
      <c r="Q9" s="138">
        <f>IF(Q2=0, 0, Q8/Q6)</f>
        <v>-6.0824326688318352E-2</v>
      </c>
      <c r="W9" s="133">
        <v>42759</v>
      </c>
      <c r="X9" s="10">
        <v>81.349999999999994</v>
      </c>
      <c r="Y9" s="10">
        <v>82.15</v>
      </c>
      <c r="Z9" s="10">
        <v>81.12</v>
      </c>
      <c r="AA9" s="10">
        <v>81.78</v>
      </c>
      <c r="AB9" s="95">
        <v>4743700</v>
      </c>
      <c r="AC9" s="10">
        <v>81.78</v>
      </c>
      <c r="AD9" s="2"/>
      <c r="AE9" s="138">
        <f t="shared" si="1"/>
        <v>6.5230769230768537E-3</v>
      </c>
    </row>
    <row r="10" spans="1:31" x14ac:dyDescent="0.25">
      <c r="H10" s="72"/>
      <c r="O10" s="11" t="s">
        <v>213</v>
      </c>
      <c r="P10" s="34"/>
      <c r="Q10" s="2">
        <v>0</v>
      </c>
      <c r="W10" s="133">
        <v>42758</v>
      </c>
      <c r="X10" s="10">
        <v>81.5</v>
      </c>
      <c r="Y10" s="10">
        <v>81.93</v>
      </c>
      <c r="Z10" s="10">
        <v>81.02</v>
      </c>
      <c r="AA10" s="10">
        <v>81.25</v>
      </c>
      <c r="AB10" s="95">
        <v>6305900</v>
      </c>
      <c r="AC10" s="10">
        <v>81.25</v>
      </c>
      <c r="AD10" s="2"/>
      <c r="AE10" s="138">
        <f t="shared" si="1"/>
        <v>-3.8008827856792493E-3</v>
      </c>
    </row>
    <row r="11" spans="1:31" x14ac:dyDescent="0.25">
      <c r="H11" s="72"/>
      <c r="O11" s="11" t="s">
        <v>178</v>
      </c>
      <c r="P11" s="34"/>
      <c r="Q11" s="138">
        <f>IF(U58="N/A (N/A)", 0, VALUE(TRIM(CLEAN(MID(U58, FIND("(", U58)+1, 5)))))</f>
        <v>2.5399999999999999E-2</v>
      </c>
      <c r="W11" s="133">
        <v>42755</v>
      </c>
      <c r="X11" s="10">
        <v>83.29</v>
      </c>
      <c r="Y11" s="10">
        <v>83.43</v>
      </c>
      <c r="Z11" s="10">
        <v>81.31</v>
      </c>
      <c r="AA11" s="10">
        <v>81.56</v>
      </c>
      <c r="AB11" s="95">
        <v>8004100</v>
      </c>
      <c r="AC11" s="10">
        <v>81.56</v>
      </c>
      <c r="AD11" s="2"/>
      <c r="AE11" s="138" t="e">
        <f t="shared" si="1"/>
        <v>#DIV/0!</v>
      </c>
    </row>
    <row r="12" spans="1:31" x14ac:dyDescent="0.25">
      <c r="H12" s="72"/>
      <c r="W12" s="133">
        <v>42755</v>
      </c>
      <c r="X12" s="10" t="s">
        <v>426</v>
      </c>
      <c r="Y12" s="10"/>
      <c r="Z12" s="10"/>
      <c r="AA12" s="10"/>
      <c r="AB12" s="95"/>
      <c r="AC12" s="10"/>
      <c r="AD12" s="2"/>
      <c r="AE12" s="138">
        <f t="shared" si="1"/>
        <v>-1</v>
      </c>
    </row>
    <row r="13" spans="1:31" x14ac:dyDescent="0.25">
      <c r="H13" s="72"/>
      <c r="W13" s="133">
        <v>42754</v>
      </c>
      <c r="X13" s="10">
        <v>83.17</v>
      </c>
      <c r="Y13" s="10">
        <v>83.86</v>
      </c>
      <c r="Z13" s="10">
        <v>82.32</v>
      </c>
      <c r="AA13" s="10">
        <v>83.2</v>
      </c>
      <c r="AB13" s="95">
        <v>5220700</v>
      </c>
      <c r="AC13" s="10">
        <v>82.7</v>
      </c>
      <c r="AD13" s="2"/>
      <c r="AE13" s="138">
        <f t="shared" si="1"/>
        <v>-4.0944123314066161E-3</v>
      </c>
    </row>
    <row r="14" spans="1:31" x14ac:dyDescent="0.25">
      <c r="H14" s="72"/>
      <c r="W14" s="133">
        <v>42753</v>
      </c>
      <c r="X14" s="10">
        <v>84.49</v>
      </c>
      <c r="Y14" s="10">
        <v>84.72</v>
      </c>
      <c r="Z14" s="10">
        <v>83.2</v>
      </c>
      <c r="AA14" s="10">
        <v>83.54</v>
      </c>
      <c r="AB14" s="95">
        <v>5263100</v>
      </c>
      <c r="AC14" s="10">
        <v>83.04</v>
      </c>
      <c r="AD14" s="2"/>
      <c r="AE14" s="138">
        <f t="shared" si="1"/>
        <v>-4.5552625269719149E-3</v>
      </c>
    </row>
    <row r="15" spans="1:31" x14ac:dyDescent="0.25">
      <c r="H15" s="72"/>
      <c r="W15" s="133">
        <v>42752</v>
      </c>
      <c r="X15" s="10">
        <v>81.96</v>
      </c>
      <c r="Y15" s="10">
        <v>83.98</v>
      </c>
      <c r="Z15" s="10">
        <v>81.91</v>
      </c>
      <c r="AA15" s="10">
        <v>83.92</v>
      </c>
      <c r="AB15" s="95">
        <v>7292700</v>
      </c>
      <c r="AC15" s="10">
        <v>83.42</v>
      </c>
      <c r="AD15" s="2"/>
      <c r="AE15" s="138">
        <f t="shared" si="1"/>
        <v>2.3683887593569874E-2</v>
      </c>
    </row>
    <row r="16" spans="1:31" x14ac:dyDescent="0.25">
      <c r="H16" s="72"/>
      <c r="W16" s="133">
        <v>42748</v>
      </c>
      <c r="X16" s="10">
        <v>82.7</v>
      </c>
      <c r="Y16" s="10">
        <v>82.91</v>
      </c>
      <c r="Z16" s="10">
        <v>81.75</v>
      </c>
      <c r="AA16" s="10">
        <v>81.98</v>
      </c>
      <c r="AB16" s="95">
        <v>4809200</v>
      </c>
      <c r="AC16" s="10">
        <v>81.489999999999995</v>
      </c>
      <c r="AD16" s="2"/>
      <c r="AE16" s="138">
        <f t="shared" si="1"/>
        <v>-7.4299634591961095E-3</v>
      </c>
    </row>
    <row r="17" spans="1:31" x14ac:dyDescent="0.25">
      <c r="W17" s="133">
        <v>42747</v>
      </c>
      <c r="X17" s="10">
        <v>82.92</v>
      </c>
      <c r="Y17" s="10">
        <v>83.21</v>
      </c>
      <c r="Z17" s="10">
        <v>82.38</v>
      </c>
      <c r="AA17" s="10">
        <v>82.6</v>
      </c>
      <c r="AB17" s="95">
        <v>5774300</v>
      </c>
      <c r="AC17" s="10">
        <v>82.1</v>
      </c>
      <c r="AD17" s="2"/>
      <c r="AE17" s="138">
        <f t="shared" si="1"/>
        <v>-2.0663668408897884E-3</v>
      </c>
    </row>
    <row r="18" spans="1:31" x14ac:dyDescent="0.25">
      <c r="A18" s="32" t="s">
        <v>81</v>
      </c>
      <c r="B18" s="14"/>
      <c r="C18" s="14">
        <f>SUM(C2:C7)</f>
        <v>220</v>
      </c>
      <c r="D18" s="18"/>
      <c r="E18" s="18"/>
      <c r="F18" s="18">
        <f>SUM(F2:F7)</f>
        <v>17630.600000000002</v>
      </c>
      <c r="G18" s="14"/>
      <c r="H18" s="14">
        <f>SUM(H2:H5)</f>
        <v>40</v>
      </c>
      <c r="I18" s="18"/>
      <c r="J18" s="18"/>
      <c r="K18" s="18">
        <f>SUM(K2:K5)</f>
        <v>3111.1299999999997</v>
      </c>
      <c r="L18" s="14"/>
      <c r="M18" s="18">
        <f>SUM(M2:M10)</f>
        <v>57</v>
      </c>
      <c r="W18" s="133">
        <v>42746</v>
      </c>
      <c r="X18" s="10">
        <v>82.22</v>
      </c>
      <c r="Y18" s="10">
        <v>83.11</v>
      </c>
      <c r="Z18" s="10">
        <v>81.73</v>
      </c>
      <c r="AA18" s="10">
        <v>82.77</v>
      </c>
      <c r="AB18" s="95">
        <v>6404200</v>
      </c>
      <c r="AC18" s="10">
        <v>82.27</v>
      </c>
      <c r="AD18" s="2"/>
      <c r="AE18" s="138">
        <f t="shared" si="1"/>
        <v>1.2169891687963119E-3</v>
      </c>
    </row>
    <row r="19" spans="1:31" ht="15.75" thickBot="1" x14ac:dyDescent="0.3">
      <c r="A19" s="356" t="s">
        <v>198</v>
      </c>
      <c r="B19" s="357"/>
      <c r="C19" s="358">
        <f>SumByColor($A$19,C2:C17)</f>
        <v>40</v>
      </c>
      <c r="D19" s="358"/>
      <c r="E19" s="358"/>
      <c r="F19" s="359">
        <f>SumByColor($A$19,F2:F17)</f>
        <v>3003</v>
      </c>
      <c r="G19" s="358"/>
      <c r="H19" s="358">
        <f>SumByColor($A$19,H2:H17)</f>
        <v>40</v>
      </c>
      <c r="I19" s="358"/>
      <c r="J19" s="358"/>
      <c r="K19" s="359">
        <f>SumByColor($A$19,K2:K17)</f>
        <v>3111</v>
      </c>
      <c r="L19" s="358"/>
      <c r="M19" s="359">
        <f t="shared" ref="M19" si="2">SumByColor($A$19,M2:M17)</f>
        <v>17</v>
      </c>
      <c r="W19" s="133">
        <v>42745</v>
      </c>
      <c r="X19" s="10">
        <v>81.72</v>
      </c>
      <c r="Y19" s="10">
        <v>82.89</v>
      </c>
      <c r="Z19" s="10">
        <v>81.510000000000005</v>
      </c>
      <c r="AA19" s="10">
        <v>82.67</v>
      </c>
      <c r="AB19" s="95">
        <v>7053300</v>
      </c>
      <c r="AC19" s="10">
        <v>82.17</v>
      </c>
      <c r="AD19" s="2"/>
      <c r="AE19" s="138">
        <f t="shared" si="1"/>
        <v>1.1821204285186626E-2</v>
      </c>
    </row>
    <row r="20" spans="1:31" x14ac:dyDescent="0.25">
      <c r="W20" s="133">
        <v>42744</v>
      </c>
      <c r="X20" s="10">
        <v>82.2</v>
      </c>
      <c r="Y20" s="10">
        <v>82.38</v>
      </c>
      <c r="Z20" s="10">
        <v>81.16</v>
      </c>
      <c r="AA20" s="10">
        <v>81.7</v>
      </c>
      <c r="AB20" s="95">
        <v>6847600</v>
      </c>
      <c r="AC20" s="10">
        <v>81.209999999999994</v>
      </c>
      <c r="AD20" s="2"/>
      <c r="AE20" s="138">
        <f t="shared" si="1"/>
        <v>-6.1192020560518756E-3</v>
      </c>
    </row>
    <row r="21" spans="1:31" x14ac:dyDescent="0.25">
      <c r="W21" s="133">
        <v>42741</v>
      </c>
      <c r="X21" s="10">
        <v>81.41</v>
      </c>
      <c r="Y21" s="10">
        <v>82.46</v>
      </c>
      <c r="Z21" s="10">
        <v>80.94</v>
      </c>
      <c r="AA21" s="10">
        <v>82.2</v>
      </c>
      <c r="AB21" s="95">
        <v>7087100</v>
      </c>
      <c r="AC21" s="10">
        <v>81.709999999999994</v>
      </c>
      <c r="AD21" s="2"/>
      <c r="AE21" s="138">
        <f t="shared" si="1"/>
        <v>9.6379587297663605E-3</v>
      </c>
    </row>
    <row r="22" spans="1:31" x14ac:dyDescent="0.25">
      <c r="W22" s="133">
        <v>42740</v>
      </c>
      <c r="X22" s="10">
        <v>79.849999999999994</v>
      </c>
      <c r="Y22" s="10">
        <v>81.52</v>
      </c>
      <c r="Z22" s="10">
        <v>78.8</v>
      </c>
      <c r="AA22" s="10">
        <v>81.42</v>
      </c>
      <c r="AB22" s="95">
        <v>8805400</v>
      </c>
      <c r="AC22" s="10">
        <v>80.930000000000007</v>
      </c>
      <c r="AD22" s="2"/>
      <c r="AE22" s="138">
        <f t="shared" si="1"/>
        <v>2.0941087422732485E-2</v>
      </c>
    </row>
    <row r="23" spans="1:31" x14ac:dyDescent="0.25">
      <c r="W23" s="133">
        <v>42739</v>
      </c>
      <c r="X23" s="10">
        <v>80.34</v>
      </c>
      <c r="Y23" s="10">
        <v>80.42</v>
      </c>
      <c r="Z23" s="10">
        <v>79.44</v>
      </c>
      <c r="AA23" s="10">
        <v>79.75</v>
      </c>
      <c r="AB23" s="95">
        <v>7101800</v>
      </c>
      <c r="AC23" s="10">
        <v>79.27</v>
      </c>
      <c r="AD23" s="2"/>
      <c r="AE23" s="138">
        <f t="shared" si="1"/>
        <v>-7.5122073369225939E-3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155</v>
      </c>
      <c r="W24" s="133">
        <v>42738</v>
      </c>
      <c r="X24" s="10">
        <v>79.58</v>
      </c>
      <c r="Y24" s="10">
        <v>80.45</v>
      </c>
      <c r="Z24" s="10">
        <v>78.97</v>
      </c>
      <c r="AA24" s="10">
        <v>80.349999999999994</v>
      </c>
      <c r="AB24" s="95">
        <v>5922800</v>
      </c>
      <c r="AC24" s="10">
        <v>79.87</v>
      </c>
      <c r="AD24" s="2"/>
      <c r="AE24" s="138">
        <f t="shared" si="1"/>
        <v>1.8230494645589124E-2</v>
      </c>
    </row>
    <row r="25" spans="1:31" x14ac:dyDescent="0.25">
      <c r="B25" s="193">
        <v>42626</v>
      </c>
      <c r="C25" s="10">
        <v>20</v>
      </c>
      <c r="D25" s="40">
        <v>90.85</v>
      </c>
      <c r="E25" s="40">
        <v>90.93</v>
      </c>
      <c r="F25" s="40">
        <f t="shared" ref="F25" si="3">C25*(E25-D25)</f>
        <v>1.6000000000002501</v>
      </c>
      <c r="G25" s="40">
        <f t="shared" ref="G25" si="4">D25*C25</f>
        <v>1817</v>
      </c>
      <c r="H25" s="231">
        <f t="shared" ref="H25" si="5">(E25-D25)/D25</f>
        <v>8.8057237204196487E-4</v>
      </c>
      <c r="I25" s="40"/>
      <c r="W25" s="133">
        <v>42734</v>
      </c>
      <c r="X25" s="10">
        <v>78.959999999999994</v>
      </c>
      <c r="Y25" s="10">
        <v>79.31</v>
      </c>
      <c r="Z25" s="10">
        <v>78.459999999999994</v>
      </c>
      <c r="AA25" s="10">
        <v>78.91</v>
      </c>
      <c r="AB25" s="95">
        <v>4326100</v>
      </c>
      <c r="AC25" s="10">
        <v>78.44</v>
      </c>
      <c r="AD25" s="2"/>
      <c r="AE25" s="138">
        <f t="shared" si="1"/>
        <v>-1.1460588310200359E-3</v>
      </c>
    </row>
    <row r="26" spans="1:31" x14ac:dyDescent="0.25">
      <c r="B26" s="193">
        <v>42627</v>
      </c>
      <c r="C26" s="10">
        <v>20</v>
      </c>
      <c r="D26" s="40">
        <v>90.85</v>
      </c>
      <c r="E26" s="40">
        <v>89.44</v>
      </c>
      <c r="F26" s="40">
        <f t="shared" ref="F26" si="6">C26*(E26-D26)</f>
        <v>-28.199999999999932</v>
      </c>
      <c r="G26" s="40">
        <f t="shared" ref="G26" si="7">D26*C26</f>
        <v>1817</v>
      </c>
      <c r="H26" s="231">
        <f t="shared" ref="H26" si="8">(E26-D26)/D26</f>
        <v>-1.5520088057237168E-2</v>
      </c>
      <c r="I26" s="40"/>
      <c r="W26" s="133">
        <v>42733</v>
      </c>
      <c r="X26" s="10">
        <v>78.89</v>
      </c>
      <c r="Y26" s="10">
        <v>79.47</v>
      </c>
      <c r="Z26" s="10">
        <v>78.81</v>
      </c>
      <c r="AA26" s="10">
        <v>79</v>
      </c>
      <c r="AB26" s="95">
        <v>3580000</v>
      </c>
      <c r="AC26" s="10">
        <v>78.53</v>
      </c>
      <c r="AD26" s="2"/>
      <c r="AE26" s="138">
        <f t="shared" si="1"/>
        <v>-3.8187372708764489E-4</v>
      </c>
    </row>
    <row r="27" spans="1:31" x14ac:dyDescent="0.25">
      <c r="B27" s="193">
        <v>42640</v>
      </c>
      <c r="C27" s="10">
        <v>20</v>
      </c>
      <c r="D27" s="40">
        <v>90.85</v>
      </c>
      <c r="E27" s="40">
        <v>90.56</v>
      </c>
      <c r="F27" s="40">
        <f t="shared" ref="F27" si="9">C27*(E27-D27)</f>
        <v>-5.7999999999998408</v>
      </c>
      <c r="G27" s="40">
        <f t="shared" ref="G27" si="10">D27*C27</f>
        <v>1817</v>
      </c>
      <c r="H27" s="231">
        <f t="shared" ref="H27" si="11">(E27-D27)/D27</f>
        <v>-3.1920748486515362E-3</v>
      </c>
      <c r="I27" s="40"/>
      <c r="W27" s="133">
        <v>42732</v>
      </c>
      <c r="X27" s="10">
        <v>79.3</v>
      </c>
      <c r="Y27" s="10">
        <v>79.37</v>
      </c>
      <c r="Z27" s="10">
        <v>78.64</v>
      </c>
      <c r="AA27" s="10">
        <v>79.040000000000006</v>
      </c>
      <c r="AB27" s="95">
        <v>3390700</v>
      </c>
      <c r="AC27" s="10">
        <v>78.56</v>
      </c>
      <c r="AD27" s="2"/>
      <c r="AE27" s="138">
        <f t="shared" si="1"/>
        <v>-3.1721862707778659E-3</v>
      </c>
    </row>
    <row r="28" spans="1:31" x14ac:dyDescent="0.25">
      <c r="B28" s="193">
        <v>42646</v>
      </c>
      <c r="C28" s="10">
        <v>40</v>
      </c>
      <c r="D28" s="40">
        <v>89.204999999999998</v>
      </c>
      <c r="E28" s="40">
        <v>87.09</v>
      </c>
      <c r="F28" s="40">
        <f t="shared" ref="F28" si="12">C28*(E28-D28)</f>
        <v>-84.599999999999795</v>
      </c>
      <c r="G28" s="40">
        <f t="shared" ref="G28" si="13">D28*C28</f>
        <v>3568.2</v>
      </c>
      <c r="H28" s="231">
        <f t="shared" ref="H28" si="14">(E28-D28)/D28</f>
        <v>-2.3709433327728211E-2</v>
      </c>
      <c r="I28" s="40"/>
      <c r="W28" s="133">
        <v>42731</v>
      </c>
      <c r="X28" s="10">
        <v>78.95</v>
      </c>
      <c r="Y28" s="10">
        <v>79.72</v>
      </c>
      <c r="Z28" s="10">
        <v>78.900000000000006</v>
      </c>
      <c r="AA28" s="10">
        <v>79.290000000000006</v>
      </c>
      <c r="AB28" s="95">
        <v>2947700</v>
      </c>
      <c r="AC28" s="10">
        <v>78.81</v>
      </c>
      <c r="AD28" s="2"/>
      <c r="AE28" s="138">
        <f t="shared" si="1"/>
        <v>1.9069412662091612E-3</v>
      </c>
    </row>
    <row r="29" spans="1:31" x14ac:dyDescent="0.25">
      <c r="B29" s="193">
        <v>42651</v>
      </c>
      <c r="C29" s="10">
        <v>40</v>
      </c>
      <c r="D29" s="40">
        <v>89.204999999999998</v>
      </c>
      <c r="E29" s="40">
        <v>86.4</v>
      </c>
      <c r="F29" s="40">
        <f t="shared" ref="F29" si="15">C29*(E29-D29)</f>
        <v>-112.1999999999997</v>
      </c>
      <c r="G29" s="40">
        <f t="shared" ref="G29" si="16">D29*C29</f>
        <v>3568.2</v>
      </c>
      <c r="H29" s="231">
        <f t="shared" ref="H29" si="17">(E29-D29)/D29</f>
        <v>-3.1444425760887761E-2</v>
      </c>
      <c r="I29" s="40"/>
      <c r="W29" s="133">
        <v>42727</v>
      </c>
      <c r="X29" s="10">
        <v>78.790000000000006</v>
      </c>
      <c r="Y29" s="10">
        <v>79.3</v>
      </c>
      <c r="Z29" s="10">
        <v>78.69</v>
      </c>
      <c r="AA29" s="10">
        <v>79.14</v>
      </c>
      <c r="AB29" s="95">
        <v>2754200</v>
      </c>
      <c r="AC29" s="10">
        <v>78.66</v>
      </c>
      <c r="AD29" s="2"/>
      <c r="AE29" s="138">
        <f t="shared" si="1"/>
        <v>4.3411644535240601E-3</v>
      </c>
    </row>
    <row r="30" spans="1:31" x14ac:dyDescent="0.25">
      <c r="B30" s="193">
        <v>42674</v>
      </c>
      <c r="C30" s="10">
        <v>40</v>
      </c>
      <c r="D30" s="40">
        <v>89.204999999999998</v>
      </c>
      <c r="E30" s="40">
        <v>84.1</v>
      </c>
      <c r="F30" s="40">
        <f t="shared" ref="F30:F31" si="18">C30*(E30-D30)</f>
        <v>-204.20000000000016</v>
      </c>
      <c r="G30" s="40">
        <f t="shared" ref="G30:G31" si="19">D30*C30</f>
        <v>3568.2</v>
      </c>
      <c r="H30" s="231">
        <f t="shared" ref="H30:H31" si="20">(E30-D30)/D30</f>
        <v>-5.7227733871419807E-2</v>
      </c>
      <c r="I30" s="40"/>
      <c r="W30" s="133">
        <v>42726</v>
      </c>
      <c r="X30" s="10">
        <v>79.540000000000006</v>
      </c>
      <c r="Y30" s="10">
        <v>79.75</v>
      </c>
      <c r="Z30" s="10">
        <v>78.5</v>
      </c>
      <c r="AA30" s="10">
        <v>78.790000000000006</v>
      </c>
      <c r="AB30" s="95">
        <v>5850400</v>
      </c>
      <c r="AC30" s="10">
        <v>78.319999999999993</v>
      </c>
      <c r="AD30" s="2"/>
      <c r="AE30" s="138">
        <f t="shared" si="1"/>
        <v>-1.3229179790853141E-2</v>
      </c>
    </row>
    <row r="31" spans="1:31" x14ac:dyDescent="0.25">
      <c r="B31" s="193">
        <v>42677</v>
      </c>
      <c r="C31" s="10">
        <v>80</v>
      </c>
      <c r="D31" s="40">
        <v>85.38</v>
      </c>
      <c r="E31" s="40">
        <v>81.569999999999993</v>
      </c>
      <c r="F31" s="40">
        <f t="shared" si="18"/>
        <v>-304.80000000000018</v>
      </c>
      <c r="G31" s="40">
        <f t="shared" si="19"/>
        <v>6830.4</v>
      </c>
      <c r="H31" s="231">
        <f t="shared" si="20"/>
        <v>-4.4624033731553089E-2</v>
      </c>
      <c r="I31" s="40" t="s">
        <v>189</v>
      </c>
      <c r="W31" s="133">
        <v>42725</v>
      </c>
      <c r="X31" s="10">
        <v>79.53</v>
      </c>
      <c r="Y31" s="10">
        <v>80.19</v>
      </c>
      <c r="Z31" s="10">
        <v>79.040000000000006</v>
      </c>
      <c r="AA31" s="10">
        <v>79.849999999999994</v>
      </c>
      <c r="AB31" s="95">
        <v>5808100</v>
      </c>
      <c r="AC31" s="10">
        <v>79.37</v>
      </c>
      <c r="AD31" s="2"/>
      <c r="AE31" s="138">
        <f t="shared" si="1"/>
        <v>1.2600806451623647E-4</v>
      </c>
    </row>
    <row r="32" spans="1:31" x14ac:dyDescent="0.25">
      <c r="B32" s="193">
        <v>42702</v>
      </c>
      <c r="C32" s="10">
        <v>80</v>
      </c>
      <c r="D32" s="40">
        <v>85.38</v>
      </c>
      <c r="E32" s="40">
        <v>74.06</v>
      </c>
      <c r="F32" s="40">
        <f t="shared" ref="F32" si="21">C32*(E32-D32)</f>
        <v>-905.59999999999945</v>
      </c>
      <c r="G32" s="40">
        <f t="shared" ref="G32" si="22">D32*C32</f>
        <v>6830.4</v>
      </c>
      <c r="H32" s="231">
        <f t="shared" ref="H32" si="23">(E32-D32)/D32</f>
        <v>-0.13258374326540165</v>
      </c>
      <c r="I32" s="40"/>
      <c r="W32" s="133">
        <v>42724</v>
      </c>
      <c r="X32" s="10">
        <v>79.98</v>
      </c>
      <c r="Y32" s="10">
        <v>81.239999999999995</v>
      </c>
      <c r="Z32" s="10">
        <v>79.67</v>
      </c>
      <c r="AA32" s="10">
        <v>79.84</v>
      </c>
      <c r="AB32" s="95">
        <v>6109100</v>
      </c>
      <c r="AC32" s="10">
        <v>79.36</v>
      </c>
      <c r="AD32" s="2"/>
      <c r="AE32" s="138">
        <f t="shared" si="1"/>
        <v>-1.1327879169289456E-3</v>
      </c>
    </row>
    <row r="33" spans="1:31" x14ac:dyDescent="0.25">
      <c r="B33" s="193">
        <v>42704</v>
      </c>
      <c r="C33" s="10">
        <v>80</v>
      </c>
      <c r="D33" s="40">
        <v>85.38</v>
      </c>
      <c r="E33" s="40">
        <v>76.89</v>
      </c>
      <c r="F33" s="40">
        <f t="shared" ref="F33" si="24">C33*(E33-D33)</f>
        <v>-679.19999999999959</v>
      </c>
      <c r="G33" s="40">
        <f t="shared" ref="G33" si="25">D33*C33</f>
        <v>6830.4</v>
      </c>
      <c r="H33" s="231">
        <f t="shared" ref="H33" si="26">(E33-D33)/D33</f>
        <v>-9.9437807449051244E-2</v>
      </c>
      <c r="I33" s="40"/>
      <c r="W33" s="133">
        <v>42723</v>
      </c>
      <c r="X33" s="10">
        <v>79.28</v>
      </c>
      <c r="Y33" s="10">
        <v>80.22</v>
      </c>
      <c r="Z33" s="10">
        <v>79.27</v>
      </c>
      <c r="AA33" s="10">
        <v>79.930000000000007</v>
      </c>
      <c r="AB33" s="95">
        <v>6936100</v>
      </c>
      <c r="AC33" s="10">
        <v>79.45</v>
      </c>
      <c r="AD33" s="2"/>
      <c r="AE33" s="138">
        <f t="shared" si="1"/>
        <v>4.6788062721294654E-3</v>
      </c>
    </row>
    <row r="34" spans="1:31" x14ac:dyDescent="0.25">
      <c r="B34" s="193">
        <v>42729</v>
      </c>
      <c r="C34" s="10">
        <v>80</v>
      </c>
      <c r="D34" s="40">
        <v>85.38</v>
      </c>
      <c r="E34" s="40">
        <v>79.14</v>
      </c>
      <c r="F34" s="40">
        <f t="shared" ref="F34" si="27">C34*(E34-D34)</f>
        <v>-499.19999999999959</v>
      </c>
      <c r="G34" s="40">
        <f t="shared" ref="G34" si="28">D34*C34</f>
        <v>6830.4</v>
      </c>
      <c r="H34" s="231">
        <f t="shared" ref="H34" si="29">(E34-D34)/D34</f>
        <v>-7.3085031623330937E-2</v>
      </c>
      <c r="I34" s="40"/>
      <c r="W34" s="133">
        <v>42720</v>
      </c>
      <c r="X34" s="10">
        <v>78.650000000000006</v>
      </c>
      <c r="Y34" s="10">
        <v>79.7</v>
      </c>
      <c r="Z34" s="10">
        <v>78.61</v>
      </c>
      <c r="AA34" s="10">
        <v>79.56</v>
      </c>
      <c r="AB34" s="95">
        <v>11546800</v>
      </c>
      <c r="AC34" s="10">
        <v>79.08</v>
      </c>
      <c r="AD34" s="2"/>
      <c r="AE34" s="138">
        <f t="shared" si="1"/>
        <v>1.6191210485736462E-2</v>
      </c>
    </row>
    <row r="35" spans="1:31" x14ac:dyDescent="0.25">
      <c r="B35" s="193">
        <v>42745</v>
      </c>
      <c r="C35" s="10">
        <v>80</v>
      </c>
      <c r="D35" s="40">
        <v>85.38</v>
      </c>
      <c r="E35" s="40">
        <v>82.67</v>
      </c>
      <c r="F35" s="40">
        <f t="shared" ref="F35" si="30">C35*(E35-D35)</f>
        <v>-216.7999999999995</v>
      </c>
      <c r="G35" s="40">
        <f t="shared" ref="G35" si="31">D35*C35</f>
        <v>6830.4</v>
      </c>
      <c r="H35" s="231">
        <f t="shared" ref="H35" si="32">(E35-D35)/D35</f>
        <v>-3.1740454438978612E-2</v>
      </c>
      <c r="I35" s="40"/>
      <c r="W35" s="133">
        <v>42719</v>
      </c>
      <c r="X35" s="10">
        <v>78</v>
      </c>
      <c r="Y35" s="10">
        <v>79.239999999999995</v>
      </c>
      <c r="Z35" s="10">
        <v>76.11</v>
      </c>
      <c r="AA35" s="10">
        <v>78.290000000000006</v>
      </c>
      <c r="AB35" s="95">
        <v>10621500</v>
      </c>
      <c r="AC35" s="10">
        <v>77.819999999999993</v>
      </c>
      <c r="AD35" s="2"/>
      <c r="AE35" s="138">
        <f t="shared" si="1"/>
        <v>-8.5361192508599526E-3</v>
      </c>
    </row>
    <row r="36" spans="1:31" x14ac:dyDescent="0.25">
      <c r="B36" s="193">
        <v>42756</v>
      </c>
      <c r="C36" s="10">
        <v>80</v>
      </c>
      <c r="D36" s="40">
        <v>85.38</v>
      </c>
      <c r="E36" s="40">
        <v>81.56</v>
      </c>
      <c r="F36" s="40">
        <f t="shared" ref="F36:F40" si="33">C36*(E36-D36)</f>
        <v>-305.59999999999945</v>
      </c>
      <c r="G36" s="40">
        <f t="shared" ref="G36:G40" si="34">D36*C36</f>
        <v>6830.4</v>
      </c>
      <c r="H36" s="231">
        <f t="shared" ref="H36:H40" si="35">(E36-D36)/D36</f>
        <v>-4.4741157179667292E-2</v>
      </c>
      <c r="I36" s="40"/>
      <c r="W36" s="133">
        <v>42718</v>
      </c>
      <c r="X36" s="10">
        <v>80.3</v>
      </c>
      <c r="Y36" s="10">
        <v>81.13</v>
      </c>
      <c r="Z36" s="10">
        <v>78.52</v>
      </c>
      <c r="AA36" s="10">
        <v>78.959999999999994</v>
      </c>
      <c r="AB36" s="95">
        <v>7278800</v>
      </c>
      <c r="AC36" s="10">
        <v>78.489999999999995</v>
      </c>
      <c r="AD36" s="2"/>
      <c r="AE36" s="138">
        <f t="shared" si="1"/>
        <v>-1.4811095770051574E-2</v>
      </c>
    </row>
    <row r="37" spans="1:31" x14ac:dyDescent="0.25">
      <c r="B37" s="193">
        <v>42760</v>
      </c>
      <c r="C37" s="10">
        <v>100</v>
      </c>
      <c r="D37" s="40">
        <v>84.36</v>
      </c>
      <c r="E37" s="40">
        <v>79.489999999999995</v>
      </c>
      <c r="F37" s="40">
        <f t="shared" si="33"/>
        <v>-487.00000000000045</v>
      </c>
      <c r="G37" s="40">
        <f t="shared" si="34"/>
        <v>8436</v>
      </c>
      <c r="H37" s="231">
        <f t="shared" si="35"/>
        <v>-5.7728781412991995E-2</v>
      </c>
      <c r="I37" s="40"/>
      <c r="W37" s="133">
        <v>42717</v>
      </c>
      <c r="X37" s="10">
        <v>79.709999999999994</v>
      </c>
      <c r="Y37" s="10">
        <v>80.31</v>
      </c>
      <c r="Z37" s="10">
        <v>78.73</v>
      </c>
      <c r="AA37" s="10">
        <v>80.150000000000006</v>
      </c>
      <c r="AB37" s="95">
        <v>8152500</v>
      </c>
      <c r="AC37" s="10">
        <v>79.67</v>
      </c>
      <c r="AD37" s="2"/>
      <c r="AE37" s="138">
        <f t="shared" si="1"/>
        <v>5.29968454258678E-3</v>
      </c>
    </row>
    <row r="38" spans="1:31" x14ac:dyDescent="0.25">
      <c r="B38" s="193">
        <v>42762</v>
      </c>
      <c r="C38" s="10">
        <v>180</v>
      </c>
      <c r="D38" s="40">
        <v>81.169280000000001</v>
      </c>
      <c r="E38" s="40">
        <v>77.75</v>
      </c>
      <c r="F38" s="40">
        <f t="shared" si="33"/>
        <v>-615.47040000000015</v>
      </c>
      <c r="G38" s="40">
        <f t="shared" si="34"/>
        <v>14610.4704</v>
      </c>
      <c r="H38" s="231">
        <f t="shared" si="35"/>
        <v>-4.2125296663959574E-2</v>
      </c>
      <c r="I38" s="40"/>
      <c r="W38" s="133">
        <v>42716</v>
      </c>
      <c r="X38" s="10">
        <v>79.459999999999994</v>
      </c>
      <c r="Y38" s="10">
        <v>80.53</v>
      </c>
      <c r="Z38" s="10">
        <v>79.260000000000005</v>
      </c>
      <c r="AA38" s="10">
        <v>79.73</v>
      </c>
      <c r="AB38" s="95">
        <v>6619800</v>
      </c>
      <c r="AC38" s="10">
        <v>79.25</v>
      </c>
      <c r="AD38" s="2"/>
      <c r="AE38" s="138">
        <f t="shared" si="1"/>
        <v>-5.0219711236660913E-3</v>
      </c>
    </row>
    <row r="39" spans="1:31" x14ac:dyDescent="0.25">
      <c r="A39" t="s">
        <v>472</v>
      </c>
      <c r="B39" s="193">
        <v>42762</v>
      </c>
      <c r="C39" s="10">
        <v>140</v>
      </c>
      <c r="D39" s="40">
        <v>82.137640000000005</v>
      </c>
      <c r="E39" s="40">
        <v>77.75</v>
      </c>
      <c r="F39" s="40">
        <f t="shared" si="33"/>
        <v>-614.26960000000065</v>
      </c>
      <c r="G39" s="40">
        <f t="shared" si="34"/>
        <v>11499.269600000001</v>
      </c>
      <c r="H39" s="231">
        <f t="shared" si="35"/>
        <v>-5.3418140574771865E-2</v>
      </c>
      <c r="I39" s="40"/>
      <c r="W39" s="133">
        <v>42713</v>
      </c>
      <c r="X39" s="10">
        <v>78.88</v>
      </c>
      <c r="Y39" s="10">
        <v>80.540000000000006</v>
      </c>
      <c r="Z39" s="10">
        <v>78.739999999999995</v>
      </c>
      <c r="AA39" s="10">
        <v>80.13</v>
      </c>
      <c r="AB39" s="95">
        <v>6730100</v>
      </c>
      <c r="AC39" s="10">
        <v>79.650000000000006</v>
      </c>
      <c r="AD39" s="2"/>
      <c r="AE39" s="138">
        <f t="shared" si="1"/>
        <v>2.5888717156105079E-2</v>
      </c>
    </row>
    <row r="40" spans="1:31" ht="20.25" thickBot="1" x14ac:dyDescent="0.35">
      <c r="A40" t="s">
        <v>525</v>
      </c>
      <c r="B40" s="193">
        <v>42768</v>
      </c>
      <c r="C40" s="10">
        <v>180</v>
      </c>
      <c r="D40" s="40">
        <v>80.347059999999999</v>
      </c>
      <c r="E40" s="40">
        <v>74.8</v>
      </c>
      <c r="F40" s="40">
        <f t="shared" si="33"/>
        <v>-998.47080000000028</v>
      </c>
      <c r="G40" s="40">
        <f t="shared" si="34"/>
        <v>14462.470799999999</v>
      </c>
      <c r="H40" s="231">
        <f t="shared" si="35"/>
        <v>-6.903874267459198E-2</v>
      </c>
      <c r="I40" s="40" t="s">
        <v>189</v>
      </c>
      <c r="O40" s="638" t="s">
        <v>78</v>
      </c>
      <c r="P40" s="638"/>
      <c r="W40" s="133">
        <v>42712</v>
      </c>
      <c r="X40" s="10">
        <v>80.53</v>
      </c>
      <c r="Y40" s="10">
        <v>80.56</v>
      </c>
      <c r="Z40" s="10">
        <v>77.39</v>
      </c>
      <c r="AA40" s="10">
        <v>78.11</v>
      </c>
      <c r="AB40" s="95">
        <v>16110200</v>
      </c>
      <c r="AC40" s="10">
        <v>77.64</v>
      </c>
      <c r="AD40" s="2"/>
      <c r="AE40" s="138">
        <f t="shared" si="1"/>
        <v>-3.010618363522799E-2</v>
      </c>
    </row>
    <row r="41" spans="1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83.006</v>
      </c>
      <c r="Q41" s="2"/>
      <c r="W41" s="133">
        <v>42711</v>
      </c>
      <c r="X41" s="10">
        <v>79.239999999999995</v>
      </c>
      <c r="Y41" s="10">
        <v>80.61</v>
      </c>
      <c r="Z41" s="10">
        <v>78.489999999999995</v>
      </c>
      <c r="AA41" s="10">
        <v>80.53</v>
      </c>
      <c r="AB41" s="95">
        <v>10532900</v>
      </c>
      <c r="AC41" s="10">
        <v>80.05</v>
      </c>
      <c r="AD41" s="2"/>
      <c r="AE41" s="138">
        <f t="shared" si="1"/>
        <v>1.4061312389156422E-2</v>
      </c>
    </row>
    <row r="42" spans="1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36">O42*$Q$4</f>
        <v>82.251400000000004</v>
      </c>
      <c r="Q42" s="2"/>
      <c r="T42" s="91" t="s">
        <v>113</v>
      </c>
      <c r="W42" s="133">
        <v>42710</v>
      </c>
      <c r="X42" s="10">
        <v>78.599999999999994</v>
      </c>
      <c r="Y42" s="10">
        <v>79.78</v>
      </c>
      <c r="Z42" s="10">
        <v>78.260000000000005</v>
      </c>
      <c r="AA42" s="10">
        <v>79.42</v>
      </c>
      <c r="AB42" s="95">
        <v>9800700</v>
      </c>
      <c r="AC42" s="10">
        <v>78.94</v>
      </c>
      <c r="AD42" s="2"/>
      <c r="AE42" s="138">
        <f t="shared" si="1"/>
        <v>1.8317853457172406E-2</v>
      </c>
    </row>
    <row r="43" spans="1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36"/>
        <v>81.496799999999993</v>
      </c>
      <c r="Q43" s="2"/>
      <c r="T43" s="128" t="s">
        <v>98</v>
      </c>
      <c r="U43" s="129">
        <v>77.97</v>
      </c>
      <c r="W43" s="133">
        <v>42709</v>
      </c>
      <c r="X43" s="10">
        <v>77.569999999999993</v>
      </c>
      <c r="Y43" s="10">
        <v>78.28</v>
      </c>
      <c r="Z43" s="10">
        <v>76.88</v>
      </c>
      <c r="AA43" s="10">
        <v>77.989999999999995</v>
      </c>
      <c r="AB43" s="95">
        <v>9173900</v>
      </c>
      <c r="AC43" s="10">
        <v>77.52</v>
      </c>
      <c r="AD43" s="2"/>
      <c r="AE43" s="138">
        <f t="shared" si="1"/>
        <v>4.7958522359039524E-3</v>
      </c>
    </row>
    <row r="44" spans="1:31" x14ac:dyDescent="0.25">
      <c r="B44" s="193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36"/>
        <v>80.742199999999997</v>
      </c>
      <c r="Q44" s="2"/>
      <c r="T44" s="93" t="s">
        <v>99</v>
      </c>
      <c r="U44" s="130">
        <v>76.349999999999994</v>
      </c>
      <c r="W44" s="133">
        <v>42706</v>
      </c>
      <c r="X44" s="10">
        <v>77.13</v>
      </c>
      <c r="Y44" s="10">
        <v>78.31</v>
      </c>
      <c r="Z44" s="10">
        <v>76.349999999999994</v>
      </c>
      <c r="AA44" s="10">
        <v>77.62</v>
      </c>
      <c r="AB44" s="95">
        <v>11911300</v>
      </c>
      <c r="AC44" s="10">
        <v>77.150000000000006</v>
      </c>
      <c r="AD44" s="2"/>
      <c r="AE44" s="138">
        <f t="shared" si="1"/>
        <v>1.1140235910878316E-2</v>
      </c>
    </row>
    <row r="45" spans="1:31" x14ac:dyDescent="0.25">
      <c r="B45" s="193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36"/>
        <v>79.9876</v>
      </c>
      <c r="Q45" s="2"/>
      <c r="T45" s="93" t="s">
        <v>100</v>
      </c>
      <c r="U45" s="130" t="s">
        <v>129</v>
      </c>
      <c r="W45" s="133">
        <v>42705</v>
      </c>
      <c r="X45" s="10">
        <v>76.62</v>
      </c>
      <c r="Y45" s="10">
        <v>77.13</v>
      </c>
      <c r="Z45" s="10">
        <v>76.290000000000006</v>
      </c>
      <c r="AA45" s="10">
        <v>76.760000000000005</v>
      </c>
      <c r="AB45" s="95">
        <v>7316300</v>
      </c>
      <c r="AC45" s="10">
        <v>76.3</v>
      </c>
      <c r="AD45" s="2"/>
      <c r="AE45" s="138">
        <f t="shared" si="1"/>
        <v>-1.700902786863967E-3</v>
      </c>
    </row>
    <row r="46" spans="1:31" x14ac:dyDescent="0.25">
      <c r="B46" s="193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36"/>
        <v>79.23299999999999</v>
      </c>
      <c r="Q46" s="2"/>
      <c r="T46" s="93" t="s">
        <v>101</v>
      </c>
      <c r="U46" s="130" t="s">
        <v>129</v>
      </c>
      <c r="W46" s="133">
        <v>42704</v>
      </c>
      <c r="X46" s="10">
        <v>76.19</v>
      </c>
      <c r="Y46" s="10">
        <v>77.37</v>
      </c>
      <c r="Z46" s="10">
        <v>75.92</v>
      </c>
      <c r="AA46" s="10">
        <v>76.89</v>
      </c>
      <c r="AB46" s="95">
        <v>12781800</v>
      </c>
      <c r="AC46" s="10">
        <v>76.430000000000007</v>
      </c>
      <c r="AD46" s="2"/>
      <c r="AE46" s="138">
        <f t="shared" si="1"/>
        <v>1.3391673296208051E-2</v>
      </c>
    </row>
    <row r="47" spans="1:31" x14ac:dyDescent="0.25">
      <c r="B47" s="193"/>
      <c r="C47" s="10"/>
      <c r="D47" s="40"/>
      <c r="E47" s="40"/>
      <c r="F47" s="40"/>
      <c r="G47" s="40"/>
      <c r="H47" s="231"/>
      <c r="I47" s="40"/>
      <c r="O47" s="83">
        <v>1.04</v>
      </c>
      <c r="P47" s="83">
        <f t="shared" si="36"/>
        <v>78.478399999999993</v>
      </c>
      <c r="Q47" s="2"/>
      <c r="T47" s="93" t="s">
        <v>102</v>
      </c>
      <c r="U47" s="130">
        <v>87.95</v>
      </c>
      <c r="W47" s="133">
        <v>42703</v>
      </c>
      <c r="X47" s="10">
        <v>75.89</v>
      </c>
      <c r="Y47" s="10">
        <v>76.069999999999993</v>
      </c>
      <c r="Z47" s="10">
        <v>75</v>
      </c>
      <c r="AA47" s="10">
        <v>75.88</v>
      </c>
      <c r="AB47" s="95">
        <v>8649600</v>
      </c>
      <c r="AC47" s="10">
        <v>75.42</v>
      </c>
      <c r="AD47" s="2"/>
      <c r="AE47" s="138">
        <f t="shared" si="1"/>
        <v>1.4664334723530237E-2</v>
      </c>
    </row>
    <row r="48" spans="1:31" x14ac:dyDescent="0.25">
      <c r="B48" s="74"/>
      <c r="C48" s="4"/>
      <c r="D48" s="3"/>
      <c r="E48" s="3"/>
      <c r="F48" s="3"/>
      <c r="G48" s="3"/>
      <c r="H48" s="280"/>
      <c r="I48" s="3"/>
      <c r="O48" s="83">
        <v>1.03</v>
      </c>
      <c r="P48" s="83">
        <f t="shared" si="36"/>
        <v>77.723799999999997</v>
      </c>
      <c r="Q48" s="2"/>
      <c r="T48" s="93" t="s">
        <v>103</v>
      </c>
      <c r="U48" s="130">
        <v>0.70903099999999997</v>
      </c>
      <c r="W48" s="133">
        <v>42702</v>
      </c>
      <c r="X48" s="10">
        <v>73.73</v>
      </c>
      <c r="Y48" s="10">
        <v>75</v>
      </c>
      <c r="Z48" s="10">
        <v>73.66</v>
      </c>
      <c r="AA48" s="10">
        <v>74.78</v>
      </c>
      <c r="AB48" s="95">
        <v>8625100</v>
      </c>
      <c r="AC48" s="10">
        <v>74.33</v>
      </c>
      <c r="AD48" s="2"/>
      <c r="AE48" s="138">
        <f t="shared" si="1"/>
        <v>9.7812797174297028E-3</v>
      </c>
    </row>
    <row r="49" spans="1:31" x14ac:dyDescent="0.25">
      <c r="B49" s="74"/>
      <c r="C49" s="4"/>
      <c r="D49" s="3"/>
      <c r="E49" s="3"/>
      <c r="F49" s="3"/>
      <c r="G49" s="3"/>
      <c r="H49" s="280"/>
      <c r="I49" s="3"/>
      <c r="O49" s="83">
        <v>1.02</v>
      </c>
      <c r="P49" s="83">
        <f t="shared" si="36"/>
        <v>76.969200000000001</v>
      </c>
      <c r="Q49" s="2"/>
      <c r="T49" s="93" t="s">
        <v>104</v>
      </c>
      <c r="U49" s="130" t="s">
        <v>389</v>
      </c>
      <c r="W49" s="133">
        <v>42699</v>
      </c>
      <c r="X49" s="10">
        <v>74.010000000000005</v>
      </c>
      <c r="Y49" s="10">
        <v>74.290000000000006</v>
      </c>
      <c r="Z49" s="10">
        <v>73.55</v>
      </c>
      <c r="AA49" s="10">
        <v>74.06</v>
      </c>
      <c r="AB49" s="95">
        <v>3529200</v>
      </c>
      <c r="AC49" s="10">
        <v>73.61</v>
      </c>
      <c r="AD49" s="2"/>
      <c r="AE49" s="138">
        <f t="shared" si="1"/>
        <v>5.1891301379216603E-3</v>
      </c>
    </row>
    <row r="50" spans="1:31" x14ac:dyDescent="0.25">
      <c r="B50" s="74"/>
      <c r="C50" s="4"/>
      <c r="D50" s="3"/>
      <c r="E50" s="3"/>
      <c r="F50" s="3"/>
      <c r="G50" s="3"/>
      <c r="H50" s="280"/>
      <c r="I50" s="3"/>
      <c r="O50" s="83">
        <v>1.01</v>
      </c>
      <c r="P50" s="83">
        <f t="shared" si="36"/>
        <v>76.21459999999999</v>
      </c>
      <c r="Q50" s="2"/>
      <c r="T50" s="93"/>
      <c r="U50" s="130"/>
      <c r="W50" s="133">
        <v>42697</v>
      </c>
      <c r="X50" s="10">
        <v>73.38</v>
      </c>
      <c r="Y50" s="10">
        <v>74.03</v>
      </c>
      <c r="Z50" s="10">
        <v>72.86</v>
      </c>
      <c r="AA50" s="10">
        <v>73.67</v>
      </c>
      <c r="AB50" s="95">
        <v>6572900</v>
      </c>
      <c r="AC50" s="10">
        <v>73.23</v>
      </c>
      <c r="AD50" s="2"/>
      <c r="AE50" s="138">
        <f t="shared" si="1"/>
        <v>1.0936431989063689E-3</v>
      </c>
    </row>
    <row r="51" spans="1:31" x14ac:dyDescent="0.25">
      <c r="B51" s="74"/>
      <c r="C51" s="4"/>
      <c r="D51" s="3"/>
      <c r="E51" s="3"/>
      <c r="F51" s="3"/>
      <c r="G51" s="3"/>
      <c r="H51" s="280"/>
      <c r="I51" s="3"/>
      <c r="O51" s="83">
        <v>1</v>
      </c>
      <c r="P51" s="83">
        <f t="shared" si="36"/>
        <v>75.459999999999994</v>
      </c>
      <c r="Q51" s="2"/>
      <c r="T51" s="93" t="s">
        <v>105</v>
      </c>
      <c r="U51" s="130" t="s">
        <v>567</v>
      </c>
      <c r="W51" s="133">
        <v>42696</v>
      </c>
      <c r="X51" s="10">
        <v>72.930000000000007</v>
      </c>
      <c r="Y51" s="10">
        <v>74.099999999999994</v>
      </c>
      <c r="Z51" s="10">
        <v>72.83</v>
      </c>
      <c r="AA51" s="10">
        <v>73.59</v>
      </c>
      <c r="AB51" s="95">
        <v>12425200</v>
      </c>
      <c r="AC51" s="10">
        <v>73.150000000000006</v>
      </c>
      <c r="AD51" s="2"/>
      <c r="AE51" s="138">
        <f t="shared" si="1"/>
        <v>-8.1355932203388548E-3</v>
      </c>
    </row>
    <row r="52" spans="1:31" x14ac:dyDescent="0.25">
      <c r="B52" s="74"/>
      <c r="C52" s="4"/>
      <c r="D52" s="3"/>
      <c r="E52" s="3"/>
      <c r="F52" s="3"/>
      <c r="G52" s="3"/>
      <c r="H52" s="280"/>
      <c r="I52" s="3"/>
      <c r="O52" s="83">
        <v>0.99</v>
      </c>
      <c r="P52" s="83">
        <f t="shared" si="36"/>
        <v>74.705399999999997</v>
      </c>
      <c r="Q52" s="2"/>
      <c r="T52" s="93" t="s">
        <v>106</v>
      </c>
      <c r="U52" s="130" t="s">
        <v>335</v>
      </c>
      <c r="W52" s="133">
        <v>42695</v>
      </c>
      <c r="X52" s="10">
        <v>74.040000000000006</v>
      </c>
      <c r="Y52" s="10">
        <v>74.48</v>
      </c>
      <c r="Z52" s="10">
        <v>73.38</v>
      </c>
      <c r="AA52" s="10">
        <v>74.2</v>
      </c>
      <c r="AB52" s="95">
        <v>8025600</v>
      </c>
      <c r="AC52" s="10">
        <v>73.75</v>
      </c>
      <c r="AD52" s="2"/>
      <c r="AE52" s="138">
        <f t="shared" si="1"/>
        <v>2.0380434782609758E-3</v>
      </c>
    </row>
    <row r="53" spans="1:31" x14ac:dyDescent="0.25">
      <c r="B53" s="74"/>
      <c r="C53" s="4"/>
      <c r="D53" s="3"/>
      <c r="E53" s="3"/>
      <c r="F53" s="3"/>
      <c r="G53" s="3"/>
      <c r="H53" s="280"/>
      <c r="I53" s="3"/>
      <c r="O53" s="83">
        <v>0.98</v>
      </c>
      <c r="P53" s="83">
        <f t="shared" si="36"/>
        <v>73.950799999999987</v>
      </c>
      <c r="Q53" s="2"/>
      <c r="T53" s="93" t="s">
        <v>107</v>
      </c>
      <c r="U53" s="131">
        <v>18840243</v>
      </c>
      <c r="W53" s="133">
        <v>42692</v>
      </c>
      <c r="X53" s="10">
        <v>74.03</v>
      </c>
      <c r="Y53" s="10">
        <v>74.56</v>
      </c>
      <c r="Z53" s="10">
        <v>73.67</v>
      </c>
      <c r="AA53" s="10">
        <v>74.040000000000006</v>
      </c>
      <c r="AB53" s="95">
        <v>7498500</v>
      </c>
      <c r="AC53" s="10">
        <v>73.599999999999994</v>
      </c>
      <c r="AD53" s="2"/>
      <c r="AE53" s="138">
        <f t="shared" si="1"/>
        <v>-2.9802221620156555E-3</v>
      </c>
    </row>
    <row r="54" spans="1:31" x14ac:dyDescent="0.25">
      <c r="A54" s="4"/>
      <c r="B54" s="74"/>
      <c r="C54" s="4"/>
      <c r="D54" s="3"/>
      <c r="E54" s="3"/>
      <c r="F54" s="3"/>
      <c r="G54" s="3"/>
      <c r="H54" s="280"/>
      <c r="I54" s="3"/>
      <c r="J54" s="3"/>
      <c r="K54" s="3"/>
      <c r="L54" s="4"/>
      <c r="O54" s="83">
        <v>0.97</v>
      </c>
      <c r="P54" s="83">
        <f t="shared" si="36"/>
        <v>73.19619999999999</v>
      </c>
      <c r="T54" s="93" t="s">
        <v>110</v>
      </c>
      <c r="U54" s="131">
        <v>8862440</v>
      </c>
      <c r="W54" s="133">
        <v>42691</v>
      </c>
      <c r="X54" s="10">
        <v>74.349999999999994</v>
      </c>
      <c r="Y54" s="10">
        <v>74.73</v>
      </c>
      <c r="Z54" s="10">
        <v>74.12</v>
      </c>
      <c r="AA54" s="10">
        <v>74.27</v>
      </c>
      <c r="AB54" s="95">
        <v>8305400</v>
      </c>
      <c r="AC54" s="10">
        <v>73.819999999999993</v>
      </c>
      <c r="AD54" s="2"/>
      <c r="AE54" s="138">
        <f t="shared" si="1"/>
        <v>-3.9131021454595905E-3</v>
      </c>
    </row>
    <row r="55" spans="1:31" x14ac:dyDescent="0.25">
      <c r="A55" s="4"/>
      <c r="B55" s="74"/>
      <c r="C55" s="4"/>
      <c r="D55" s="3"/>
      <c r="E55" s="3"/>
      <c r="F55" s="3"/>
      <c r="G55" s="3"/>
      <c r="H55" s="280"/>
      <c r="I55" s="3"/>
      <c r="J55" s="3"/>
      <c r="K55" s="3"/>
      <c r="L55" s="4"/>
      <c r="O55" s="83">
        <v>0.96</v>
      </c>
      <c r="P55" s="83">
        <f t="shared" si="36"/>
        <v>72.441599999999994</v>
      </c>
      <c r="T55" s="93" t="s">
        <v>108</v>
      </c>
      <c r="U55" s="130" t="s">
        <v>568</v>
      </c>
      <c r="W55" s="133">
        <v>42690</v>
      </c>
      <c r="X55" s="10">
        <v>75.11</v>
      </c>
      <c r="Y55" s="10">
        <v>75.400000000000006</v>
      </c>
      <c r="Z55" s="10">
        <v>74.5</v>
      </c>
      <c r="AA55" s="10">
        <v>74.56</v>
      </c>
      <c r="AB55" s="95">
        <v>7551100</v>
      </c>
      <c r="AC55" s="10">
        <v>74.11</v>
      </c>
      <c r="AD55" s="2"/>
      <c r="AE55" s="138">
        <f t="shared" si="1"/>
        <v>-6.4351789784153901E-3</v>
      </c>
    </row>
    <row r="56" spans="1:31" x14ac:dyDescent="0.25">
      <c r="A56" s="4"/>
      <c r="B56" s="74"/>
      <c r="C56" s="4"/>
      <c r="D56" s="3"/>
      <c r="E56" s="3"/>
      <c r="F56" s="3"/>
      <c r="G56" s="3"/>
      <c r="H56" s="280"/>
      <c r="I56" s="3"/>
      <c r="J56" s="3"/>
      <c r="K56" s="3"/>
      <c r="L56" s="4"/>
      <c r="O56" s="83">
        <v>0.95</v>
      </c>
      <c r="P56" s="83">
        <f t="shared" si="36"/>
        <v>71.686999999999998</v>
      </c>
      <c r="T56" s="93" t="s">
        <v>111</v>
      </c>
      <c r="U56" s="130">
        <v>16.03</v>
      </c>
      <c r="W56" s="133">
        <v>42689</v>
      </c>
      <c r="X56" s="10">
        <v>75.650000000000006</v>
      </c>
      <c r="Y56" s="10">
        <v>75.75</v>
      </c>
      <c r="Z56" s="10">
        <v>74.27</v>
      </c>
      <c r="AA56" s="10">
        <v>75.040000000000006</v>
      </c>
      <c r="AB56" s="95">
        <v>10465200</v>
      </c>
      <c r="AC56" s="10">
        <v>74.59</v>
      </c>
      <c r="AD56" s="2"/>
      <c r="AE56" s="138">
        <f t="shared" si="1"/>
        <v>-1.2576118612655618E-2</v>
      </c>
    </row>
    <row r="57" spans="1:31" x14ac:dyDescent="0.25">
      <c r="A57" s="4"/>
      <c r="B57" s="74"/>
      <c r="C57" s="4"/>
      <c r="D57" s="3"/>
      <c r="E57" s="3"/>
      <c r="F57" s="3"/>
      <c r="G57" s="3"/>
      <c r="H57" s="280"/>
      <c r="I57" s="3"/>
      <c r="J57" s="3"/>
      <c r="K57" s="3"/>
      <c r="L57" s="4"/>
      <c r="O57" s="83">
        <v>0.94</v>
      </c>
      <c r="P57" s="83">
        <f t="shared" si="36"/>
        <v>70.932399999999987</v>
      </c>
      <c r="T57" s="93" t="s">
        <v>112</v>
      </c>
      <c r="U57" s="130">
        <v>4.67</v>
      </c>
      <c r="W57" s="133">
        <v>42688</v>
      </c>
      <c r="X57" s="10">
        <v>74.45</v>
      </c>
      <c r="Y57" s="10">
        <v>76.540000000000006</v>
      </c>
      <c r="Z57" s="10">
        <v>74.45</v>
      </c>
      <c r="AA57" s="10">
        <v>76</v>
      </c>
      <c r="AB57" s="95">
        <v>10521900</v>
      </c>
      <c r="AC57" s="10">
        <v>75.540000000000006</v>
      </c>
      <c r="AD57" s="2"/>
      <c r="AE57" s="138">
        <f t="shared" si="1"/>
        <v>1.205787781350498E-2</v>
      </c>
    </row>
    <row r="58" spans="1:31" x14ac:dyDescent="0.25">
      <c r="A58" s="4"/>
      <c r="B58" s="74"/>
      <c r="C58" s="4"/>
      <c r="D58" s="3"/>
      <c r="E58" s="3"/>
      <c r="F58" s="3"/>
      <c r="G58" s="3"/>
      <c r="H58" s="280"/>
      <c r="I58" s="3"/>
      <c r="J58" s="3"/>
      <c r="K58" s="3"/>
      <c r="L58" s="4"/>
      <c r="O58" s="83">
        <v>0.93</v>
      </c>
      <c r="P58" s="83">
        <f t="shared" si="36"/>
        <v>70.177800000000005</v>
      </c>
      <c r="T58" s="93" t="s">
        <v>109</v>
      </c>
      <c r="U58" s="130" t="s">
        <v>506</v>
      </c>
      <c r="W58" s="133">
        <v>42685</v>
      </c>
      <c r="X58" s="10">
        <v>77.099999999999994</v>
      </c>
      <c r="Y58" s="10">
        <v>77.2</v>
      </c>
      <c r="Z58" s="10">
        <v>74.709999999999994</v>
      </c>
      <c r="AA58" s="10">
        <v>75.09</v>
      </c>
      <c r="AB58" s="95">
        <v>9565800</v>
      </c>
      <c r="AC58" s="10">
        <v>74.64</v>
      </c>
      <c r="AD58" s="2"/>
      <c r="AE58" s="138">
        <f t="shared" si="1"/>
        <v>-2.8378026555584412E-2</v>
      </c>
    </row>
    <row r="59" spans="1:31" x14ac:dyDescent="0.25">
      <c r="A59" s="4"/>
      <c r="B59" s="74"/>
      <c r="C59" s="4"/>
      <c r="D59" s="3"/>
      <c r="E59" s="3"/>
      <c r="F59" s="3"/>
      <c r="G59" s="3"/>
      <c r="H59" s="280"/>
      <c r="I59" s="3"/>
      <c r="J59" s="3"/>
      <c r="K59" s="3"/>
      <c r="L59" s="4"/>
      <c r="O59" s="83">
        <v>0.92</v>
      </c>
      <c r="P59" s="83">
        <f t="shared" si="36"/>
        <v>69.423199999999994</v>
      </c>
      <c r="W59" s="133">
        <v>42684</v>
      </c>
      <c r="X59" s="10">
        <v>77.03</v>
      </c>
      <c r="Y59" s="10">
        <v>77.7</v>
      </c>
      <c r="Z59" s="10">
        <v>76.56</v>
      </c>
      <c r="AA59" s="10">
        <v>77.28</v>
      </c>
      <c r="AB59" s="95">
        <v>12664100</v>
      </c>
      <c r="AC59" s="10">
        <v>76.819999999999993</v>
      </c>
      <c r="AD59" s="2"/>
      <c r="AE59" s="138">
        <f t="shared" si="1"/>
        <v>9.4612352168199632E-3</v>
      </c>
    </row>
    <row r="60" spans="1:31" x14ac:dyDescent="0.25">
      <c r="A60" s="4"/>
      <c r="B60" s="74"/>
      <c r="C60" s="4"/>
      <c r="D60" s="3"/>
      <c r="E60" s="3"/>
      <c r="F60" s="3"/>
      <c r="G60" s="3"/>
      <c r="H60" s="280"/>
      <c r="I60" s="3"/>
      <c r="J60" s="3"/>
      <c r="K60" s="3"/>
      <c r="L60" s="4"/>
      <c r="O60" s="83">
        <v>0.91</v>
      </c>
      <c r="P60" s="83">
        <f t="shared" si="36"/>
        <v>68.668599999999998</v>
      </c>
      <c r="W60" s="133">
        <v>42683</v>
      </c>
      <c r="X60" s="10">
        <v>74.23</v>
      </c>
      <c r="Y60" s="10">
        <v>77.12</v>
      </c>
      <c r="Z60" s="10">
        <v>74.2</v>
      </c>
      <c r="AA60" s="10">
        <v>76.56</v>
      </c>
      <c r="AB60" s="95">
        <v>20300100</v>
      </c>
      <c r="AC60" s="10">
        <v>76.099999999999994</v>
      </c>
      <c r="AD60" s="2"/>
      <c r="AE60" s="138">
        <f t="shared" si="1"/>
        <v>4.1182104255027996E-2</v>
      </c>
    </row>
    <row r="61" spans="1:31" x14ac:dyDescent="0.25">
      <c r="A61" s="4"/>
      <c r="B61" s="74"/>
      <c r="C61" s="4"/>
      <c r="D61" s="3"/>
      <c r="E61" s="3"/>
      <c r="F61" s="3"/>
      <c r="G61" s="3"/>
      <c r="H61" s="280"/>
      <c r="I61" s="3"/>
      <c r="J61" s="3"/>
      <c r="K61" s="3"/>
      <c r="L61" s="4"/>
      <c r="O61" s="83">
        <v>0.9</v>
      </c>
      <c r="P61" s="83">
        <f t="shared" si="36"/>
        <v>67.914000000000001</v>
      </c>
      <c r="W61" s="133">
        <v>42682</v>
      </c>
      <c r="X61" s="10">
        <v>69.7</v>
      </c>
      <c r="Y61" s="10">
        <v>74.989999999999995</v>
      </c>
      <c r="Z61" s="10">
        <v>69.3</v>
      </c>
      <c r="AA61" s="10">
        <v>73.53</v>
      </c>
      <c r="AB61" s="95">
        <v>50234400</v>
      </c>
      <c r="AC61" s="10">
        <v>73.09</v>
      </c>
      <c r="AD61" s="2"/>
      <c r="AE61" s="138">
        <f t="shared" si="1"/>
        <v>-0.1182289781638316</v>
      </c>
    </row>
    <row r="62" spans="1:31" x14ac:dyDescent="0.25">
      <c r="A62" s="4"/>
      <c r="B62" s="74"/>
      <c r="C62" s="4"/>
      <c r="D62" s="3"/>
      <c r="E62" s="3"/>
      <c r="F62" s="3"/>
      <c r="G62" s="3"/>
      <c r="H62" s="280"/>
      <c r="I62" s="3"/>
      <c r="J62" s="3"/>
      <c r="K62" s="3"/>
      <c r="L62" s="4"/>
      <c r="W62" s="133">
        <v>42681</v>
      </c>
      <c r="X62" s="10">
        <v>83.37</v>
      </c>
      <c r="Y62" s="10">
        <v>83.84</v>
      </c>
      <c r="Z62" s="10">
        <v>82.67</v>
      </c>
      <c r="AA62" s="10">
        <v>83.39</v>
      </c>
      <c r="AB62" s="95">
        <v>8457000</v>
      </c>
      <c r="AC62" s="10">
        <v>82.89</v>
      </c>
      <c r="AD62" s="2"/>
      <c r="AE62" s="138">
        <f t="shared" si="1"/>
        <v>1.3077487166951896E-2</v>
      </c>
    </row>
    <row r="63" spans="1:31" x14ac:dyDescent="0.25">
      <c r="A63" s="4"/>
      <c r="B63" s="74"/>
      <c r="C63" s="4"/>
      <c r="D63" s="3"/>
      <c r="E63" s="3"/>
      <c r="F63" s="3"/>
      <c r="G63" s="3"/>
      <c r="H63" s="280"/>
      <c r="I63" s="3"/>
      <c r="J63" s="3"/>
      <c r="K63" s="3"/>
      <c r="L63" s="4"/>
      <c r="W63" s="133">
        <v>42678</v>
      </c>
      <c r="X63" s="10">
        <v>81.760000000000005</v>
      </c>
      <c r="Y63" s="10">
        <v>82.87</v>
      </c>
      <c r="Z63" s="10">
        <v>81.59</v>
      </c>
      <c r="AA63" s="10">
        <v>82.31</v>
      </c>
      <c r="AB63" s="95">
        <v>8227400</v>
      </c>
      <c r="AC63" s="10">
        <v>81.819999999999993</v>
      </c>
      <c r="AD63" s="2"/>
      <c r="AE63" s="138">
        <f t="shared" si="1"/>
        <v>9.1267883571779507E-3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3">
        <v>42677</v>
      </c>
      <c r="X64" s="10">
        <v>84.34</v>
      </c>
      <c r="Y64" s="10">
        <v>84.89</v>
      </c>
      <c r="Z64" s="10">
        <v>81.25</v>
      </c>
      <c r="AA64" s="10">
        <v>81.569999999999993</v>
      </c>
      <c r="AB64" s="95">
        <v>12603900</v>
      </c>
      <c r="AC64" s="10">
        <v>81.08</v>
      </c>
      <c r="AD64" s="2"/>
      <c r="AE64" s="138">
        <f t="shared" si="1"/>
        <v>-2.8400239664469806E-2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3">
        <v>42676</v>
      </c>
      <c r="X65" s="10">
        <v>83.57</v>
      </c>
      <c r="Y65" s="10">
        <v>84.24</v>
      </c>
      <c r="Z65" s="10">
        <v>82.84</v>
      </c>
      <c r="AA65" s="10">
        <v>83.95</v>
      </c>
      <c r="AB65" s="95">
        <v>6132100</v>
      </c>
      <c r="AC65" s="10">
        <v>83.45</v>
      </c>
      <c r="AD65" s="2"/>
      <c r="AE65" s="138">
        <f t="shared" si="1"/>
        <v>6.0277275467148783E-3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W66" s="133">
        <v>42675</v>
      </c>
      <c r="X66" s="10">
        <v>84.34</v>
      </c>
      <c r="Y66" s="10">
        <v>84.69</v>
      </c>
      <c r="Z66" s="10">
        <v>83.22</v>
      </c>
      <c r="AA66" s="10">
        <v>83.45</v>
      </c>
      <c r="AB66" s="95">
        <v>6212400</v>
      </c>
      <c r="AC66" s="10">
        <v>82.95</v>
      </c>
      <c r="AD66" s="2"/>
      <c r="AE66" s="138">
        <f t="shared" si="1"/>
        <v>-7.6564182318459295E-3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W67" s="133">
        <v>42674</v>
      </c>
      <c r="X67" s="10">
        <v>83.38</v>
      </c>
      <c r="Y67" s="10">
        <v>84.52</v>
      </c>
      <c r="Z67" s="10">
        <v>83.1</v>
      </c>
      <c r="AA67" s="10">
        <v>84.1</v>
      </c>
      <c r="AB67" s="95">
        <v>7425600</v>
      </c>
      <c r="AC67" s="10">
        <v>83.59</v>
      </c>
      <c r="AD67" s="2"/>
      <c r="AE67" s="138" t="e">
        <f>AC67/#REF!-1</f>
        <v>#REF!</v>
      </c>
    </row>
    <row r="68" spans="1:31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  <c r="W68" s="133">
        <v>42671</v>
      </c>
      <c r="X68" s="10">
        <v>85.35</v>
      </c>
      <c r="Y68" s="10">
        <v>85.49</v>
      </c>
      <c r="Z68" s="10">
        <v>82.55</v>
      </c>
      <c r="AA68" s="10">
        <v>83.36</v>
      </c>
      <c r="AB68" s="95">
        <v>17206700</v>
      </c>
      <c r="AC68" s="10">
        <v>82.86</v>
      </c>
      <c r="AD68" s="2"/>
      <c r="AE68" s="138" t="e">
        <f>#REF!/AC69-1</f>
        <v>#REF!</v>
      </c>
    </row>
    <row r="69" spans="1:31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  <c r="W69" s="133" t="s">
        <v>121</v>
      </c>
      <c r="X69" s="10"/>
      <c r="Y69" s="10"/>
      <c r="Z69" s="10"/>
      <c r="AA69" s="10"/>
      <c r="AB69" s="95"/>
      <c r="AC69" s="10"/>
      <c r="AD69" s="2"/>
      <c r="AE69" s="138" t="e">
        <f>AC69/AC70-1</f>
        <v>#DIV/0!</v>
      </c>
    </row>
    <row r="70" spans="1:31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31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{D57F6267-2614-4113-B7B8-36FD11BD5AA4}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48:F63 H48:H63">
    <cfRule type="expression" dxfId="855" priority="9">
      <formula>F48&gt;0</formula>
    </cfRule>
    <cfRule type="expression" dxfId="854" priority="10">
      <formula>F48&lt;0</formula>
    </cfRule>
  </conditionalFormatting>
  <conditionalFormatting sqref="Q7">
    <cfRule type="expression" dxfId="853" priority="7">
      <formula>Q7&gt;0</formula>
    </cfRule>
    <cfRule type="expression" dxfId="852" priority="8">
      <formula>Q7&lt;0</formula>
    </cfRule>
  </conditionalFormatting>
  <conditionalFormatting sqref="Q8">
    <cfRule type="expression" dxfId="851" priority="5">
      <formula>Q8&gt;0</formula>
    </cfRule>
    <cfRule type="expression" dxfId="850" priority="6">
      <formula>Q8&lt;0</formula>
    </cfRule>
  </conditionalFormatting>
  <conditionalFormatting sqref="F25:F47">
    <cfRule type="expression" dxfId="849" priority="3">
      <formula>F25&gt;0</formula>
    </cfRule>
    <cfRule type="expression" dxfId="848" priority="4">
      <formula>F25&lt;0</formula>
    </cfRule>
  </conditionalFormatting>
  <conditionalFormatting sqref="H25:H47">
    <cfRule type="expression" dxfId="847" priority="1">
      <formula>H25&gt;0</formula>
    </cfRule>
    <cfRule type="expression" dxfId="846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7F6267-2614-4113-B7B8-36FD11BD5AA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O515"/>
  <sheetViews>
    <sheetView zoomScaleNormal="100" workbookViewId="0">
      <pane ySplit="1" topLeftCell="A483" activePane="bottomLeft" state="frozen"/>
      <selection pane="bottomLeft" activeCell="M499" sqref="M499"/>
    </sheetView>
  </sheetViews>
  <sheetFormatPr defaultRowHeight="15" x14ac:dyDescent="0.25"/>
  <cols>
    <col min="1" max="1" width="11.140625" customWidth="1"/>
    <col min="2" max="2" width="10.7109375" style="30" bestFit="1" customWidth="1"/>
    <col min="3" max="3" width="9.140625" customWidth="1"/>
    <col min="4" max="4" width="9.140625" style="80"/>
    <col min="5" max="5" width="9.140625" style="2"/>
    <col min="6" max="6" width="14.85546875" style="2" bestFit="1" customWidth="1"/>
    <col min="7" max="7" width="10.7109375" bestFit="1" customWidth="1"/>
    <col min="8" max="8" width="10.5703125" style="72" bestFit="1" customWidth="1"/>
    <col min="9" max="9" width="15.28515625" style="80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7" max="17" width="11.140625" customWidth="1"/>
    <col min="18" max="18" width="10.42578125" bestFit="1" customWidth="1"/>
    <col min="20" max="20" width="18.5703125" style="42" customWidth="1"/>
    <col min="21" max="21" width="36.5703125" style="34" customWidth="1"/>
    <col min="22" max="22" width="25.85546875" customWidth="1"/>
    <col min="23" max="23" width="15.7109375" customWidth="1"/>
    <col min="24" max="24" width="13.140625" customWidth="1"/>
    <col min="25" max="27" width="6" bestFit="1" customWidth="1"/>
    <col min="28" max="28" width="11.140625" bestFit="1" customWidth="1"/>
    <col min="29" max="29" width="10.28515625" bestFit="1" customWidth="1"/>
    <col min="31" max="31" width="15" customWidth="1"/>
    <col min="35" max="35" width="31.7109375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1" s="11" customFormat="1" x14ac:dyDescent="0.25">
      <c r="A1" s="11" t="s">
        <v>1</v>
      </c>
      <c r="B1" s="35" t="s">
        <v>2</v>
      </c>
      <c r="C1" s="11" t="s">
        <v>4</v>
      </c>
      <c r="D1" s="78" t="s">
        <v>5</v>
      </c>
      <c r="E1" s="21" t="s">
        <v>90</v>
      </c>
      <c r="F1" s="21" t="s">
        <v>60</v>
      </c>
      <c r="G1" s="11" t="s">
        <v>3</v>
      </c>
      <c r="H1" s="76" t="s">
        <v>6</v>
      </c>
      <c r="I1" s="78" t="s">
        <v>7</v>
      </c>
      <c r="J1" s="21" t="s">
        <v>89</v>
      </c>
      <c r="K1" s="21" t="s">
        <v>61</v>
      </c>
      <c r="L1" s="11" t="s">
        <v>37</v>
      </c>
      <c r="M1" s="21" t="s">
        <v>38</v>
      </c>
      <c r="T1" s="43" t="s">
        <v>70</v>
      </c>
      <c r="U1" s="33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E1" s="11" t="s">
        <v>127</v>
      </c>
    </row>
    <row r="2" spans="1:41" x14ac:dyDescent="0.25">
      <c r="A2" s="6" t="s">
        <v>50</v>
      </c>
      <c r="B2" s="506">
        <v>42187</v>
      </c>
      <c r="C2" s="7">
        <v>1000</v>
      </c>
      <c r="D2" s="79">
        <v>27.25</v>
      </c>
      <c r="E2" s="44">
        <v>0</v>
      </c>
      <c r="F2" s="44">
        <f>C2*D2+E2</f>
        <v>27250</v>
      </c>
      <c r="G2" s="459">
        <v>42187</v>
      </c>
      <c r="H2" s="82">
        <v>2000</v>
      </c>
      <c r="I2" s="79">
        <v>27.34</v>
      </c>
      <c r="J2" s="44">
        <v>-5.49</v>
      </c>
      <c r="K2" s="44">
        <f>H2*I2-J2</f>
        <v>54685.49</v>
      </c>
      <c r="L2" s="1">
        <v>42257</v>
      </c>
      <c r="M2" s="44">
        <v>850.5</v>
      </c>
      <c r="O2" s="11" t="s">
        <v>57</v>
      </c>
      <c r="Q2">
        <f>C256-H256</f>
        <v>5300</v>
      </c>
      <c r="W2" s="133">
        <v>42768</v>
      </c>
      <c r="X2" s="10">
        <v>16.64</v>
      </c>
      <c r="Y2" s="10">
        <v>16.77</v>
      </c>
      <c r="Z2" s="10">
        <v>16.29</v>
      </c>
      <c r="AA2" s="10">
        <v>16.68</v>
      </c>
      <c r="AB2" s="95">
        <v>9226700</v>
      </c>
      <c r="AC2" s="10">
        <v>16.68</v>
      </c>
      <c r="AE2" s="138">
        <f t="shared" ref="AE2:AE14" si="0">AC2/AC3-1</f>
        <v>5.4249547920433017E-3</v>
      </c>
    </row>
    <row r="3" spans="1:41" x14ac:dyDescent="0.25">
      <c r="A3" s="23" t="s">
        <v>71</v>
      </c>
      <c r="B3" s="506">
        <v>42187</v>
      </c>
      <c r="C3" s="7">
        <v>80</v>
      </c>
      <c r="D3" s="79">
        <v>27.152249999999999</v>
      </c>
      <c r="E3" s="44">
        <v>0</v>
      </c>
      <c r="F3" s="44">
        <f t="shared" ref="F3:F66" si="1">C3*D3+E3</f>
        <v>2172.1799999999998</v>
      </c>
      <c r="G3" s="459">
        <v>42199</v>
      </c>
      <c r="H3" s="82">
        <v>102</v>
      </c>
      <c r="I3" s="79">
        <v>25.28</v>
      </c>
      <c r="J3" s="44">
        <v>0.05</v>
      </c>
      <c r="K3" s="44">
        <f t="shared" ref="K3:K9" si="2">H3*I3-J3</f>
        <v>2578.5099999999998</v>
      </c>
      <c r="L3" s="1">
        <v>42439</v>
      </c>
      <c r="M3" s="44">
        <v>483.9</v>
      </c>
      <c r="O3" s="11" t="s">
        <v>58</v>
      </c>
      <c r="Q3" s="515">
        <f>IF(Q2=0, Q4, (F256-K256-M256)/Q2)</f>
        <v>14.006677169810954</v>
      </c>
      <c r="W3" s="133">
        <v>42767</v>
      </c>
      <c r="X3" s="10">
        <v>17.03</v>
      </c>
      <c r="Y3" s="10">
        <v>17.12</v>
      </c>
      <c r="Z3" s="10">
        <v>16.23</v>
      </c>
      <c r="AA3" s="10">
        <v>16.59</v>
      </c>
      <c r="AB3" s="95">
        <v>11413600</v>
      </c>
      <c r="AC3" s="10">
        <v>16.59</v>
      </c>
      <c r="AE3" s="138">
        <f t="shared" si="0"/>
        <v>-9.5522388059701147E-3</v>
      </c>
      <c r="AL3" s="234"/>
      <c r="AO3" s="234"/>
    </row>
    <row r="4" spans="1:41" x14ac:dyDescent="0.25">
      <c r="B4" s="506">
        <v>42187</v>
      </c>
      <c r="C4" s="7">
        <v>1000</v>
      </c>
      <c r="D4" s="79">
        <v>27.1</v>
      </c>
      <c r="E4" s="44">
        <v>0</v>
      </c>
      <c r="F4" s="44">
        <f t="shared" si="1"/>
        <v>27100</v>
      </c>
      <c r="G4" s="459">
        <v>42227</v>
      </c>
      <c r="H4" s="82">
        <v>200</v>
      </c>
      <c r="I4" s="79">
        <v>19.649999999999999</v>
      </c>
      <c r="J4" s="44">
        <v>7.0000000000000007E-2</v>
      </c>
      <c r="K4" s="44">
        <f t="shared" si="2"/>
        <v>3929.9299999999994</v>
      </c>
      <c r="L4" s="1">
        <v>42531</v>
      </c>
      <c r="M4" s="44">
        <v>483.9</v>
      </c>
      <c r="O4" s="11" t="s">
        <v>66</v>
      </c>
      <c r="Q4" s="55">
        <v>17.23</v>
      </c>
      <c r="R4" s="505">
        <v>3.3000000000000002E-2</v>
      </c>
      <c r="W4" s="133">
        <v>42766</v>
      </c>
      <c r="X4" s="10">
        <v>16.55</v>
      </c>
      <c r="Y4" s="10">
        <v>16.75</v>
      </c>
      <c r="Z4" s="10">
        <v>16.28</v>
      </c>
      <c r="AA4" s="10">
        <v>16.75</v>
      </c>
      <c r="AB4" s="95">
        <v>10734400</v>
      </c>
      <c r="AC4" s="10">
        <v>16.75</v>
      </c>
      <c r="AE4" s="138">
        <f t="shared" si="0"/>
        <v>1.330913490623109E-2</v>
      </c>
      <c r="AJ4" s="235"/>
      <c r="AL4" s="234"/>
      <c r="AO4" s="234"/>
    </row>
    <row r="5" spans="1:41" x14ac:dyDescent="0.25">
      <c r="B5" s="643">
        <v>42187</v>
      </c>
      <c r="C5" s="7">
        <v>500</v>
      </c>
      <c r="D5" s="79">
        <v>27.039332999999999</v>
      </c>
      <c r="E5" s="44">
        <v>0</v>
      </c>
      <c r="F5" s="44">
        <f t="shared" si="1"/>
        <v>13519.666499999999</v>
      </c>
      <c r="G5" s="459">
        <v>42227</v>
      </c>
      <c r="H5" s="82">
        <v>200</v>
      </c>
      <c r="I5" s="79">
        <v>18.7</v>
      </c>
      <c r="J5" s="44">
        <v>7.0000000000000007E-2</v>
      </c>
      <c r="K5" s="44">
        <f t="shared" si="2"/>
        <v>3739.93</v>
      </c>
      <c r="L5" s="1">
        <v>42625</v>
      </c>
      <c r="M5" s="44">
        <v>433.9</v>
      </c>
      <c r="O5" s="11" t="s">
        <v>67</v>
      </c>
      <c r="Q5" s="3">
        <f>Q4*Q2</f>
        <v>91319</v>
      </c>
      <c r="T5" s="67"/>
      <c r="W5" s="133">
        <v>42765</v>
      </c>
      <c r="X5" s="10">
        <v>17.27</v>
      </c>
      <c r="Y5" s="10">
        <v>17.34</v>
      </c>
      <c r="Z5" s="10">
        <v>16.36</v>
      </c>
      <c r="AA5" s="10">
        <v>16.53</v>
      </c>
      <c r="AB5" s="95">
        <v>13526500</v>
      </c>
      <c r="AC5" s="10">
        <v>16.53</v>
      </c>
      <c r="AE5" s="138">
        <f t="shared" si="0"/>
        <v>-5.0545663411832198E-2</v>
      </c>
    </row>
    <row r="6" spans="1:41" x14ac:dyDescent="0.25">
      <c r="B6" s="643"/>
      <c r="C6" s="7">
        <v>500</v>
      </c>
      <c r="D6" s="79">
        <v>27.039332999999999</v>
      </c>
      <c r="E6" s="44">
        <v>0</v>
      </c>
      <c r="F6" s="44">
        <f t="shared" si="1"/>
        <v>13519.666499999999</v>
      </c>
      <c r="G6" s="459">
        <v>42257</v>
      </c>
      <c r="H6" s="82">
        <v>1600</v>
      </c>
      <c r="I6" s="79">
        <v>16.445</v>
      </c>
      <c r="J6" s="44">
        <v>0.48</v>
      </c>
      <c r="K6" s="44">
        <f t="shared" si="2"/>
        <v>26311.52</v>
      </c>
      <c r="L6" s="1">
        <v>42716</v>
      </c>
      <c r="M6" s="44">
        <v>500</v>
      </c>
      <c r="O6" s="11" t="s">
        <v>64</v>
      </c>
      <c r="Q6" s="2">
        <f>Q3*Q2</f>
        <v>74235.38899999806</v>
      </c>
      <c r="W6" s="133">
        <v>42762</v>
      </c>
      <c r="X6" s="10">
        <v>17.68</v>
      </c>
      <c r="Y6" s="10">
        <v>17.7</v>
      </c>
      <c r="Z6" s="10">
        <v>17.28</v>
      </c>
      <c r="AA6" s="10">
        <v>17.41</v>
      </c>
      <c r="AB6" s="95">
        <v>6431400</v>
      </c>
      <c r="AC6" s="10">
        <v>17.41</v>
      </c>
      <c r="AE6" s="138">
        <f t="shared" si="0"/>
        <v>-1.9154929577464785E-2</v>
      </c>
    </row>
    <row r="7" spans="1:41" x14ac:dyDescent="0.25">
      <c r="B7" s="643"/>
      <c r="C7" s="7">
        <v>500</v>
      </c>
      <c r="D7" s="79">
        <v>27.039332999999999</v>
      </c>
      <c r="E7" s="44">
        <v>0</v>
      </c>
      <c r="F7" s="44">
        <f t="shared" si="1"/>
        <v>13519.666499999999</v>
      </c>
      <c r="G7" s="641">
        <v>42265</v>
      </c>
      <c r="H7" s="82">
        <v>200</v>
      </c>
      <c r="I7" s="79">
        <v>15.65</v>
      </c>
      <c r="J7" s="44">
        <v>0.05</v>
      </c>
      <c r="K7" s="44">
        <f t="shared" si="2"/>
        <v>3129.95</v>
      </c>
      <c r="O7" s="11" t="s">
        <v>181</v>
      </c>
      <c r="Q7" s="2">
        <f>Q10+Q8</f>
        <v>17083.611000001896</v>
      </c>
      <c r="R7">
        <v>200</v>
      </c>
      <c r="U7" s="184"/>
      <c r="W7" s="133">
        <v>42761</v>
      </c>
      <c r="X7" s="10">
        <v>17.8</v>
      </c>
      <c r="Y7" s="10">
        <v>17.93</v>
      </c>
      <c r="Z7" s="10">
        <v>17.64</v>
      </c>
      <c r="AA7" s="10">
        <v>17.75</v>
      </c>
      <c r="AB7" s="95">
        <v>6974200</v>
      </c>
      <c r="AC7" s="10">
        <v>17.75</v>
      </c>
      <c r="AE7" s="138">
        <f t="shared" si="0"/>
        <v>0</v>
      </c>
    </row>
    <row r="8" spans="1:41" x14ac:dyDescent="0.25">
      <c r="B8" s="643"/>
      <c r="C8" s="7">
        <v>500</v>
      </c>
      <c r="D8" s="79">
        <v>27.039332999999999</v>
      </c>
      <c r="E8" s="44">
        <v>0</v>
      </c>
      <c r="F8" s="44">
        <f t="shared" si="1"/>
        <v>13519.666499999999</v>
      </c>
      <c r="G8" s="641"/>
      <c r="H8" s="82">
        <v>2400</v>
      </c>
      <c r="I8" s="79">
        <v>15.7</v>
      </c>
      <c r="J8" s="44">
        <v>0.7</v>
      </c>
      <c r="K8" s="44">
        <f t="shared" si="2"/>
        <v>37679.300000000003</v>
      </c>
      <c r="O8" s="11" t="s">
        <v>184</v>
      </c>
      <c r="P8" s="34"/>
      <c r="Q8" s="2">
        <f>K256+M256-F256+Q2*Q4</f>
        <v>17083.611000001896</v>
      </c>
      <c r="W8" s="133">
        <v>42760</v>
      </c>
      <c r="X8" s="10">
        <v>17.690000000000001</v>
      </c>
      <c r="Y8" s="10">
        <v>17.88</v>
      </c>
      <c r="Z8" s="10">
        <v>17.670000000000002</v>
      </c>
      <c r="AA8" s="10">
        <v>17.75</v>
      </c>
      <c r="AB8" s="95">
        <v>8039500</v>
      </c>
      <c r="AC8" s="10">
        <v>17.75</v>
      </c>
      <c r="AE8" s="138">
        <f t="shared" si="0"/>
        <v>2.8248587570622874E-3</v>
      </c>
    </row>
    <row r="9" spans="1:41" x14ac:dyDescent="0.25">
      <c r="B9" s="643"/>
      <c r="C9" s="7">
        <v>1000</v>
      </c>
      <c r="D9" s="79">
        <v>27.039332999999999</v>
      </c>
      <c r="E9" s="44">
        <v>0</v>
      </c>
      <c r="F9" s="44">
        <f t="shared" si="1"/>
        <v>27039.332999999999</v>
      </c>
      <c r="G9" s="459">
        <v>42271</v>
      </c>
      <c r="H9" s="71">
        <v>918</v>
      </c>
      <c r="I9" s="212">
        <v>16.45</v>
      </c>
      <c r="J9" s="46">
        <v>0.28000000000000003</v>
      </c>
      <c r="K9" s="46">
        <f t="shared" si="2"/>
        <v>15100.819999999998</v>
      </c>
      <c r="O9" s="11" t="s">
        <v>214</v>
      </c>
      <c r="Q9" s="138">
        <f>IF(Q2=0, 0, Q8/Q6)</f>
        <v>0.23012758780050768</v>
      </c>
      <c r="W9" s="133">
        <v>42759</v>
      </c>
      <c r="X9" s="10">
        <v>17.55</v>
      </c>
      <c r="Y9" s="10">
        <v>17.91</v>
      </c>
      <c r="Z9" s="10">
        <v>17.5</v>
      </c>
      <c r="AA9" s="10">
        <v>17.7</v>
      </c>
      <c r="AB9" s="95">
        <v>8286700</v>
      </c>
      <c r="AC9" s="10">
        <v>17.7</v>
      </c>
      <c r="AE9" s="138">
        <f t="shared" si="0"/>
        <v>1.6073478760045834E-2</v>
      </c>
    </row>
    <row r="10" spans="1:41" ht="15" customHeight="1" x14ac:dyDescent="0.25">
      <c r="B10" s="506">
        <v>42198</v>
      </c>
      <c r="C10" s="7">
        <v>100</v>
      </c>
      <c r="D10" s="79">
        <v>24.77</v>
      </c>
      <c r="E10" s="44">
        <v>0</v>
      </c>
      <c r="F10" s="44">
        <f t="shared" si="1"/>
        <v>2477</v>
      </c>
      <c r="G10" s="642" t="s">
        <v>140</v>
      </c>
      <c r="H10" s="82">
        <v>500</v>
      </c>
      <c r="I10" s="79">
        <v>15.95</v>
      </c>
      <c r="J10" s="44">
        <v>0.15</v>
      </c>
      <c r="K10" s="46">
        <f t="shared" ref="K10:K16" si="3">H10*I10-J10</f>
        <v>7974.85</v>
      </c>
      <c r="O10" s="11" t="s">
        <v>213</v>
      </c>
      <c r="P10" s="34"/>
      <c r="Q10" s="2">
        <f>M30</f>
        <v>0</v>
      </c>
      <c r="W10" s="133">
        <v>42758</v>
      </c>
      <c r="X10" s="10">
        <v>17.48</v>
      </c>
      <c r="Y10" s="10">
        <v>17.61</v>
      </c>
      <c r="Z10" s="10">
        <v>17.27</v>
      </c>
      <c r="AA10" s="10">
        <v>17.420000000000002</v>
      </c>
      <c r="AB10" s="95">
        <v>9481800</v>
      </c>
      <c r="AC10" s="10">
        <v>17.420000000000002</v>
      </c>
      <c r="AE10" s="138">
        <f t="shared" si="0"/>
        <v>-1.0789324247586496E-2</v>
      </c>
    </row>
    <row r="11" spans="1:41" x14ac:dyDescent="0.25">
      <c r="B11" s="506">
        <v>42205</v>
      </c>
      <c r="C11" s="7">
        <v>50</v>
      </c>
      <c r="D11" s="79">
        <v>24.35</v>
      </c>
      <c r="E11" s="44">
        <v>0</v>
      </c>
      <c r="F11" s="44">
        <f t="shared" si="1"/>
        <v>1217.5</v>
      </c>
      <c r="G11" s="642"/>
      <c r="H11" s="82">
        <v>500</v>
      </c>
      <c r="I11" s="79">
        <v>16.100000000000001</v>
      </c>
      <c r="J11" s="44">
        <v>0.15</v>
      </c>
      <c r="K11" s="46">
        <f t="shared" si="3"/>
        <v>8049.8500000000013</v>
      </c>
      <c r="O11" s="11" t="s">
        <v>178</v>
      </c>
      <c r="P11" s="34"/>
      <c r="Q11" s="138">
        <f>VALUE(TRIM(CLEAN(MID(U58, FIND("(", U58)+1, 5))))</f>
        <v>1.1900000000000001E-2</v>
      </c>
      <c r="W11" s="133">
        <v>42755</v>
      </c>
      <c r="X11" s="10">
        <v>17.489999999999998</v>
      </c>
      <c r="Y11" s="10">
        <v>17.75</v>
      </c>
      <c r="Z11" s="10">
        <v>17.420000000000002</v>
      </c>
      <c r="AA11" s="10">
        <v>17.61</v>
      </c>
      <c r="AB11" s="95">
        <v>11106300</v>
      </c>
      <c r="AC11" s="10">
        <v>17.61</v>
      </c>
      <c r="AE11" s="138">
        <f t="shared" si="0"/>
        <v>1.9687319050376351E-2</v>
      </c>
    </row>
    <row r="12" spans="1:41" x14ac:dyDescent="0.25">
      <c r="B12" s="506">
        <v>42207</v>
      </c>
      <c r="C12" s="7">
        <v>20</v>
      </c>
      <c r="D12" s="79">
        <v>24.02</v>
      </c>
      <c r="E12" s="44">
        <v>0</v>
      </c>
      <c r="F12" s="44">
        <f t="shared" si="1"/>
        <v>480.4</v>
      </c>
      <c r="G12" s="642"/>
      <c r="H12" s="82">
        <v>500</v>
      </c>
      <c r="I12" s="79">
        <v>16.170000000000002</v>
      </c>
      <c r="J12" s="44">
        <v>0.15</v>
      </c>
      <c r="K12" s="46">
        <f t="shared" si="3"/>
        <v>8084.8500000000013</v>
      </c>
      <c r="W12" s="133">
        <v>42754</v>
      </c>
      <c r="X12" s="10">
        <v>17.329999999999998</v>
      </c>
      <c r="Y12" s="10">
        <v>17.510000000000002</v>
      </c>
      <c r="Z12" s="10">
        <v>17.21</v>
      </c>
      <c r="AA12" s="10">
        <v>17.27</v>
      </c>
      <c r="AB12" s="95">
        <v>6254600</v>
      </c>
      <c r="AC12" s="10">
        <v>17.27</v>
      </c>
      <c r="AE12" s="138">
        <f t="shared" si="0"/>
        <v>-3.4622042700518385E-3</v>
      </c>
    </row>
    <row r="13" spans="1:41" x14ac:dyDescent="0.25">
      <c r="B13" s="506">
        <v>42207</v>
      </c>
      <c r="C13" s="7">
        <v>20</v>
      </c>
      <c r="D13" s="79">
        <v>23.91</v>
      </c>
      <c r="E13" s="44">
        <v>0</v>
      </c>
      <c r="F13" s="44">
        <f t="shared" si="1"/>
        <v>478.2</v>
      </c>
      <c r="G13" s="642"/>
      <c r="H13" s="82">
        <v>500</v>
      </c>
      <c r="I13" s="79">
        <v>16.28</v>
      </c>
      <c r="J13" s="44">
        <v>0.15</v>
      </c>
      <c r="K13" s="46">
        <f t="shared" si="3"/>
        <v>8139.8500000000013</v>
      </c>
      <c r="L13" s="2"/>
      <c r="W13" s="133">
        <v>42753</v>
      </c>
      <c r="X13" s="10">
        <v>17.260000000000002</v>
      </c>
      <c r="Y13" s="10">
        <v>17.48</v>
      </c>
      <c r="Z13" s="10">
        <v>17.149999999999999</v>
      </c>
      <c r="AA13" s="10">
        <v>17.329999999999998</v>
      </c>
      <c r="AB13" s="95">
        <v>9274300</v>
      </c>
      <c r="AC13" s="10">
        <v>17.329999999999998</v>
      </c>
      <c r="AE13" s="138">
        <f t="shared" si="0"/>
        <v>-6.307339449541427E-3</v>
      </c>
    </row>
    <row r="14" spans="1:41" x14ac:dyDescent="0.25">
      <c r="B14" s="506">
        <v>42207</v>
      </c>
      <c r="C14" s="7">
        <v>20</v>
      </c>
      <c r="D14" s="79">
        <v>23.7</v>
      </c>
      <c r="E14" s="44">
        <v>0</v>
      </c>
      <c r="F14" s="44">
        <f t="shared" si="1"/>
        <v>474</v>
      </c>
      <c r="G14" s="642"/>
      <c r="H14" s="82">
        <v>500</v>
      </c>
      <c r="I14" s="79">
        <v>16.39</v>
      </c>
      <c r="J14" s="44">
        <v>0.15</v>
      </c>
      <c r="K14" s="46">
        <f t="shared" si="3"/>
        <v>8194.85</v>
      </c>
      <c r="W14" s="133">
        <v>42752</v>
      </c>
      <c r="X14" s="10">
        <v>17.63</v>
      </c>
      <c r="Y14" s="10">
        <v>17.7</v>
      </c>
      <c r="Z14" s="10">
        <v>17.399999999999999</v>
      </c>
      <c r="AA14" s="10">
        <v>17.440000000000001</v>
      </c>
      <c r="AB14" s="95">
        <v>6855400</v>
      </c>
      <c r="AC14" s="10">
        <v>17.440000000000001</v>
      </c>
      <c r="AE14" s="138">
        <f t="shared" si="0"/>
        <v>-5.7306590257866219E-4</v>
      </c>
    </row>
    <row r="15" spans="1:41" x14ac:dyDescent="0.25">
      <c r="B15" s="506">
        <v>42207</v>
      </c>
      <c r="C15" s="7">
        <v>20</v>
      </c>
      <c r="D15" s="79">
        <v>23.6</v>
      </c>
      <c r="E15" s="44">
        <v>0</v>
      </c>
      <c r="F15" s="44">
        <f t="shared" si="1"/>
        <v>472</v>
      </c>
      <c r="G15" s="642"/>
      <c r="H15" s="82">
        <v>500</v>
      </c>
      <c r="I15" s="79">
        <v>16.55</v>
      </c>
      <c r="J15" s="44">
        <v>0.17</v>
      </c>
      <c r="K15" s="46">
        <f t="shared" si="3"/>
        <v>8274.83</v>
      </c>
      <c r="W15" s="133">
        <v>42748</v>
      </c>
      <c r="X15" s="10">
        <v>17.329999999999998</v>
      </c>
      <c r="Y15" s="10">
        <v>17.489999999999998</v>
      </c>
      <c r="Z15" s="10">
        <v>17.239999999999998</v>
      </c>
      <c r="AA15" s="10">
        <v>17.45</v>
      </c>
      <c r="AB15" s="95">
        <v>5391500</v>
      </c>
      <c r="AC15" s="10">
        <v>17.45</v>
      </c>
      <c r="AE15" s="138">
        <f>AC15/AC16-1</f>
        <v>5.733944954127157E-4</v>
      </c>
    </row>
    <row r="16" spans="1:41" x14ac:dyDescent="0.25">
      <c r="B16" s="506">
        <v>42209</v>
      </c>
      <c r="C16" s="7">
        <v>40</v>
      </c>
      <c r="D16" s="79">
        <v>22.3</v>
      </c>
      <c r="E16" s="44">
        <v>0</v>
      </c>
      <c r="F16" s="44">
        <f t="shared" si="1"/>
        <v>892</v>
      </c>
      <c r="G16" s="642"/>
      <c r="H16" s="82">
        <v>50</v>
      </c>
      <c r="I16" s="79">
        <v>16.55</v>
      </c>
      <c r="J16" s="44">
        <v>0</v>
      </c>
      <c r="K16" s="46">
        <f t="shared" si="3"/>
        <v>827.5</v>
      </c>
      <c r="W16" s="133">
        <v>42747</v>
      </c>
      <c r="X16" s="10">
        <v>18.03</v>
      </c>
      <c r="Y16" s="10">
        <v>18.100000000000001</v>
      </c>
      <c r="Z16" s="10">
        <v>17.329999999999998</v>
      </c>
      <c r="AA16" s="10">
        <v>17.440000000000001</v>
      </c>
      <c r="AB16" s="95">
        <v>10247500</v>
      </c>
      <c r="AC16" s="10">
        <v>17.440000000000001</v>
      </c>
      <c r="AE16" s="138">
        <f t="shared" ref="AE16:AE66" si="4">AC16/AC17-1</f>
        <v>-1.4132278123233477E-2</v>
      </c>
    </row>
    <row r="17" spans="1:31" x14ac:dyDescent="0.25">
      <c r="A17" s="2"/>
      <c r="B17" s="506">
        <v>42221</v>
      </c>
      <c r="C17" s="7">
        <v>12</v>
      </c>
      <c r="D17" s="79">
        <v>20.95</v>
      </c>
      <c r="E17" s="44">
        <v>0</v>
      </c>
      <c r="F17" s="44">
        <f t="shared" si="1"/>
        <v>251.39999999999998</v>
      </c>
      <c r="G17" s="642"/>
      <c r="H17" s="82">
        <v>28</v>
      </c>
      <c r="I17" s="79">
        <v>16.68</v>
      </c>
      <c r="J17" s="44">
        <v>0.01</v>
      </c>
      <c r="K17" s="46">
        <f t="shared" ref="K17:K30" si="5">H17*I17-J17</f>
        <v>467.03</v>
      </c>
      <c r="L17" s="72"/>
      <c r="W17" s="133">
        <v>42746</v>
      </c>
      <c r="X17" s="10">
        <v>17.559999999999999</v>
      </c>
      <c r="Y17" s="10">
        <v>17.760000000000002</v>
      </c>
      <c r="Z17" s="10">
        <v>17.47</v>
      </c>
      <c r="AA17" s="10">
        <v>17.690000000000001</v>
      </c>
      <c r="AB17" s="95">
        <v>9773500</v>
      </c>
      <c r="AC17" s="10">
        <v>17.690000000000001</v>
      </c>
      <c r="AE17" s="138">
        <f t="shared" si="4"/>
        <v>1.2013729977116805E-2</v>
      </c>
    </row>
    <row r="18" spans="1:31" x14ac:dyDescent="0.25">
      <c r="B18" s="506">
        <v>42223</v>
      </c>
      <c r="C18" s="7">
        <v>100</v>
      </c>
      <c r="D18" s="79">
        <v>20.399999999999999</v>
      </c>
      <c r="E18" s="44">
        <v>0</v>
      </c>
      <c r="F18" s="44">
        <f t="shared" si="1"/>
        <v>2039.9999999999998</v>
      </c>
      <c r="G18" s="459">
        <v>42285</v>
      </c>
      <c r="H18" s="82">
        <v>632</v>
      </c>
      <c r="I18" s="79">
        <v>17.850000000000001</v>
      </c>
      <c r="J18" s="44">
        <v>0.21</v>
      </c>
      <c r="K18" s="46">
        <f t="shared" si="5"/>
        <v>11280.990000000002</v>
      </c>
      <c r="L18" s="2"/>
      <c r="Q18" s="2"/>
      <c r="W18" s="133">
        <v>42745</v>
      </c>
      <c r="X18" s="10">
        <v>17.5</v>
      </c>
      <c r="Y18" s="10">
        <v>17.579999999999998</v>
      </c>
      <c r="Z18" s="10">
        <v>17.350000000000001</v>
      </c>
      <c r="AA18" s="10">
        <v>17.48</v>
      </c>
      <c r="AB18" s="95">
        <v>6920800</v>
      </c>
      <c r="AC18" s="10">
        <v>17.48</v>
      </c>
      <c r="AE18" s="138">
        <f t="shared" si="4"/>
        <v>4.5977011494253706E-3</v>
      </c>
    </row>
    <row r="19" spans="1:31" x14ac:dyDescent="0.25">
      <c r="A19" s="2"/>
      <c r="B19" s="506">
        <v>42226</v>
      </c>
      <c r="C19" s="7">
        <v>200</v>
      </c>
      <c r="D19" s="79">
        <v>19.95</v>
      </c>
      <c r="E19" s="44">
        <v>0</v>
      </c>
      <c r="F19" s="44">
        <f t="shared" si="1"/>
        <v>3990</v>
      </c>
      <c r="G19" s="459">
        <v>42297</v>
      </c>
      <c r="H19" s="82">
        <v>500</v>
      </c>
      <c r="I19" s="79">
        <v>19.149999999999999</v>
      </c>
      <c r="J19" s="44">
        <v>0.18</v>
      </c>
      <c r="K19" s="46">
        <f t="shared" si="5"/>
        <v>9574.82</v>
      </c>
      <c r="Q19" s="2"/>
      <c r="W19" s="133">
        <v>42744</v>
      </c>
      <c r="X19" s="10">
        <v>17.64</v>
      </c>
      <c r="Y19" s="10">
        <v>17.75</v>
      </c>
      <c r="Z19" s="10">
        <v>17.399999999999999</v>
      </c>
      <c r="AA19" s="10">
        <v>17.399999999999999</v>
      </c>
      <c r="AB19" s="95">
        <v>8839500</v>
      </c>
      <c r="AC19" s="10">
        <v>17.399999999999999</v>
      </c>
      <c r="AE19" s="138">
        <f t="shared" si="4"/>
        <v>-2.684563758389269E-2</v>
      </c>
    </row>
    <row r="20" spans="1:31" x14ac:dyDescent="0.25">
      <c r="B20" s="506">
        <v>42226</v>
      </c>
      <c r="C20" s="7">
        <v>50</v>
      </c>
      <c r="D20" s="79">
        <v>20.010000000000002</v>
      </c>
      <c r="E20" s="44">
        <v>0</v>
      </c>
      <c r="F20" s="44">
        <f t="shared" si="1"/>
        <v>1000.5000000000001</v>
      </c>
      <c r="G20" s="459">
        <v>42300</v>
      </c>
      <c r="H20" s="82">
        <v>1000</v>
      </c>
      <c r="I20" s="79">
        <v>18.62</v>
      </c>
      <c r="J20" s="44">
        <v>0.34</v>
      </c>
      <c r="K20" s="46">
        <f t="shared" si="5"/>
        <v>18619.66</v>
      </c>
      <c r="Q20" s="2"/>
      <c r="W20" s="133">
        <v>42741</v>
      </c>
      <c r="X20" s="10">
        <v>18.170000000000002</v>
      </c>
      <c r="Y20" s="10">
        <v>18.170000000000002</v>
      </c>
      <c r="Z20" s="10">
        <v>17.829999999999998</v>
      </c>
      <c r="AA20" s="10">
        <v>17.88</v>
      </c>
      <c r="AB20" s="95">
        <v>7794200</v>
      </c>
      <c r="AC20" s="10">
        <v>17.88</v>
      </c>
      <c r="AE20" s="138">
        <f t="shared" si="4"/>
        <v>-1.650165016501659E-2</v>
      </c>
    </row>
    <row r="21" spans="1:31" x14ac:dyDescent="0.25">
      <c r="B21" s="506">
        <v>42226</v>
      </c>
      <c r="C21" s="7">
        <v>100</v>
      </c>
      <c r="D21" s="79">
        <v>20.2</v>
      </c>
      <c r="E21" s="44">
        <v>0</v>
      </c>
      <c r="F21" s="44">
        <f t="shared" si="1"/>
        <v>2020</v>
      </c>
      <c r="G21" s="459">
        <v>42312</v>
      </c>
      <c r="H21" s="82">
        <v>2500</v>
      </c>
      <c r="I21" s="79">
        <v>18.48</v>
      </c>
      <c r="J21" s="44">
        <v>7.8</v>
      </c>
      <c r="K21" s="44">
        <f t="shared" si="5"/>
        <v>46192.2</v>
      </c>
      <c r="Q21" s="2"/>
      <c r="W21" s="133">
        <v>42740</v>
      </c>
      <c r="X21" s="10">
        <v>18.100000000000001</v>
      </c>
      <c r="Y21" s="10">
        <v>18.27</v>
      </c>
      <c r="Z21" s="10">
        <v>17.88</v>
      </c>
      <c r="AA21" s="10">
        <v>18.18</v>
      </c>
      <c r="AB21" s="95">
        <v>9758300</v>
      </c>
      <c r="AC21" s="10">
        <v>18.18</v>
      </c>
      <c r="AE21" s="138">
        <f t="shared" si="4"/>
        <v>7.2022160664819701E-3</v>
      </c>
    </row>
    <row r="22" spans="1:31" x14ac:dyDescent="0.25">
      <c r="B22" s="506">
        <v>42227</v>
      </c>
      <c r="C22" s="7">
        <v>200</v>
      </c>
      <c r="D22" s="79">
        <v>18.399999999999999</v>
      </c>
      <c r="E22" s="44">
        <v>0</v>
      </c>
      <c r="F22" s="44">
        <f t="shared" si="1"/>
        <v>3679.9999999999995</v>
      </c>
      <c r="G22" s="459">
        <v>42313</v>
      </c>
      <c r="H22" s="82">
        <v>3000</v>
      </c>
      <c r="I22" s="79">
        <v>19.059999999999999</v>
      </c>
      <c r="J22" s="44">
        <v>1.05</v>
      </c>
      <c r="K22" s="44">
        <f t="shared" si="5"/>
        <v>57178.94999999999</v>
      </c>
      <c r="Q22" s="2"/>
      <c r="W22" s="133">
        <v>42739</v>
      </c>
      <c r="X22" s="10">
        <v>17.71</v>
      </c>
      <c r="Y22" s="10">
        <v>18.09</v>
      </c>
      <c r="Z22" s="10">
        <v>17.54</v>
      </c>
      <c r="AA22" s="10">
        <v>18.05</v>
      </c>
      <c r="AB22" s="95">
        <v>9296300</v>
      </c>
      <c r="AC22" s="10">
        <v>18.05</v>
      </c>
      <c r="AE22" s="138">
        <f t="shared" si="4"/>
        <v>1.6328828828828801E-2</v>
      </c>
    </row>
    <row r="23" spans="1:31" x14ac:dyDescent="0.25">
      <c r="B23" s="506">
        <v>42227</v>
      </c>
      <c r="C23" s="7">
        <v>200</v>
      </c>
      <c r="D23" s="79">
        <v>19.55</v>
      </c>
      <c r="E23" s="44">
        <v>0</v>
      </c>
      <c r="F23" s="44">
        <f t="shared" si="1"/>
        <v>3910</v>
      </c>
      <c r="G23" s="459">
        <v>42324</v>
      </c>
      <c r="H23" s="82">
        <v>2500</v>
      </c>
      <c r="I23" s="79">
        <v>18.8</v>
      </c>
      <c r="J23" s="44">
        <v>0.86</v>
      </c>
      <c r="K23" s="44">
        <f t="shared" si="5"/>
        <v>46999.14</v>
      </c>
      <c r="L23" s="2"/>
      <c r="Q23" s="2"/>
      <c r="W23" s="133">
        <v>42738</v>
      </c>
      <c r="X23" s="10">
        <v>17.739999999999998</v>
      </c>
      <c r="Y23" s="10">
        <v>18.059999999999999</v>
      </c>
      <c r="Z23" s="10">
        <v>17.29</v>
      </c>
      <c r="AA23" s="10">
        <v>17.760000000000002</v>
      </c>
      <c r="AB23" s="95">
        <v>13480800</v>
      </c>
      <c r="AC23" s="10">
        <v>17.760000000000002</v>
      </c>
      <c r="AE23" s="138">
        <f t="shared" si="4"/>
        <v>2.5996533795494159E-2</v>
      </c>
    </row>
    <row r="24" spans="1:31" x14ac:dyDescent="0.25">
      <c r="B24" s="506">
        <v>42234</v>
      </c>
      <c r="C24" s="7">
        <v>40</v>
      </c>
      <c r="D24" s="79">
        <v>18.149999999999999</v>
      </c>
      <c r="E24" s="44">
        <v>0</v>
      </c>
      <c r="F24" s="44">
        <f t="shared" si="1"/>
        <v>726</v>
      </c>
      <c r="G24" s="459">
        <v>42335</v>
      </c>
      <c r="H24" s="82">
        <v>3078</v>
      </c>
      <c r="I24" s="79">
        <v>17.649999999999999</v>
      </c>
      <c r="J24" s="44">
        <v>1</v>
      </c>
      <c r="K24" s="44">
        <f t="shared" si="5"/>
        <v>54325.7</v>
      </c>
      <c r="Q24" s="2"/>
      <c r="W24" s="133">
        <v>42734</v>
      </c>
      <c r="X24" s="10">
        <v>17.57</v>
      </c>
      <c r="Y24" s="10">
        <v>17.82</v>
      </c>
      <c r="Z24" s="10">
        <v>17.21</v>
      </c>
      <c r="AA24" s="10">
        <v>17.309999999999999</v>
      </c>
      <c r="AB24" s="95">
        <v>7899800</v>
      </c>
      <c r="AC24" s="10">
        <v>17.309999999999999</v>
      </c>
      <c r="AE24" s="138">
        <f t="shared" si="4"/>
        <v>-1.4797951052931246E-2</v>
      </c>
    </row>
    <row r="25" spans="1:31" x14ac:dyDescent="0.25">
      <c r="B25" s="506">
        <v>42234</v>
      </c>
      <c r="C25" s="7">
        <v>100</v>
      </c>
      <c r="D25" s="79">
        <v>18</v>
      </c>
      <c r="E25" s="44">
        <v>0</v>
      </c>
      <c r="F25" s="44">
        <f t="shared" si="1"/>
        <v>1800</v>
      </c>
      <c r="G25" s="459">
        <v>42347</v>
      </c>
      <c r="H25" s="82">
        <v>500</v>
      </c>
      <c r="I25" s="79">
        <v>16.149999999999999</v>
      </c>
      <c r="J25" s="44">
        <v>0.15</v>
      </c>
      <c r="K25" s="44">
        <f t="shared" si="5"/>
        <v>8074.8499999999995</v>
      </c>
      <c r="Q25" s="2"/>
      <c r="T25" s="119"/>
      <c r="W25" s="133">
        <v>42733</v>
      </c>
      <c r="X25" s="10">
        <v>17.78</v>
      </c>
      <c r="Y25" s="10">
        <v>17.829999999999998</v>
      </c>
      <c r="Z25" s="10">
        <v>17.440000000000001</v>
      </c>
      <c r="AA25" s="10">
        <v>17.57</v>
      </c>
      <c r="AB25" s="95">
        <v>6949200</v>
      </c>
      <c r="AC25" s="10">
        <v>17.57</v>
      </c>
      <c r="AE25" s="138">
        <f t="shared" si="4"/>
        <v>-1.5686274509803977E-2</v>
      </c>
    </row>
    <row r="26" spans="1:31" x14ac:dyDescent="0.25">
      <c r="B26" s="506">
        <v>42235</v>
      </c>
      <c r="C26" s="7">
        <v>100</v>
      </c>
      <c r="D26" s="79">
        <v>17.78</v>
      </c>
      <c r="E26" s="44">
        <v>0</v>
      </c>
      <c r="F26" s="44">
        <f t="shared" si="1"/>
        <v>1778</v>
      </c>
      <c r="G26" s="459">
        <v>42353</v>
      </c>
      <c r="H26" s="82">
        <v>600</v>
      </c>
      <c r="I26" s="79">
        <v>14.95</v>
      </c>
      <c r="J26" s="44">
        <v>0.17</v>
      </c>
      <c r="K26" s="44">
        <f t="shared" si="5"/>
        <v>8969.83</v>
      </c>
      <c r="Q26" s="2"/>
      <c r="W26" s="133">
        <v>42732</v>
      </c>
      <c r="X26" s="10">
        <v>18.11</v>
      </c>
      <c r="Y26" s="10">
        <v>18.29</v>
      </c>
      <c r="Z26" s="10">
        <v>17.84</v>
      </c>
      <c r="AA26" s="10">
        <v>17.850000000000001</v>
      </c>
      <c r="AB26" s="95">
        <v>8293800</v>
      </c>
      <c r="AC26" s="10">
        <v>17.850000000000001</v>
      </c>
      <c r="AE26" s="138">
        <f t="shared" si="4"/>
        <v>-1.5986769570010995E-2</v>
      </c>
    </row>
    <row r="27" spans="1:31" x14ac:dyDescent="0.25">
      <c r="B27" s="506">
        <v>42235</v>
      </c>
      <c r="C27" s="7">
        <v>100</v>
      </c>
      <c r="D27" s="79">
        <v>17.68</v>
      </c>
      <c r="E27" s="44">
        <v>0</v>
      </c>
      <c r="F27" s="44">
        <f t="shared" si="1"/>
        <v>1768</v>
      </c>
      <c r="G27" s="459">
        <v>42354</v>
      </c>
      <c r="H27" s="82">
        <v>500</v>
      </c>
      <c r="I27" s="79">
        <v>14.32</v>
      </c>
      <c r="J27" s="44">
        <v>0.13</v>
      </c>
      <c r="K27" s="44">
        <f t="shared" si="5"/>
        <v>7159.87</v>
      </c>
      <c r="Q27" s="2"/>
      <c r="W27" s="133">
        <v>42731</v>
      </c>
      <c r="X27" s="10">
        <v>18.100000000000001</v>
      </c>
      <c r="Y27" s="10">
        <v>18.2</v>
      </c>
      <c r="Z27" s="10">
        <v>18</v>
      </c>
      <c r="AA27" s="10">
        <v>18.14</v>
      </c>
      <c r="AB27" s="95">
        <v>5375700</v>
      </c>
      <c r="AC27" s="10">
        <v>18.14</v>
      </c>
      <c r="AE27" s="138">
        <f t="shared" si="4"/>
        <v>4.4296788482836025E-3</v>
      </c>
    </row>
    <row r="28" spans="1:31" x14ac:dyDescent="0.25">
      <c r="B28" s="506">
        <v>42240</v>
      </c>
      <c r="C28" s="7">
        <v>100</v>
      </c>
      <c r="D28" s="79">
        <v>16.649999999999999</v>
      </c>
      <c r="E28" s="44">
        <v>0</v>
      </c>
      <c r="F28" s="44">
        <f t="shared" si="1"/>
        <v>1664.9999999999998</v>
      </c>
      <c r="G28" s="459">
        <v>42361</v>
      </c>
      <c r="H28" s="82">
        <v>500</v>
      </c>
      <c r="I28" s="79">
        <v>12.83</v>
      </c>
      <c r="J28" s="44">
        <v>0.12</v>
      </c>
      <c r="K28" s="44">
        <f t="shared" si="5"/>
        <v>6414.88</v>
      </c>
      <c r="Q28" s="2"/>
      <c r="W28" s="133">
        <v>42727</v>
      </c>
      <c r="X28" s="10">
        <v>17.98</v>
      </c>
      <c r="Y28" s="10">
        <v>18.2</v>
      </c>
      <c r="Z28" s="10">
        <v>17.940000000000001</v>
      </c>
      <c r="AA28" s="10">
        <v>18.059999999999999</v>
      </c>
      <c r="AB28" s="95">
        <v>7604100</v>
      </c>
      <c r="AC28" s="10">
        <v>18.059999999999999</v>
      </c>
      <c r="AE28" s="138">
        <f t="shared" si="4"/>
        <v>1.1086474501107446E-3</v>
      </c>
    </row>
    <row r="29" spans="1:31" x14ac:dyDescent="0.25">
      <c r="B29" s="506">
        <v>42240</v>
      </c>
      <c r="C29" s="7">
        <v>100</v>
      </c>
      <c r="D29" s="79">
        <v>16.100000000000001</v>
      </c>
      <c r="E29" s="44">
        <v>0</v>
      </c>
      <c r="F29" s="44">
        <f t="shared" si="1"/>
        <v>1610.0000000000002</v>
      </c>
      <c r="G29" s="459">
        <v>42362</v>
      </c>
      <c r="H29" s="82">
        <v>1222</v>
      </c>
      <c r="I29" s="79">
        <v>12.75</v>
      </c>
      <c r="J29" s="44">
        <v>0.28999999999999998</v>
      </c>
      <c r="K29" s="44">
        <f t="shared" si="5"/>
        <v>15580.21</v>
      </c>
      <c r="Q29" s="2"/>
      <c r="W29" s="133">
        <v>42726</v>
      </c>
      <c r="X29" s="10">
        <v>18.12</v>
      </c>
      <c r="Y29" s="10">
        <v>18.350000000000001</v>
      </c>
      <c r="Z29" s="10">
        <v>18</v>
      </c>
      <c r="AA29" s="10">
        <v>18.04</v>
      </c>
      <c r="AB29" s="95">
        <v>9168200</v>
      </c>
      <c r="AC29" s="10">
        <v>18.04</v>
      </c>
      <c r="AE29" s="138">
        <f t="shared" si="4"/>
        <v>-2.2123893805309214E-3</v>
      </c>
    </row>
    <row r="30" spans="1:31" x14ac:dyDescent="0.25">
      <c r="B30" s="506">
        <v>42257</v>
      </c>
      <c r="C30" s="7">
        <v>1500</v>
      </c>
      <c r="D30" s="79">
        <v>16.350000000000001</v>
      </c>
      <c r="E30" s="44">
        <v>0</v>
      </c>
      <c r="F30" s="44">
        <f t="shared" si="1"/>
        <v>24525.000000000004</v>
      </c>
      <c r="G30" s="459">
        <v>42367</v>
      </c>
      <c r="H30" s="82">
        <v>1000</v>
      </c>
      <c r="I30" s="79">
        <v>13.15</v>
      </c>
      <c r="J30" s="44">
        <v>0.24</v>
      </c>
      <c r="K30" s="44">
        <f t="shared" si="5"/>
        <v>13149.76</v>
      </c>
      <c r="Q30" s="2"/>
      <c r="W30" s="133">
        <v>42725</v>
      </c>
      <c r="X30" s="10">
        <v>18.559999999999999</v>
      </c>
      <c r="Y30" s="10">
        <v>18.59</v>
      </c>
      <c r="Z30" s="10">
        <v>18.05</v>
      </c>
      <c r="AA30" s="10">
        <v>18.079999999999998</v>
      </c>
      <c r="AB30" s="95">
        <v>8160300</v>
      </c>
      <c r="AC30" s="10">
        <v>18.079999999999998</v>
      </c>
      <c r="AE30" s="138">
        <f t="shared" si="4"/>
        <v>-1.2561441835062803E-2</v>
      </c>
    </row>
    <row r="31" spans="1:31" x14ac:dyDescent="0.25">
      <c r="B31" s="506">
        <v>42258</v>
      </c>
      <c r="C31" s="7">
        <v>100</v>
      </c>
      <c r="D31" s="79">
        <v>16.100000000000001</v>
      </c>
      <c r="E31" s="44">
        <v>0</v>
      </c>
      <c r="F31" s="44">
        <f t="shared" si="1"/>
        <v>1610.0000000000002</v>
      </c>
      <c r="G31" s="459">
        <v>42367</v>
      </c>
      <c r="H31" s="82">
        <v>2178</v>
      </c>
      <c r="I31" s="79">
        <v>13.75</v>
      </c>
      <c r="J31" s="44">
        <v>0.55000000000000004</v>
      </c>
      <c r="K31" s="44">
        <f>H31*I31-J31</f>
        <v>29946.95</v>
      </c>
      <c r="Q31" s="2"/>
      <c r="W31" s="133">
        <v>42724</v>
      </c>
      <c r="X31" s="10">
        <v>18.61</v>
      </c>
      <c r="Y31" s="10">
        <v>18.79</v>
      </c>
      <c r="Z31" s="10">
        <v>18.239999999999998</v>
      </c>
      <c r="AA31" s="10">
        <v>18.309999999999999</v>
      </c>
      <c r="AB31" s="95">
        <v>10099600</v>
      </c>
      <c r="AC31" s="10">
        <v>18.309999999999999</v>
      </c>
      <c r="AE31" s="138">
        <f t="shared" si="4"/>
        <v>-1.0804970286331872E-2</v>
      </c>
    </row>
    <row r="32" spans="1:31" x14ac:dyDescent="0.25">
      <c r="B32" s="506">
        <v>42261</v>
      </c>
      <c r="C32" s="7">
        <v>1000</v>
      </c>
      <c r="D32" s="79">
        <v>15.416</v>
      </c>
      <c r="E32" s="44">
        <v>0</v>
      </c>
      <c r="F32" s="44">
        <f t="shared" si="1"/>
        <v>15416</v>
      </c>
      <c r="G32" s="459">
        <v>42010</v>
      </c>
      <c r="H32" s="82">
        <v>1000</v>
      </c>
      <c r="I32" s="79">
        <v>12.63</v>
      </c>
      <c r="J32" s="44">
        <v>0.23</v>
      </c>
      <c r="K32" s="44">
        <f>H32*I32-J32</f>
        <v>12629.77</v>
      </c>
      <c r="Q32" s="2"/>
      <c r="W32" s="133">
        <v>42723</v>
      </c>
      <c r="X32" s="10">
        <v>18.649999999999999</v>
      </c>
      <c r="Y32" s="10">
        <v>18.7</v>
      </c>
      <c r="Z32" s="10">
        <v>18.3</v>
      </c>
      <c r="AA32" s="10">
        <v>18.510000000000002</v>
      </c>
      <c r="AB32" s="95">
        <v>10699500</v>
      </c>
      <c r="AC32" s="10">
        <v>18.510000000000002</v>
      </c>
      <c r="AE32" s="138">
        <f t="shared" si="4"/>
        <v>-4.3033889187734653E-3</v>
      </c>
    </row>
    <row r="33" spans="2:31" x14ac:dyDescent="0.25">
      <c r="B33" s="506">
        <v>42261</v>
      </c>
      <c r="C33" s="7">
        <v>1000</v>
      </c>
      <c r="D33" s="79">
        <v>15.1</v>
      </c>
      <c r="E33" s="44">
        <v>0</v>
      </c>
      <c r="F33" s="44">
        <f t="shared" si="1"/>
        <v>15100</v>
      </c>
      <c r="G33" s="504">
        <v>42374</v>
      </c>
      <c r="H33" s="82">
        <v>2000</v>
      </c>
      <c r="I33" s="79">
        <v>12.81</v>
      </c>
      <c r="J33" s="44">
        <v>0.47</v>
      </c>
      <c r="K33" s="44">
        <f t="shared" ref="K33:K54" si="6">H33*I33-J33</f>
        <v>25619.53</v>
      </c>
      <c r="W33" s="133">
        <v>42720</v>
      </c>
      <c r="X33" s="10">
        <v>18.34</v>
      </c>
      <c r="Y33" s="10">
        <v>19.02</v>
      </c>
      <c r="Z33" s="10">
        <v>18.22</v>
      </c>
      <c r="AA33" s="10">
        <v>18.59</v>
      </c>
      <c r="AB33" s="95">
        <v>20430000</v>
      </c>
      <c r="AC33" s="10">
        <v>18.59</v>
      </c>
      <c r="AE33" s="138">
        <f t="shared" si="4"/>
        <v>1.9188596491228171E-2</v>
      </c>
    </row>
    <row r="34" spans="2:31" x14ac:dyDescent="0.25">
      <c r="B34" s="506">
        <v>42261</v>
      </c>
      <c r="C34" s="7">
        <v>200</v>
      </c>
      <c r="D34" s="79">
        <v>14.87</v>
      </c>
      <c r="E34" s="44">
        <v>0</v>
      </c>
      <c r="F34" s="44">
        <f t="shared" si="1"/>
        <v>2974</v>
      </c>
      <c r="G34" s="459">
        <v>42374</v>
      </c>
      <c r="H34" s="82">
        <v>1000</v>
      </c>
      <c r="I34" s="79">
        <v>12.82</v>
      </c>
      <c r="J34" s="44">
        <v>0.24</v>
      </c>
      <c r="K34" s="44">
        <f t="shared" si="6"/>
        <v>12819.76</v>
      </c>
      <c r="W34" s="133">
        <v>42719</v>
      </c>
      <c r="X34" s="10">
        <v>17.86</v>
      </c>
      <c r="Y34" s="10">
        <v>18.59</v>
      </c>
      <c r="Z34" s="10">
        <v>17.559999999999999</v>
      </c>
      <c r="AA34" s="10">
        <v>18.239999999999998</v>
      </c>
      <c r="AB34" s="95">
        <v>17878900</v>
      </c>
      <c r="AC34" s="10">
        <v>18.239999999999998</v>
      </c>
      <c r="AE34" s="138">
        <f t="shared" si="4"/>
        <v>2.19780219780219E-3</v>
      </c>
    </row>
    <row r="35" spans="2:31" x14ac:dyDescent="0.25">
      <c r="B35" s="506">
        <v>42261</v>
      </c>
      <c r="C35" s="7">
        <v>300</v>
      </c>
      <c r="D35" s="79">
        <v>14.87</v>
      </c>
      <c r="E35" s="44">
        <v>0</v>
      </c>
      <c r="F35" s="44">
        <f t="shared" si="1"/>
        <v>4461</v>
      </c>
      <c r="G35" s="459">
        <v>42398</v>
      </c>
      <c r="H35" s="82">
        <v>400</v>
      </c>
      <c r="I35" s="79">
        <v>9.5500000000000007</v>
      </c>
      <c r="J35" s="44">
        <v>7.0000000000000007E-2</v>
      </c>
      <c r="K35" s="44">
        <f t="shared" si="6"/>
        <v>3819.9300000000003</v>
      </c>
      <c r="W35" s="133">
        <v>42718</v>
      </c>
      <c r="X35" s="10">
        <v>18.59</v>
      </c>
      <c r="Y35" s="10">
        <v>18.95</v>
      </c>
      <c r="Z35" s="10">
        <v>18.16</v>
      </c>
      <c r="AA35" s="10">
        <v>18.2</v>
      </c>
      <c r="AB35" s="95">
        <v>21195900</v>
      </c>
      <c r="AC35" s="10">
        <v>18.2</v>
      </c>
      <c r="AE35" s="138">
        <f t="shared" si="4"/>
        <v>-3.1914893617021378E-2</v>
      </c>
    </row>
    <row r="36" spans="2:31" x14ac:dyDescent="0.25">
      <c r="B36" s="506">
        <v>42270</v>
      </c>
      <c r="C36" s="7">
        <v>478</v>
      </c>
      <c r="D36" s="79">
        <v>15.85</v>
      </c>
      <c r="E36" s="44">
        <v>0</v>
      </c>
      <c r="F36" s="44">
        <f t="shared" si="1"/>
        <v>7576.3</v>
      </c>
      <c r="G36" s="459">
        <v>42411</v>
      </c>
      <c r="H36" s="82">
        <v>500</v>
      </c>
      <c r="I36" s="79">
        <v>6.97</v>
      </c>
      <c r="J36" s="44">
        <v>0.08</v>
      </c>
      <c r="K36" s="44">
        <f t="shared" si="6"/>
        <v>3484.92</v>
      </c>
      <c r="W36" s="133">
        <v>42717</v>
      </c>
      <c r="X36" s="10">
        <v>18.809999999999999</v>
      </c>
      <c r="Y36" s="10">
        <v>19</v>
      </c>
      <c r="Z36" s="10">
        <v>18.329999999999998</v>
      </c>
      <c r="AA36" s="10">
        <v>18.8</v>
      </c>
      <c r="AB36" s="95">
        <v>17910100</v>
      </c>
      <c r="AC36" s="10">
        <v>18.8</v>
      </c>
      <c r="AE36" s="138">
        <f t="shared" si="4"/>
        <v>1.6765819361817424E-2</v>
      </c>
    </row>
    <row r="37" spans="2:31" x14ac:dyDescent="0.25">
      <c r="B37" s="506">
        <v>42292</v>
      </c>
      <c r="C37" s="7">
        <v>500</v>
      </c>
      <c r="D37" s="79">
        <v>18.55</v>
      </c>
      <c r="E37" s="44">
        <v>0</v>
      </c>
      <c r="F37" s="44">
        <f t="shared" si="1"/>
        <v>9275</v>
      </c>
      <c r="G37" s="459">
        <v>42412</v>
      </c>
      <c r="H37" s="82">
        <v>200</v>
      </c>
      <c r="I37" s="79">
        <v>7.45</v>
      </c>
      <c r="J37" s="44">
        <v>0.03</v>
      </c>
      <c r="K37" s="44">
        <f t="shared" si="6"/>
        <v>1489.97</v>
      </c>
      <c r="W37" s="133">
        <v>42716</v>
      </c>
      <c r="X37" s="10">
        <v>19.149999999999999</v>
      </c>
      <c r="Y37" s="10">
        <v>19.28</v>
      </c>
      <c r="Z37" s="10">
        <v>18.48</v>
      </c>
      <c r="AA37" s="10">
        <v>18.489999999999998</v>
      </c>
      <c r="AB37" s="95">
        <v>21486200</v>
      </c>
      <c r="AC37" s="10">
        <v>18.489999999999998</v>
      </c>
      <c r="AE37" s="138">
        <f t="shared" si="4"/>
        <v>1.315068493150684E-2</v>
      </c>
    </row>
    <row r="38" spans="2:31" x14ac:dyDescent="0.25">
      <c r="B38" s="506">
        <v>42299</v>
      </c>
      <c r="C38" s="7">
        <v>500</v>
      </c>
      <c r="D38" s="79">
        <v>18.55</v>
      </c>
      <c r="E38" s="44">
        <v>0</v>
      </c>
      <c r="F38" s="44">
        <f t="shared" si="1"/>
        <v>9275</v>
      </c>
      <c r="G38" s="459">
        <v>42416</v>
      </c>
      <c r="H38" s="82">
        <v>500</v>
      </c>
      <c r="I38" s="79">
        <v>7.75</v>
      </c>
      <c r="J38" s="44">
        <v>0.08</v>
      </c>
      <c r="K38" s="44">
        <f t="shared" si="6"/>
        <v>3874.92</v>
      </c>
      <c r="W38" s="133">
        <v>42713</v>
      </c>
      <c r="X38" s="10">
        <v>18.559999999999999</v>
      </c>
      <c r="Y38" s="10">
        <v>18.579999999999998</v>
      </c>
      <c r="Z38" s="10">
        <v>18.079999999999998</v>
      </c>
      <c r="AA38" s="10">
        <v>18.25</v>
      </c>
      <c r="AB38" s="95">
        <v>10957100</v>
      </c>
      <c r="AC38" s="10">
        <v>18.25</v>
      </c>
      <c r="AE38" s="138">
        <f t="shared" si="4"/>
        <v>-7.0729053318824286E-3</v>
      </c>
    </row>
    <row r="39" spans="2:31" x14ac:dyDescent="0.25">
      <c r="B39" s="506">
        <v>42299</v>
      </c>
      <c r="C39" s="7">
        <v>500</v>
      </c>
      <c r="D39" s="79">
        <v>18.28</v>
      </c>
      <c r="E39" s="44">
        <v>0</v>
      </c>
      <c r="F39" s="44">
        <f t="shared" si="1"/>
        <v>9140</v>
      </c>
      <c r="G39" s="459">
        <v>42422</v>
      </c>
      <c r="H39" s="82">
        <v>2500</v>
      </c>
      <c r="I39" s="79">
        <v>7.47</v>
      </c>
      <c r="J39" s="44">
        <v>0.41</v>
      </c>
      <c r="K39" s="44">
        <f t="shared" si="6"/>
        <v>18674.59</v>
      </c>
      <c r="W39" s="133">
        <v>42712</v>
      </c>
      <c r="X39" s="10">
        <v>18.5</v>
      </c>
      <c r="Y39" s="10">
        <v>18.59</v>
      </c>
      <c r="Z39" s="10">
        <v>18.170000000000002</v>
      </c>
      <c r="AA39" s="10">
        <v>18.38</v>
      </c>
      <c r="AB39" s="95">
        <v>14491500</v>
      </c>
      <c r="AC39" s="10">
        <v>18.38</v>
      </c>
      <c r="AE39" s="138">
        <f t="shared" si="4"/>
        <v>-2.1715526601521207E-3</v>
      </c>
    </row>
    <row r="40" spans="2:31" x14ac:dyDescent="0.25">
      <c r="B40" s="506">
        <v>42299</v>
      </c>
      <c r="C40" s="7">
        <v>1000</v>
      </c>
      <c r="D40" s="79">
        <v>18.100000000000001</v>
      </c>
      <c r="E40" s="44">
        <v>0</v>
      </c>
      <c r="F40" s="44">
        <f t="shared" si="1"/>
        <v>18100</v>
      </c>
      <c r="G40" s="459">
        <v>42422</v>
      </c>
      <c r="H40" s="82">
        <v>1000</v>
      </c>
      <c r="I40" s="79">
        <v>7.49</v>
      </c>
      <c r="J40" s="44">
        <v>0.16</v>
      </c>
      <c r="K40" s="44">
        <f t="shared" si="6"/>
        <v>7489.84</v>
      </c>
      <c r="W40" s="133">
        <v>42711</v>
      </c>
      <c r="X40" s="10">
        <v>18.21</v>
      </c>
      <c r="Y40" s="10">
        <v>18.489999999999998</v>
      </c>
      <c r="Z40" s="10">
        <v>18.09</v>
      </c>
      <c r="AA40" s="10">
        <v>18.420000000000002</v>
      </c>
      <c r="AB40" s="95">
        <v>14096200</v>
      </c>
      <c r="AC40" s="10">
        <v>18.420000000000002</v>
      </c>
      <c r="AE40" s="138">
        <f t="shared" si="4"/>
        <v>3.814713896457711E-3</v>
      </c>
    </row>
    <row r="41" spans="2:31" ht="20.25" thickBot="1" x14ac:dyDescent="0.35">
      <c r="B41" s="643">
        <v>42306</v>
      </c>
      <c r="C41" s="7">
        <v>660</v>
      </c>
      <c r="D41" s="79">
        <v>17.8</v>
      </c>
      <c r="E41" s="44">
        <v>0</v>
      </c>
      <c r="F41" s="44">
        <f t="shared" si="1"/>
        <v>11748</v>
      </c>
      <c r="G41" s="459">
        <v>42426</v>
      </c>
      <c r="H41" s="82">
        <v>900</v>
      </c>
      <c r="I41" s="79">
        <v>7.7</v>
      </c>
      <c r="J41" s="44">
        <v>0.15</v>
      </c>
      <c r="K41" s="44">
        <f t="shared" si="6"/>
        <v>6929.85</v>
      </c>
      <c r="O41" s="638" t="s">
        <v>78</v>
      </c>
      <c r="P41" s="638"/>
      <c r="W41" s="133">
        <v>42710</v>
      </c>
      <c r="X41" s="10">
        <v>18.12</v>
      </c>
      <c r="Y41" s="10">
        <v>18.62</v>
      </c>
      <c r="Z41" s="10">
        <v>17.93</v>
      </c>
      <c r="AA41" s="10">
        <v>18.350000000000001</v>
      </c>
      <c r="AB41" s="95">
        <v>13864400</v>
      </c>
      <c r="AC41" s="10">
        <v>18.350000000000001</v>
      </c>
      <c r="AE41" s="138">
        <f t="shared" si="4"/>
        <v>-2.175095160413254E-3</v>
      </c>
    </row>
    <row r="42" spans="2:31" ht="21" thickTop="1" thickBot="1" x14ac:dyDescent="0.35">
      <c r="B42" s="643"/>
      <c r="C42" s="7">
        <v>340</v>
      </c>
      <c r="D42" s="79">
        <v>17.8</v>
      </c>
      <c r="E42" s="44">
        <v>0</v>
      </c>
      <c r="F42" s="44">
        <f t="shared" si="1"/>
        <v>6052</v>
      </c>
      <c r="G42" s="646" t="s">
        <v>185</v>
      </c>
      <c r="H42" s="82">
        <v>500</v>
      </c>
      <c r="I42" s="79">
        <v>7.73</v>
      </c>
      <c r="J42" s="44">
        <v>0.08</v>
      </c>
      <c r="K42" s="44">
        <f t="shared" si="6"/>
        <v>3864.92</v>
      </c>
      <c r="O42" s="83">
        <v>1.22</v>
      </c>
      <c r="P42" s="83">
        <f>O42*$Q$4</f>
        <v>21.020600000000002</v>
      </c>
      <c r="T42" s="134" t="s">
        <v>92</v>
      </c>
      <c r="W42" s="133">
        <v>42709</v>
      </c>
      <c r="X42" s="10">
        <v>18.55</v>
      </c>
      <c r="Y42" s="10">
        <v>18.73</v>
      </c>
      <c r="Z42" s="10">
        <v>18.29</v>
      </c>
      <c r="AA42" s="10">
        <v>18.39</v>
      </c>
      <c r="AB42" s="95">
        <v>14019000</v>
      </c>
      <c r="AC42" s="10">
        <v>18.39</v>
      </c>
      <c r="AE42" s="138">
        <f t="shared" si="4"/>
        <v>1.0439560439560402E-2</v>
      </c>
    </row>
    <row r="43" spans="2:31" ht="15.75" thickTop="1" x14ac:dyDescent="0.25">
      <c r="B43" s="506">
        <v>42312</v>
      </c>
      <c r="C43" s="426">
        <v>500</v>
      </c>
      <c r="D43" s="212">
        <v>17.559999999999999</v>
      </c>
      <c r="E43" s="46">
        <v>6.95</v>
      </c>
      <c r="F43" s="46">
        <f t="shared" si="1"/>
        <v>8786.9500000000007</v>
      </c>
      <c r="G43" s="646"/>
      <c r="H43" s="82">
        <v>500</v>
      </c>
      <c r="I43" s="79">
        <v>7.96</v>
      </c>
      <c r="J43" s="44">
        <v>0.09</v>
      </c>
      <c r="K43" s="44">
        <f t="shared" si="6"/>
        <v>3979.91</v>
      </c>
      <c r="O43" s="83">
        <v>1.21</v>
      </c>
      <c r="P43" s="83">
        <f>O43*$Q$4</f>
        <v>20.848299999999998</v>
      </c>
      <c r="T43" s="135" t="s">
        <v>98</v>
      </c>
      <c r="U43" s="129">
        <v>16.59</v>
      </c>
      <c r="W43" s="133">
        <v>42706</v>
      </c>
      <c r="X43" s="10">
        <v>17.84</v>
      </c>
      <c r="Y43" s="10">
        <v>18.39</v>
      </c>
      <c r="Z43" s="10">
        <v>17.84</v>
      </c>
      <c r="AA43" s="10">
        <v>18.2</v>
      </c>
      <c r="AB43" s="95">
        <v>16662900</v>
      </c>
      <c r="AC43" s="10">
        <v>18.2</v>
      </c>
      <c r="AE43" s="138">
        <f t="shared" si="4"/>
        <v>1.7328116266070337E-2</v>
      </c>
    </row>
    <row r="44" spans="2:31" x14ac:dyDescent="0.25">
      <c r="B44" s="506">
        <v>42313</v>
      </c>
      <c r="C44" s="7">
        <v>3000</v>
      </c>
      <c r="D44" s="79">
        <v>19.05</v>
      </c>
      <c r="E44" s="44">
        <v>0</v>
      </c>
      <c r="F44" s="44">
        <f t="shared" si="1"/>
        <v>57150</v>
      </c>
      <c r="G44" s="646"/>
      <c r="H44" s="82">
        <v>500</v>
      </c>
      <c r="I44" s="79">
        <v>8.0299999999999994</v>
      </c>
      <c r="J44" s="44">
        <v>0.09</v>
      </c>
      <c r="K44" s="44">
        <f t="shared" si="6"/>
        <v>4014.9099999999994</v>
      </c>
      <c r="M44" s="80"/>
      <c r="O44" s="83">
        <v>1.2</v>
      </c>
      <c r="P44" s="83">
        <f>O44*$Q$4</f>
        <v>20.675999999999998</v>
      </c>
      <c r="T44" s="136" t="s">
        <v>99</v>
      </c>
      <c r="U44" s="130">
        <v>16.64</v>
      </c>
      <c r="W44" s="133">
        <v>42705</v>
      </c>
      <c r="X44" s="10">
        <v>19.12</v>
      </c>
      <c r="Y44" s="10">
        <v>19.14</v>
      </c>
      <c r="Z44" s="10">
        <v>17.579999999999998</v>
      </c>
      <c r="AA44" s="10">
        <v>17.89</v>
      </c>
      <c r="AB44" s="95">
        <v>35757500</v>
      </c>
      <c r="AC44" s="10">
        <v>17.89</v>
      </c>
      <c r="AE44" s="138">
        <f t="shared" si="4"/>
        <v>-9.4130675526022944E-3</v>
      </c>
    </row>
    <row r="45" spans="2:31" x14ac:dyDescent="0.25">
      <c r="B45" s="506">
        <v>42320</v>
      </c>
      <c r="C45" s="7">
        <v>500</v>
      </c>
      <c r="D45" s="79">
        <v>18.079999999999998</v>
      </c>
      <c r="E45" s="44">
        <v>0</v>
      </c>
      <c r="F45" s="44">
        <f t="shared" si="1"/>
        <v>9040</v>
      </c>
      <c r="G45" s="646"/>
      <c r="H45" s="82">
        <v>1500</v>
      </c>
      <c r="I45" s="79">
        <v>8.1</v>
      </c>
      <c r="J45" s="44">
        <v>0.26</v>
      </c>
      <c r="K45" s="44">
        <f t="shared" si="6"/>
        <v>12149.74</v>
      </c>
      <c r="O45" s="83">
        <v>1.19</v>
      </c>
      <c r="P45" s="83">
        <f>O45*$Q$4</f>
        <v>20.503699999999998</v>
      </c>
      <c r="T45" s="136" t="s">
        <v>100</v>
      </c>
      <c r="U45" s="130" t="s">
        <v>129</v>
      </c>
      <c r="W45" s="133">
        <v>42704</v>
      </c>
      <c r="X45" s="10">
        <v>16.38</v>
      </c>
      <c r="Y45" s="10">
        <v>18.55</v>
      </c>
      <c r="Z45" s="10">
        <v>16.38</v>
      </c>
      <c r="AA45" s="10">
        <v>18.059999999999999</v>
      </c>
      <c r="AB45" s="95">
        <v>74509700</v>
      </c>
      <c r="AC45" s="10">
        <v>18.059999999999999</v>
      </c>
      <c r="AE45" s="138">
        <f t="shared" si="4"/>
        <v>0.2080267558528428</v>
      </c>
    </row>
    <row r="46" spans="2:31" x14ac:dyDescent="0.25">
      <c r="B46" s="506">
        <v>42320</v>
      </c>
      <c r="C46" s="7">
        <v>1000</v>
      </c>
      <c r="D46" s="79">
        <v>18.05</v>
      </c>
      <c r="E46" s="44">
        <v>0</v>
      </c>
      <c r="F46" s="44">
        <f t="shared" si="1"/>
        <v>18050</v>
      </c>
      <c r="G46" s="459">
        <v>42429</v>
      </c>
      <c r="H46" s="82">
        <v>1000</v>
      </c>
      <c r="I46" s="79">
        <v>8.5399999999999991</v>
      </c>
      <c r="J46" s="44">
        <v>0.19</v>
      </c>
      <c r="K46" s="44">
        <f>H46*I46-J46</f>
        <v>8539.81</v>
      </c>
      <c r="M46" s="230"/>
      <c r="O46" s="83">
        <v>1.18</v>
      </c>
      <c r="P46" s="83">
        <f>O46*$Q$4</f>
        <v>20.331399999999999</v>
      </c>
      <c r="T46" s="136" t="s">
        <v>101</v>
      </c>
      <c r="U46" s="130" t="s">
        <v>129</v>
      </c>
      <c r="W46" s="133">
        <v>42703</v>
      </c>
      <c r="X46" s="10">
        <v>15.14</v>
      </c>
      <c r="Y46" s="10">
        <v>15.16</v>
      </c>
      <c r="Z46" s="10">
        <v>14.71</v>
      </c>
      <c r="AA46" s="10">
        <v>14.95</v>
      </c>
      <c r="AB46" s="95">
        <v>20254900</v>
      </c>
      <c r="AC46" s="10">
        <v>14.95</v>
      </c>
      <c r="AE46" s="138">
        <f t="shared" si="4"/>
        <v>-3.7966537966537928E-2</v>
      </c>
    </row>
    <row r="47" spans="2:31" x14ac:dyDescent="0.25">
      <c r="B47" s="506">
        <v>42320</v>
      </c>
      <c r="C47" s="7">
        <v>1000</v>
      </c>
      <c r="D47" s="79">
        <v>17.82</v>
      </c>
      <c r="E47" s="44">
        <v>0</v>
      </c>
      <c r="F47" s="44">
        <f t="shared" si="1"/>
        <v>17820</v>
      </c>
      <c r="G47" s="459">
        <v>42429</v>
      </c>
      <c r="H47" s="82">
        <v>500</v>
      </c>
      <c r="I47" s="79">
        <v>7.95</v>
      </c>
      <c r="J47" s="44">
        <v>0.09</v>
      </c>
      <c r="K47" s="44">
        <f>H47*I47-J47</f>
        <v>3974.91</v>
      </c>
      <c r="O47" s="83">
        <v>1.17</v>
      </c>
      <c r="P47" s="83">
        <f t="shared" ref="P47:P53" si="7">O47*$Q$4</f>
        <v>20.159099999999999</v>
      </c>
      <c r="T47" s="136" t="s">
        <v>102</v>
      </c>
      <c r="U47" s="130">
        <v>20.46</v>
      </c>
      <c r="W47" s="133">
        <v>42702</v>
      </c>
      <c r="X47" s="10">
        <v>16.55</v>
      </c>
      <c r="Y47" s="10">
        <v>16.579999999999998</v>
      </c>
      <c r="Z47" s="10">
        <v>15.51</v>
      </c>
      <c r="AA47" s="10">
        <v>15.54</v>
      </c>
      <c r="AB47" s="95">
        <v>20075400</v>
      </c>
      <c r="AC47" s="10">
        <v>15.54</v>
      </c>
      <c r="AE47" s="138">
        <f t="shared" si="4"/>
        <v>-4.5454545454545525E-2</v>
      </c>
    </row>
    <row r="48" spans="2:31" x14ac:dyDescent="0.25">
      <c r="B48" s="506">
        <v>42328</v>
      </c>
      <c r="C48" s="7">
        <v>3078</v>
      </c>
      <c r="D48" s="79">
        <v>17.47</v>
      </c>
      <c r="E48" s="44">
        <v>0</v>
      </c>
      <c r="F48" s="44">
        <f t="shared" si="1"/>
        <v>53772.659999999996</v>
      </c>
      <c r="G48" s="459">
        <v>42429</v>
      </c>
      <c r="H48" s="82">
        <v>500</v>
      </c>
      <c r="I48" s="79">
        <v>7.97</v>
      </c>
      <c r="J48" s="44">
        <v>0.09</v>
      </c>
      <c r="K48" s="44">
        <f t="shared" si="6"/>
        <v>3984.91</v>
      </c>
      <c r="O48" s="83">
        <v>1.1599999999999999</v>
      </c>
      <c r="P48" s="83">
        <f t="shared" si="7"/>
        <v>19.986799999999999</v>
      </c>
      <c r="T48" s="136" t="s">
        <v>103</v>
      </c>
      <c r="U48" s="130">
        <v>2.7484500000000001</v>
      </c>
      <c r="W48" s="133">
        <v>42699</v>
      </c>
      <c r="X48" s="10">
        <v>16.63</v>
      </c>
      <c r="Y48" s="10">
        <v>16.63</v>
      </c>
      <c r="Z48" s="10">
        <v>16.14</v>
      </c>
      <c r="AA48" s="10">
        <v>16.28</v>
      </c>
      <c r="AB48" s="95">
        <v>7914100</v>
      </c>
      <c r="AC48" s="10">
        <v>16.28</v>
      </c>
      <c r="AE48" s="138">
        <f t="shared" si="4"/>
        <v>-2.9797377830750871E-2</v>
      </c>
    </row>
    <row r="49" spans="2:31" x14ac:dyDescent="0.25">
      <c r="B49" s="506">
        <v>42340</v>
      </c>
      <c r="C49" s="7">
        <v>3078</v>
      </c>
      <c r="D49" s="79">
        <v>17.739999999999998</v>
      </c>
      <c r="E49" s="44">
        <v>0</v>
      </c>
      <c r="F49" s="44">
        <f t="shared" si="1"/>
        <v>54603.719999999994</v>
      </c>
      <c r="G49" s="459">
        <v>42430</v>
      </c>
      <c r="H49" s="82">
        <v>500</v>
      </c>
      <c r="I49" s="79">
        <v>7.85</v>
      </c>
      <c r="J49" s="44">
        <v>0.09</v>
      </c>
      <c r="K49" s="44">
        <f t="shared" si="6"/>
        <v>3924.91</v>
      </c>
      <c r="O49" s="83">
        <v>1.1499999999999999</v>
      </c>
      <c r="P49" s="83">
        <f t="shared" si="7"/>
        <v>19.814499999999999</v>
      </c>
      <c r="T49" s="136" t="s">
        <v>104</v>
      </c>
      <c r="U49" s="130" t="s">
        <v>477</v>
      </c>
      <c r="W49" s="133">
        <v>42697</v>
      </c>
      <c r="X49" s="10">
        <v>16.37</v>
      </c>
      <c r="Y49" s="10">
        <v>16.8</v>
      </c>
      <c r="Z49" s="10">
        <v>16.29</v>
      </c>
      <c r="AA49" s="10">
        <v>16.78</v>
      </c>
      <c r="AB49" s="95">
        <v>11208800</v>
      </c>
      <c r="AC49" s="10">
        <v>16.78</v>
      </c>
      <c r="AE49" s="138">
        <f t="shared" si="4"/>
        <v>1.3897280966767456E-2</v>
      </c>
    </row>
    <row r="50" spans="2:31" x14ac:dyDescent="0.25">
      <c r="B50" s="506">
        <v>42340</v>
      </c>
      <c r="C50" s="7">
        <v>500</v>
      </c>
      <c r="D50" s="79">
        <v>17.5</v>
      </c>
      <c r="E50" s="44">
        <v>0</v>
      </c>
      <c r="F50" s="44">
        <f t="shared" si="1"/>
        <v>8750</v>
      </c>
      <c r="G50" s="459">
        <v>42430</v>
      </c>
      <c r="H50" s="82">
        <v>500</v>
      </c>
      <c r="I50" s="79">
        <v>8.0299999999999994</v>
      </c>
      <c r="J50" s="44">
        <v>0.09</v>
      </c>
      <c r="K50" s="44">
        <f t="shared" si="6"/>
        <v>4014.9099999999994</v>
      </c>
      <c r="L50" s="2"/>
      <c r="O50" s="83">
        <v>1.1399999999999999</v>
      </c>
      <c r="P50" s="83">
        <f t="shared" si="7"/>
        <v>19.642199999999999</v>
      </c>
      <c r="T50" s="136"/>
      <c r="U50" s="130"/>
      <c r="W50" s="133">
        <v>42696</v>
      </c>
      <c r="X50" s="10">
        <v>16.41</v>
      </c>
      <c r="Y50" s="10">
        <v>16.73</v>
      </c>
      <c r="Z50" s="10">
        <v>16.010000000000002</v>
      </c>
      <c r="AA50" s="10">
        <v>16.55</v>
      </c>
      <c r="AB50" s="95">
        <v>17889300</v>
      </c>
      <c r="AC50" s="10">
        <v>16.55</v>
      </c>
      <c r="AE50" s="138">
        <f t="shared" si="4"/>
        <v>4.2475728155340065E-3</v>
      </c>
    </row>
    <row r="51" spans="2:31" x14ac:dyDescent="0.25">
      <c r="B51" s="506">
        <v>42345</v>
      </c>
      <c r="C51" s="7">
        <v>100</v>
      </c>
      <c r="D51" s="79">
        <v>16.7</v>
      </c>
      <c r="E51" s="44">
        <v>0</v>
      </c>
      <c r="F51" s="44">
        <f t="shared" si="1"/>
        <v>1670</v>
      </c>
      <c r="G51" s="459">
        <v>42431</v>
      </c>
      <c r="H51" s="82">
        <v>500</v>
      </c>
      <c r="I51" s="79">
        <v>8.3800000000000008</v>
      </c>
      <c r="J51" s="44">
        <v>0.09</v>
      </c>
      <c r="K51" s="44">
        <f t="shared" si="6"/>
        <v>4189.91</v>
      </c>
      <c r="L51" s="2"/>
      <c r="O51" s="83">
        <v>1.1299999999999999</v>
      </c>
      <c r="P51" s="83">
        <f t="shared" si="7"/>
        <v>19.469899999999999</v>
      </c>
      <c r="T51" s="136" t="s">
        <v>105</v>
      </c>
      <c r="U51" s="130" t="s">
        <v>569</v>
      </c>
      <c r="W51" s="133">
        <v>42695</v>
      </c>
      <c r="X51" s="10">
        <v>16.079999999999998</v>
      </c>
      <c r="Y51" s="10">
        <v>16.579999999999998</v>
      </c>
      <c r="Z51" s="10">
        <v>16.04</v>
      </c>
      <c r="AA51" s="10">
        <v>16.48</v>
      </c>
      <c r="AB51" s="95">
        <v>19650900</v>
      </c>
      <c r="AC51" s="10">
        <v>16.48</v>
      </c>
      <c r="AE51" s="138">
        <f t="shared" si="4"/>
        <v>5.5057618437900135E-2</v>
      </c>
    </row>
    <row r="52" spans="2:31" x14ac:dyDescent="0.25">
      <c r="B52" s="506">
        <v>42345</v>
      </c>
      <c r="C52" s="7">
        <v>500</v>
      </c>
      <c r="D52" s="79">
        <v>16.850000000000001</v>
      </c>
      <c r="E52" s="44">
        <v>0</v>
      </c>
      <c r="F52" s="44">
        <f t="shared" si="1"/>
        <v>8425</v>
      </c>
      <c r="G52" s="459">
        <v>42431</v>
      </c>
      <c r="H52" s="82">
        <v>500</v>
      </c>
      <c r="I52" s="79">
        <v>8.58</v>
      </c>
      <c r="J52" s="44">
        <v>0.09</v>
      </c>
      <c r="K52" s="44">
        <f t="shared" si="6"/>
        <v>4289.91</v>
      </c>
      <c r="O52" s="83">
        <v>1.1200000000000001</v>
      </c>
      <c r="P52" s="83">
        <f t="shared" si="7"/>
        <v>19.297600000000003</v>
      </c>
      <c r="T52" s="136" t="s">
        <v>106</v>
      </c>
      <c r="U52" s="130" t="s">
        <v>350</v>
      </c>
      <c r="W52" s="133">
        <v>42692</v>
      </c>
      <c r="X52" s="10">
        <v>15.52</v>
      </c>
      <c r="Y52" s="10">
        <v>15.83</v>
      </c>
      <c r="Z52" s="10">
        <v>15.49</v>
      </c>
      <c r="AA52" s="10">
        <v>15.62</v>
      </c>
      <c r="AB52" s="95">
        <v>13985400</v>
      </c>
      <c r="AC52" s="10">
        <v>15.62</v>
      </c>
      <c r="AE52" s="138">
        <f t="shared" si="4"/>
        <v>1.0349288486416475E-2</v>
      </c>
    </row>
    <row r="53" spans="2:31" ht="15" customHeight="1" x14ac:dyDescent="0.25">
      <c r="B53" s="506">
        <v>42347</v>
      </c>
      <c r="C53" s="7">
        <v>500</v>
      </c>
      <c r="D53" s="79">
        <v>15.84</v>
      </c>
      <c r="E53" s="44">
        <v>0</v>
      </c>
      <c r="F53" s="44">
        <f t="shared" si="1"/>
        <v>7920</v>
      </c>
      <c r="G53" s="642" t="s">
        <v>187</v>
      </c>
      <c r="H53" s="82">
        <v>400</v>
      </c>
      <c r="I53" s="79">
        <v>9.09</v>
      </c>
      <c r="J53" s="44">
        <v>0.1</v>
      </c>
      <c r="K53" s="44">
        <f t="shared" si="6"/>
        <v>3635.9</v>
      </c>
      <c r="O53" s="83">
        <v>1.1100000000000001</v>
      </c>
      <c r="P53" s="83">
        <f t="shared" si="7"/>
        <v>19.125300000000003</v>
      </c>
      <c r="T53" s="136" t="s">
        <v>107</v>
      </c>
      <c r="U53" s="131">
        <v>9235813</v>
      </c>
      <c r="W53" s="133">
        <v>42691</v>
      </c>
      <c r="X53" s="10">
        <v>15.8</v>
      </c>
      <c r="Y53" s="10">
        <v>16.07</v>
      </c>
      <c r="Z53" s="10">
        <v>15.44</v>
      </c>
      <c r="AA53" s="10">
        <v>15.46</v>
      </c>
      <c r="AB53" s="95">
        <v>17787400</v>
      </c>
      <c r="AC53" s="10">
        <v>15.46</v>
      </c>
      <c r="AE53" s="138">
        <f t="shared" si="4"/>
        <v>-6.4267352185090054E-3</v>
      </c>
    </row>
    <row r="54" spans="2:31" x14ac:dyDescent="0.25">
      <c r="B54" s="506">
        <v>42348</v>
      </c>
      <c r="C54" s="7">
        <v>500</v>
      </c>
      <c r="D54" s="79">
        <v>14.78</v>
      </c>
      <c r="E54" s="44">
        <v>0</v>
      </c>
      <c r="F54" s="44">
        <f t="shared" si="1"/>
        <v>7390</v>
      </c>
      <c r="G54" s="642"/>
      <c r="H54" s="82">
        <v>100</v>
      </c>
      <c r="I54" s="79">
        <v>9.09</v>
      </c>
      <c r="J54" s="44">
        <v>0</v>
      </c>
      <c r="K54" s="44">
        <f t="shared" si="6"/>
        <v>909</v>
      </c>
      <c r="O54" s="83">
        <v>1.1000000000000001</v>
      </c>
      <c r="P54" s="83">
        <f>O54*$Q$4</f>
        <v>18.953000000000003</v>
      </c>
      <c r="T54" s="136" t="s">
        <v>110</v>
      </c>
      <c r="U54" s="131">
        <v>14509400</v>
      </c>
      <c r="W54" s="133">
        <v>42690</v>
      </c>
      <c r="X54" s="10">
        <v>15.55</v>
      </c>
      <c r="Y54" s="10">
        <v>15.93</v>
      </c>
      <c r="Z54" s="10">
        <v>15.35</v>
      </c>
      <c r="AA54" s="10">
        <v>15.56</v>
      </c>
      <c r="AB54" s="95">
        <v>16461500</v>
      </c>
      <c r="AC54" s="10">
        <v>15.56</v>
      </c>
      <c r="AE54" s="138">
        <f t="shared" si="4"/>
        <v>-8.9171974522291864E-3</v>
      </c>
    </row>
    <row r="55" spans="2:31" x14ac:dyDescent="0.25">
      <c r="B55" s="506">
        <v>42352</v>
      </c>
      <c r="C55" s="7">
        <v>100</v>
      </c>
      <c r="D55" s="79">
        <v>14.57</v>
      </c>
      <c r="E55" s="44">
        <v>0</v>
      </c>
      <c r="F55" s="44">
        <f t="shared" si="1"/>
        <v>1457</v>
      </c>
      <c r="G55" s="642"/>
      <c r="H55" s="82">
        <v>500</v>
      </c>
      <c r="I55" s="79">
        <v>8.81</v>
      </c>
      <c r="J55" s="44">
        <v>0.1</v>
      </c>
      <c r="K55" s="44">
        <f t="shared" ref="K55:K74" si="8">H55*I55-J55</f>
        <v>4404.8999999999996</v>
      </c>
      <c r="O55" s="83">
        <v>1.0900000000000001</v>
      </c>
      <c r="P55" s="83">
        <f t="shared" ref="P55:P74" si="9">O55*$Q$4</f>
        <v>18.780700000000003</v>
      </c>
      <c r="T55" s="136" t="s">
        <v>108</v>
      </c>
      <c r="U55" s="130" t="s">
        <v>570</v>
      </c>
      <c r="W55" s="133">
        <v>42689</v>
      </c>
      <c r="X55" s="10">
        <v>15.24</v>
      </c>
      <c r="Y55" s="10">
        <v>15.85</v>
      </c>
      <c r="Z55" s="10">
        <v>15.15</v>
      </c>
      <c r="AA55" s="10">
        <v>15.7</v>
      </c>
      <c r="AB55" s="95">
        <v>20422300</v>
      </c>
      <c r="AC55" s="10">
        <v>15.7</v>
      </c>
      <c r="AE55" s="138">
        <f t="shared" si="4"/>
        <v>5.1574012056262442E-2</v>
      </c>
    </row>
    <row r="56" spans="2:31" x14ac:dyDescent="0.25">
      <c r="B56" s="506">
        <v>42355</v>
      </c>
      <c r="C56" s="7">
        <v>500</v>
      </c>
      <c r="D56" s="79">
        <v>13.89</v>
      </c>
      <c r="E56" s="44">
        <v>0</v>
      </c>
      <c r="F56" s="44">
        <f t="shared" si="1"/>
        <v>6945</v>
      </c>
      <c r="G56" s="459">
        <v>42432</v>
      </c>
      <c r="H56" s="82">
        <v>600</v>
      </c>
      <c r="I56" s="79">
        <v>9.65</v>
      </c>
      <c r="J56" s="44">
        <v>0.13</v>
      </c>
      <c r="K56" s="44">
        <f t="shared" si="8"/>
        <v>5789.87</v>
      </c>
      <c r="O56" s="83">
        <v>1.08</v>
      </c>
      <c r="P56" s="83">
        <f t="shared" si="9"/>
        <v>18.608400000000003</v>
      </c>
      <c r="T56" s="136" t="s">
        <v>111</v>
      </c>
      <c r="U56" s="130" t="s">
        <v>129</v>
      </c>
      <c r="W56" s="133">
        <v>42688</v>
      </c>
      <c r="X56" s="10">
        <v>14.7</v>
      </c>
      <c r="Y56" s="10">
        <v>15</v>
      </c>
      <c r="Z56" s="10">
        <v>14.45</v>
      </c>
      <c r="AA56" s="10">
        <v>14.93</v>
      </c>
      <c r="AB56" s="95">
        <v>15132700</v>
      </c>
      <c r="AC56" s="10">
        <v>14.93</v>
      </c>
      <c r="AE56" s="138" t="e">
        <f t="shared" si="4"/>
        <v>#DIV/0!</v>
      </c>
    </row>
    <row r="57" spans="2:31" x14ac:dyDescent="0.25">
      <c r="B57" s="506">
        <v>42360</v>
      </c>
      <c r="C57" s="7">
        <v>500</v>
      </c>
      <c r="D57" s="79">
        <v>12.95</v>
      </c>
      <c r="E57" s="44">
        <v>0</v>
      </c>
      <c r="F57" s="44">
        <f t="shared" si="1"/>
        <v>6475</v>
      </c>
      <c r="G57" s="459">
        <v>42433</v>
      </c>
      <c r="H57" s="82">
        <v>600</v>
      </c>
      <c r="I57" s="79">
        <v>10.45</v>
      </c>
      <c r="J57" s="44">
        <v>0.14000000000000001</v>
      </c>
      <c r="K57" s="44">
        <f t="shared" si="8"/>
        <v>6269.86</v>
      </c>
      <c r="O57" s="83">
        <v>1.07</v>
      </c>
      <c r="P57" s="83">
        <f t="shared" si="9"/>
        <v>18.436100000000003</v>
      </c>
      <c r="T57" s="136" t="s">
        <v>112</v>
      </c>
      <c r="U57" s="130">
        <v>-2.0099999999999998</v>
      </c>
      <c r="W57" s="133">
        <v>42688</v>
      </c>
      <c r="X57" s="10" t="s">
        <v>450</v>
      </c>
      <c r="Y57" s="10"/>
      <c r="Z57" s="10"/>
      <c r="AA57" s="10"/>
      <c r="AB57" s="95"/>
      <c r="AC57" s="10"/>
      <c r="AE57" s="138">
        <f t="shared" si="4"/>
        <v>-1</v>
      </c>
    </row>
    <row r="58" spans="2:31" x14ac:dyDescent="0.25">
      <c r="B58" s="506">
        <v>42361</v>
      </c>
      <c r="C58" s="7">
        <v>500</v>
      </c>
      <c r="D58" s="79">
        <v>12.75</v>
      </c>
      <c r="E58" s="44">
        <v>0</v>
      </c>
      <c r="F58" s="44">
        <f t="shared" si="1"/>
        <v>6375</v>
      </c>
      <c r="G58" s="459">
        <v>42440</v>
      </c>
      <c r="H58" s="82">
        <v>400</v>
      </c>
      <c r="I58" s="79">
        <v>11.25</v>
      </c>
      <c r="J58" s="44">
        <v>0.1</v>
      </c>
      <c r="K58" s="44">
        <f t="shared" si="8"/>
        <v>4499.8999999999996</v>
      </c>
      <c r="O58" s="83">
        <v>1.06</v>
      </c>
      <c r="P58" s="83">
        <f t="shared" si="9"/>
        <v>18.2638</v>
      </c>
      <c r="T58" s="136" t="s">
        <v>109</v>
      </c>
      <c r="U58" s="130" t="s">
        <v>571</v>
      </c>
      <c r="W58" s="133">
        <v>42685</v>
      </c>
      <c r="X58" s="10">
        <v>14.94</v>
      </c>
      <c r="Y58" s="10">
        <v>15.07</v>
      </c>
      <c r="Z58" s="10">
        <v>14.37</v>
      </c>
      <c r="AA58" s="10">
        <v>14.89</v>
      </c>
      <c r="AB58" s="95">
        <v>13642100</v>
      </c>
      <c r="AC58" s="10">
        <v>14.84</v>
      </c>
      <c r="AE58" s="138">
        <f t="shared" si="4"/>
        <v>-1.6567263088137829E-2</v>
      </c>
    </row>
    <row r="59" spans="2:31" x14ac:dyDescent="0.25">
      <c r="B59" s="506">
        <v>42361</v>
      </c>
      <c r="C59" s="7">
        <v>500</v>
      </c>
      <c r="D59" s="79">
        <v>12.8</v>
      </c>
      <c r="E59" s="44">
        <v>0</v>
      </c>
      <c r="F59" s="44">
        <f t="shared" si="1"/>
        <v>6400</v>
      </c>
      <c r="G59" s="459">
        <v>42446</v>
      </c>
      <c r="H59" s="82">
        <v>1500</v>
      </c>
      <c r="I59" s="79">
        <v>11.49</v>
      </c>
      <c r="J59" s="44">
        <v>0.38</v>
      </c>
      <c r="K59" s="44">
        <f t="shared" si="8"/>
        <v>17234.62</v>
      </c>
      <c r="O59" s="83">
        <v>1.05</v>
      </c>
      <c r="P59" s="83">
        <f t="shared" si="9"/>
        <v>18.0915</v>
      </c>
      <c r="W59" s="133">
        <v>42684</v>
      </c>
      <c r="X59" s="10">
        <v>14.73</v>
      </c>
      <c r="Y59" s="10">
        <v>15.23</v>
      </c>
      <c r="Z59" s="10">
        <v>14.63</v>
      </c>
      <c r="AA59" s="10">
        <v>15.14</v>
      </c>
      <c r="AB59" s="95">
        <v>19249900</v>
      </c>
      <c r="AC59" s="10">
        <v>15.09</v>
      </c>
      <c r="AE59" s="138">
        <f t="shared" si="4"/>
        <v>1.7532029669588667E-2</v>
      </c>
    </row>
    <row r="60" spans="2:31" x14ac:dyDescent="0.25">
      <c r="B60" s="506">
        <v>42361</v>
      </c>
      <c r="C60" s="7">
        <v>1000</v>
      </c>
      <c r="D60" s="79">
        <v>12.67</v>
      </c>
      <c r="E60" s="44">
        <v>0</v>
      </c>
      <c r="F60" s="44">
        <f t="shared" si="1"/>
        <v>12670</v>
      </c>
      <c r="G60" s="459">
        <v>42447</v>
      </c>
      <c r="H60" s="82">
        <v>1500</v>
      </c>
      <c r="I60" s="79">
        <v>11.44</v>
      </c>
      <c r="J60" s="44">
        <v>0.37</v>
      </c>
      <c r="K60" s="44">
        <f t="shared" si="8"/>
        <v>17159.63</v>
      </c>
      <c r="O60" s="83">
        <v>1.04</v>
      </c>
      <c r="P60" s="83">
        <f t="shared" si="9"/>
        <v>17.9192</v>
      </c>
      <c r="W60" s="133">
        <v>42683</v>
      </c>
      <c r="X60" s="10">
        <v>14.18</v>
      </c>
      <c r="Y60" s="10">
        <v>15.07</v>
      </c>
      <c r="Z60" s="10">
        <v>14.18</v>
      </c>
      <c r="AA60" s="10">
        <v>14.88</v>
      </c>
      <c r="AB60" s="95">
        <v>22354100</v>
      </c>
      <c r="AC60" s="10">
        <v>14.83</v>
      </c>
      <c r="AE60" s="138">
        <f t="shared" si="4"/>
        <v>4.4366197183098643E-2</v>
      </c>
    </row>
    <row r="61" spans="2:31" x14ac:dyDescent="0.25">
      <c r="B61" s="506">
        <v>42361</v>
      </c>
      <c r="C61" s="7">
        <v>222</v>
      </c>
      <c r="D61" s="79">
        <v>12.44</v>
      </c>
      <c r="E61" s="44">
        <v>0</v>
      </c>
      <c r="F61" s="44">
        <f t="shared" si="1"/>
        <v>2761.68</v>
      </c>
      <c r="G61" s="459">
        <v>42447</v>
      </c>
      <c r="H61" s="82">
        <v>500</v>
      </c>
      <c r="I61" s="79">
        <v>11.484999999999999</v>
      </c>
      <c r="J61" s="44">
        <v>0.13</v>
      </c>
      <c r="K61" s="44">
        <f t="shared" si="8"/>
        <v>5742.37</v>
      </c>
      <c r="O61" s="83">
        <v>1.03</v>
      </c>
      <c r="P61" s="83">
        <f t="shared" si="9"/>
        <v>17.7469</v>
      </c>
      <c r="W61" s="133">
        <v>42682</v>
      </c>
      <c r="X61" s="10">
        <v>14.03</v>
      </c>
      <c r="Y61" s="10">
        <v>14.37</v>
      </c>
      <c r="Z61" s="10">
        <v>13.98</v>
      </c>
      <c r="AA61" s="10">
        <v>14.25</v>
      </c>
      <c r="AB61" s="95">
        <v>11009300</v>
      </c>
      <c r="AC61" s="10">
        <v>14.2</v>
      </c>
      <c r="AE61" s="138">
        <f t="shared" si="4"/>
        <v>7.0921985815601829E-3</v>
      </c>
    </row>
    <row r="62" spans="2:31" x14ac:dyDescent="0.25">
      <c r="B62" s="506">
        <v>42367</v>
      </c>
      <c r="C62" s="7">
        <v>2178</v>
      </c>
      <c r="D62" s="79">
        <v>13.68</v>
      </c>
      <c r="E62" s="44">
        <v>0</v>
      </c>
      <c r="F62" s="44">
        <f t="shared" si="1"/>
        <v>29795.040000000001</v>
      </c>
      <c r="G62" s="641">
        <v>42447</v>
      </c>
      <c r="H62" s="82">
        <v>650</v>
      </c>
      <c r="I62" s="79">
        <v>11.56</v>
      </c>
      <c r="J62" s="44">
        <v>0.25</v>
      </c>
      <c r="K62" s="44">
        <f t="shared" si="8"/>
        <v>7513.75</v>
      </c>
      <c r="O62" s="83">
        <v>1.02</v>
      </c>
      <c r="P62" s="83">
        <f t="shared" si="9"/>
        <v>17.5746</v>
      </c>
      <c r="W62" s="133">
        <v>42681</v>
      </c>
      <c r="X62" s="10">
        <v>14.1</v>
      </c>
      <c r="Y62" s="10">
        <v>14.26</v>
      </c>
      <c r="Z62" s="10">
        <v>13.92</v>
      </c>
      <c r="AA62" s="10">
        <v>14.15</v>
      </c>
      <c r="AB62" s="95">
        <v>16077000</v>
      </c>
      <c r="AC62" s="10">
        <v>14.1</v>
      </c>
      <c r="AE62" s="138">
        <f t="shared" si="4"/>
        <v>3.3724340175953049E-2</v>
      </c>
    </row>
    <row r="63" spans="2:31" x14ac:dyDescent="0.25">
      <c r="B63" s="506">
        <v>42369</v>
      </c>
      <c r="C63" s="7">
        <v>2500</v>
      </c>
      <c r="D63" s="79">
        <v>13.04</v>
      </c>
      <c r="E63" s="44">
        <v>0</v>
      </c>
      <c r="F63" s="44">
        <f t="shared" si="1"/>
        <v>32599.999999999996</v>
      </c>
      <c r="G63" s="641"/>
      <c r="H63" s="82">
        <v>350</v>
      </c>
      <c r="I63" s="79">
        <v>11.56</v>
      </c>
      <c r="J63" s="44">
        <v>0</v>
      </c>
      <c r="K63" s="44">
        <f t="shared" si="8"/>
        <v>4046</v>
      </c>
      <c r="O63" s="83">
        <v>1.01</v>
      </c>
      <c r="P63" s="83">
        <f t="shared" si="9"/>
        <v>17.4023</v>
      </c>
      <c r="W63" s="133">
        <v>42678</v>
      </c>
      <c r="X63" s="10">
        <v>13.91</v>
      </c>
      <c r="Y63" s="10">
        <v>14.2</v>
      </c>
      <c r="Z63" s="10">
        <v>13.66</v>
      </c>
      <c r="AA63" s="10">
        <v>13.69</v>
      </c>
      <c r="AB63" s="95">
        <v>29039600</v>
      </c>
      <c r="AC63" s="10">
        <v>13.64</v>
      </c>
      <c r="AE63" s="138">
        <f t="shared" si="4"/>
        <v>-3.2624113475177241E-2</v>
      </c>
    </row>
    <row r="64" spans="2:31" x14ac:dyDescent="0.25">
      <c r="B64" s="506">
        <v>42008</v>
      </c>
      <c r="C64" s="7">
        <v>2000</v>
      </c>
      <c r="D64" s="79">
        <v>13.01</v>
      </c>
      <c r="E64" s="44">
        <v>0</v>
      </c>
      <c r="F64" s="44">
        <f t="shared" si="1"/>
        <v>26020</v>
      </c>
      <c r="G64" s="459">
        <v>42447</v>
      </c>
      <c r="H64" s="82">
        <v>1000</v>
      </c>
      <c r="I64" s="79">
        <v>11.62</v>
      </c>
      <c r="J64" s="44">
        <v>0.25</v>
      </c>
      <c r="K64" s="44">
        <f t="shared" si="8"/>
        <v>11619.75</v>
      </c>
      <c r="O64" s="83">
        <v>1</v>
      </c>
      <c r="P64" s="83">
        <f t="shared" si="9"/>
        <v>17.23</v>
      </c>
      <c r="W64" s="133">
        <v>42677</v>
      </c>
      <c r="X64" s="10">
        <v>13.77</v>
      </c>
      <c r="Y64" s="10">
        <v>14.76</v>
      </c>
      <c r="Z64" s="10">
        <v>13.71</v>
      </c>
      <c r="AA64" s="10">
        <v>14.15</v>
      </c>
      <c r="AB64" s="95">
        <v>38327500</v>
      </c>
      <c r="AC64" s="10">
        <v>14.1</v>
      </c>
      <c r="AE64" s="138">
        <f t="shared" si="4"/>
        <v>0.10675039246467821</v>
      </c>
    </row>
    <row r="65" spans="1:31" x14ac:dyDescent="0.25">
      <c r="B65" s="506">
        <v>42009</v>
      </c>
      <c r="C65" s="7">
        <v>500</v>
      </c>
      <c r="D65" s="79">
        <v>12.62</v>
      </c>
      <c r="E65" s="44">
        <v>0</v>
      </c>
      <c r="F65" s="44">
        <f t="shared" si="1"/>
        <v>6310</v>
      </c>
      <c r="G65" s="459">
        <v>42451</v>
      </c>
      <c r="H65" s="82">
        <v>1000</v>
      </c>
      <c r="I65" s="79">
        <v>11.45</v>
      </c>
      <c r="J65" s="44">
        <v>0.25</v>
      </c>
      <c r="K65" s="44">
        <f t="shared" si="8"/>
        <v>11449.75</v>
      </c>
      <c r="O65" s="83">
        <v>0.99</v>
      </c>
      <c r="P65" s="83">
        <f t="shared" si="9"/>
        <v>17.057700000000001</v>
      </c>
      <c r="W65" s="133">
        <v>42676</v>
      </c>
      <c r="X65" s="10">
        <v>13.06</v>
      </c>
      <c r="Y65" s="10">
        <v>13.1</v>
      </c>
      <c r="Z65" s="10">
        <v>12.36</v>
      </c>
      <c r="AA65" s="10">
        <v>12.78</v>
      </c>
      <c r="AB65" s="95">
        <v>26197400</v>
      </c>
      <c r="AC65" s="10">
        <v>12.74</v>
      </c>
      <c r="AE65" s="138">
        <f t="shared" si="4"/>
        <v>-3.703703703703709E-2</v>
      </c>
    </row>
    <row r="66" spans="1:31" x14ac:dyDescent="0.25">
      <c r="B66" s="506">
        <v>42009</v>
      </c>
      <c r="C66" s="7">
        <v>500</v>
      </c>
      <c r="D66" s="79">
        <v>12.45</v>
      </c>
      <c r="E66" s="44">
        <v>0</v>
      </c>
      <c r="F66" s="44">
        <f t="shared" si="1"/>
        <v>6225</v>
      </c>
      <c r="G66" s="459">
        <v>42451</v>
      </c>
      <c r="H66" s="82">
        <v>50</v>
      </c>
      <c r="I66" s="79">
        <v>11.28</v>
      </c>
      <c r="J66" s="44">
        <v>0.01</v>
      </c>
      <c r="K66" s="44">
        <f t="shared" si="8"/>
        <v>563.99</v>
      </c>
      <c r="O66" s="83">
        <v>0.98</v>
      </c>
      <c r="P66" s="83">
        <f t="shared" si="9"/>
        <v>16.885400000000001</v>
      </c>
      <c r="W66" s="133">
        <v>42675</v>
      </c>
      <c r="X66" s="10">
        <v>13.37</v>
      </c>
      <c r="Y66" s="10">
        <v>13.53</v>
      </c>
      <c r="Z66" s="10">
        <v>12.87</v>
      </c>
      <c r="AA66" s="10">
        <v>13.27</v>
      </c>
      <c r="AB66" s="95">
        <v>16540200</v>
      </c>
      <c r="AC66" s="10">
        <v>13.23</v>
      </c>
      <c r="AE66" s="138">
        <f t="shared" si="4"/>
        <v>6.8493150684931781E-3</v>
      </c>
    </row>
    <row r="67" spans="1:31" x14ac:dyDescent="0.25">
      <c r="B67" s="507">
        <v>42374</v>
      </c>
      <c r="C67" s="7">
        <v>2000</v>
      </c>
      <c r="D67" s="79">
        <v>12.73</v>
      </c>
      <c r="E67" s="44">
        <v>0</v>
      </c>
      <c r="F67" s="44">
        <f t="shared" ref="F67:F114" si="10">C67*D67+E67</f>
        <v>25460</v>
      </c>
      <c r="G67" s="459">
        <v>42459</v>
      </c>
      <c r="H67" s="82">
        <v>2000</v>
      </c>
      <c r="I67" s="79">
        <v>10.75</v>
      </c>
      <c r="J67" s="44">
        <v>0.47</v>
      </c>
      <c r="K67" s="44">
        <f t="shared" si="8"/>
        <v>21499.53</v>
      </c>
      <c r="O67" s="83">
        <v>0.97</v>
      </c>
      <c r="P67" s="83">
        <f t="shared" si="9"/>
        <v>16.713100000000001</v>
      </c>
      <c r="W67" s="133">
        <v>42674</v>
      </c>
      <c r="X67" s="10">
        <v>13.65</v>
      </c>
      <c r="Y67" s="10">
        <v>13.68</v>
      </c>
      <c r="Z67" s="10">
        <v>13.14</v>
      </c>
      <c r="AA67" s="10">
        <v>13.18</v>
      </c>
      <c r="AB67" s="95">
        <v>16153800</v>
      </c>
      <c r="AC67" s="10">
        <v>13.14</v>
      </c>
      <c r="AE67" s="138" t="e">
        <f>AC67/#REF!-1</f>
        <v>#REF!</v>
      </c>
    </row>
    <row r="68" spans="1:31" x14ac:dyDescent="0.25">
      <c r="B68" s="506">
        <v>42375</v>
      </c>
      <c r="C68" s="7">
        <v>1000</v>
      </c>
      <c r="D68" s="79">
        <v>12.5</v>
      </c>
      <c r="E68" s="44">
        <v>0</v>
      </c>
      <c r="F68" s="44">
        <f t="shared" si="10"/>
        <v>12500</v>
      </c>
      <c r="G68" s="459">
        <v>42460</v>
      </c>
      <c r="H68" s="82">
        <v>1600</v>
      </c>
      <c r="I68" s="79">
        <v>10.95</v>
      </c>
      <c r="J68" s="44">
        <v>2.88</v>
      </c>
      <c r="K68" s="44">
        <f t="shared" si="8"/>
        <v>17517.12</v>
      </c>
      <c r="O68" s="83">
        <v>0.96</v>
      </c>
      <c r="P68" s="83">
        <f t="shared" si="9"/>
        <v>16.540800000000001</v>
      </c>
      <c r="W68" s="133">
        <v>42671</v>
      </c>
      <c r="X68" s="10">
        <v>13.88</v>
      </c>
      <c r="Y68" s="10">
        <v>14.23</v>
      </c>
      <c r="Z68" s="10">
        <v>13.65</v>
      </c>
      <c r="AA68" s="10">
        <v>13.72</v>
      </c>
      <c r="AB68" s="95">
        <v>19045800</v>
      </c>
      <c r="AC68" s="10">
        <v>13.67</v>
      </c>
      <c r="AE68" s="138" t="e">
        <f>#REF!/AC69-1</f>
        <v>#REF!</v>
      </c>
    </row>
    <row r="69" spans="1:31" x14ac:dyDescent="0.25">
      <c r="B69" s="506">
        <v>42375</v>
      </c>
      <c r="C69" s="7">
        <v>1000</v>
      </c>
      <c r="D69" s="79">
        <v>11.7</v>
      </c>
      <c r="E69" s="44">
        <v>0</v>
      </c>
      <c r="F69" s="44">
        <f t="shared" si="10"/>
        <v>11700</v>
      </c>
      <c r="G69" s="459">
        <v>42461</v>
      </c>
      <c r="H69" s="82">
        <v>2000</v>
      </c>
      <c r="I69" s="79">
        <v>10.52</v>
      </c>
      <c r="J69" s="44">
        <v>0.46</v>
      </c>
      <c r="K69" s="44">
        <f t="shared" si="8"/>
        <v>21039.54</v>
      </c>
      <c r="O69" s="83">
        <v>0.95</v>
      </c>
      <c r="P69" s="83">
        <f t="shared" si="9"/>
        <v>16.368500000000001</v>
      </c>
      <c r="W69" s="133" t="s">
        <v>121</v>
      </c>
      <c r="X69" s="10"/>
      <c r="Y69" s="10"/>
      <c r="Z69" s="10"/>
      <c r="AA69" s="10"/>
      <c r="AB69" s="95"/>
      <c r="AC69" s="10"/>
      <c r="AE69" s="138" t="e">
        <f>AC69/AC70-1</f>
        <v>#DIV/0!</v>
      </c>
    </row>
    <row r="70" spans="1:31" x14ac:dyDescent="0.25">
      <c r="B70" s="506">
        <v>42402</v>
      </c>
      <c r="C70" s="7">
        <v>400</v>
      </c>
      <c r="D70" s="79">
        <v>9.1</v>
      </c>
      <c r="E70" s="44">
        <v>0</v>
      </c>
      <c r="F70" s="44">
        <f t="shared" si="10"/>
        <v>3640</v>
      </c>
      <c r="G70" s="459">
        <v>42461</v>
      </c>
      <c r="H70" s="82">
        <v>2000</v>
      </c>
      <c r="I70" s="79">
        <v>10.55</v>
      </c>
      <c r="J70" s="44">
        <v>0.46</v>
      </c>
      <c r="K70" s="44">
        <f t="shared" si="8"/>
        <v>21099.54</v>
      </c>
      <c r="O70" s="83">
        <v>0.94</v>
      </c>
      <c r="P70" s="83">
        <f t="shared" si="9"/>
        <v>16.196200000000001</v>
      </c>
    </row>
    <row r="71" spans="1:31" x14ac:dyDescent="0.25">
      <c r="B71" s="506">
        <v>42411</v>
      </c>
      <c r="C71" s="7">
        <v>500</v>
      </c>
      <c r="D71" s="79">
        <v>6.835</v>
      </c>
      <c r="E71" s="44">
        <v>0</v>
      </c>
      <c r="F71" s="44">
        <f t="shared" si="10"/>
        <v>3417.5</v>
      </c>
      <c r="G71" s="459">
        <v>42465</v>
      </c>
      <c r="H71" s="82">
        <v>100</v>
      </c>
      <c r="I71" s="79">
        <v>10.75</v>
      </c>
      <c r="J71" s="44">
        <v>0.02</v>
      </c>
      <c r="K71" s="44">
        <f t="shared" si="8"/>
        <v>1074.98</v>
      </c>
      <c r="O71" s="83">
        <v>0.93</v>
      </c>
      <c r="P71" s="83">
        <f t="shared" si="9"/>
        <v>16.023900000000001</v>
      </c>
    </row>
    <row r="72" spans="1:31" x14ac:dyDescent="0.25">
      <c r="B72" s="506">
        <v>42412</v>
      </c>
      <c r="C72" s="7">
        <v>200</v>
      </c>
      <c r="D72" s="79">
        <v>7.23</v>
      </c>
      <c r="E72" s="44">
        <v>0</v>
      </c>
      <c r="F72" s="44">
        <f t="shared" si="10"/>
        <v>1446</v>
      </c>
      <c r="G72" s="459">
        <v>42468</v>
      </c>
      <c r="H72" s="82">
        <v>1000</v>
      </c>
      <c r="I72" s="79">
        <v>11.77</v>
      </c>
      <c r="J72" s="44">
        <v>0.26</v>
      </c>
      <c r="K72" s="44">
        <f t="shared" si="8"/>
        <v>11769.74</v>
      </c>
      <c r="O72" s="83">
        <v>0.92</v>
      </c>
      <c r="P72" s="83">
        <f t="shared" si="9"/>
        <v>15.851600000000001</v>
      </c>
    </row>
    <row r="73" spans="1:31" x14ac:dyDescent="0.25">
      <c r="B73" s="506">
        <v>42416</v>
      </c>
      <c r="C73" s="7">
        <v>500</v>
      </c>
      <c r="D73" s="79">
        <v>7.5</v>
      </c>
      <c r="E73" s="44">
        <v>0</v>
      </c>
      <c r="F73" s="44">
        <f t="shared" si="10"/>
        <v>3750</v>
      </c>
      <c r="G73" s="641">
        <v>42472</v>
      </c>
      <c r="H73" s="82">
        <v>420</v>
      </c>
      <c r="I73" s="79">
        <v>13.35</v>
      </c>
      <c r="J73" s="44">
        <v>0.15</v>
      </c>
      <c r="K73" s="44">
        <f t="shared" si="8"/>
        <v>5606.85</v>
      </c>
      <c r="O73" s="83">
        <v>0.91</v>
      </c>
      <c r="P73" s="83">
        <f t="shared" si="9"/>
        <v>15.679300000000001</v>
      </c>
    </row>
    <row r="74" spans="1:31" ht="15" customHeight="1" x14ac:dyDescent="0.25">
      <c r="B74" s="645" t="s">
        <v>182</v>
      </c>
      <c r="C74" s="7">
        <v>3000</v>
      </c>
      <c r="D74" s="79">
        <v>7.55</v>
      </c>
      <c r="E74" s="44">
        <v>0</v>
      </c>
      <c r="F74" s="44">
        <f t="shared" si="10"/>
        <v>22650</v>
      </c>
      <c r="G74" s="641"/>
      <c r="H74" s="82">
        <v>80</v>
      </c>
      <c r="I74" s="79">
        <v>13.35</v>
      </c>
      <c r="J74" s="44">
        <v>0</v>
      </c>
      <c r="K74" s="44">
        <f t="shared" si="8"/>
        <v>1068</v>
      </c>
      <c r="O74" s="83">
        <v>0.9</v>
      </c>
      <c r="P74" s="83">
        <f t="shared" si="9"/>
        <v>15.507000000000001</v>
      </c>
    </row>
    <row r="75" spans="1:31" x14ac:dyDescent="0.25">
      <c r="B75" s="645"/>
      <c r="C75" s="7">
        <v>500</v>
      </c>
      <c r="D75" s="79">
        <v>6.75</v>
      </c>
      <c r="E75" s="44">
        <v>0</v>
      </c>
      <c r="F75" s="44">
        <f t="shared" si="10"/>
        <v>3375</v>
      </c>
      <c r="G75" s="459">
        <v>42472</v>
      </c>
      <c r="H75" s="82">
        <v>500</v>
      </c>
      <c r="I75" s="79">
        <v>13.15</v>
      </c>
      <c r="J75" s="44">
        <v>0.14000000000000001</v>
      </c>
      <c r="K75" s="44">
        <f t="shared" ref="K75:K107" si="11">H75*I75-J75</f>
        <v>6574.86</v>
      </c>
      <c r="O75" s="83">
        <v>0.89</v>
      </c>
      <c r="P75" s="83">
        <f>O75*$Q$4</f>
        <v>15.3347</v>
      </c>
    </row>
    <row r="76" spans="1:31" x14ac:dyDescent="0.25">
      <c r="B76" s="645"/>
      <c r="C76" s="7">
        <v>300</v>
      </c>
      <c r="D76" s="79">
        <v>6.75</v>
      </c>
      <c r="E76" s="44">
        <v>0</v>
      </c>
      <c r="F76" s="44">
        <f t="shared" si="10"/>
        <v>2025</v>
      </c>
      <c r="G76" s="459">
        <v>42472</v>
      </c>
      <c r="H76" s="82">
        <v>500</v>
      </c>
      <c r="I76" s="79">
        <v>12.92</v>
      </c>
      <c r="J76" s="44">
        <v>0.14000000000000001</v>
      </c>
      <c r="K76" s="44">
        <f t="shared" si="11"/>
        <v>6459.86</v>
      </c>
      <c r="O76" s="83">
        <v>0.88</v>
      </c>
      <c r="P76" s="83">
        <f>O76*$Q$4</f>
        <v>15.1624</v>
      </c>
    </row>
    <row r="77" spans="1:31" x14ac:dyDescent="0.25">
      <c r="B77" s="506">
        <v>42426</v>
      </c>
      <c r="C77" s="7">
        <v>600</v>
      </c>
      <c r="D77" s="79">
        <v>7.63</v>
      </c>
      <c r="E77" s="44">
        <v>0</v>
      </c>
      <c r="F77" s="44">
        <f t="shared" si="10"/>
        <v>4578</v>
      </c>
      <c r="G77" s="459">
        <v>42472</v>
      </c>
      <c r="H77" s="82">
        <v>500</v>
      </c>
      <c r="I77" s="79">
        <v>12.59</v>
      </c>
      <c r="J77" s="44">
        <v>0.14000000000000001</v>
      </c>
      <c r="K77" s="44">
        <f t="shared" si="11"/>
        <v>6294.86</v>
      </c>
      <c r="O77" s="83">
        <v>0.87</v>
      </c>
      <c r="P77" s="83">
        <f>O77*$Q$4</f>
        <v>14.9901</v>
      </c>
    </row>
    <row r="78" spans="1:31" x14ac:dyDescent="0.25">
      <c r="B78" s="506">
        <v>42426</v>
      </c>
      <c r="C78" s="7">
        <v>2000</v>
      </c>
      <c r="D78" s="79">
        <v>7.95</v>
      </c>
      <c r="E78" s="44">
        <v>0</v>
      </c>
      <c r="F78" s="44">
        <f t="shared" si="10"/>
        <v>15900</v>
      </c>
      <c r="G78" s="459">
        <v>42474</v>
      </c>
      <c r="H78" s="82">
        <v>500</v>
      </c>
      <c r="I78" s="79">
        <v>13.18</v>
      </c>
      <c r="J78" s="44">
        <v>0.14000000000000001</v>
      </c>
      <c r="K78" s="44">
        <f t="shared" si="11"/>
        <v>6589.86</v>
      </c>
      <c r="O78" s="83">
        <v>0.86</v>
      </c>
      <c r="P78" s="83">
        <f>O78*$Q$4</f>
        <v>14.8178</v>
      </c>
    </row>
    <row r="79" spans="1:31" x14ac:dyDescent="0.25">
      <c r="B79" s="506">
        <v>42429</v>
      </c>
      <c r="C79" s="7">
        <v>2000</v>
      </c>
      <c r="D79" s="79">
        <v>8.1999999999999993</v>
      </c>
      <c r="E79" s="44">
        <v>0</v>
      </c>
      <c r="F79" s="44">
        <f t="shared" si="10"/>
        <v>16400</v>
      </c>
      <c r="G79" s="459">
        <v>42478</v>
      </c>
      <c r="H79" s="82">
        <v>500</v>
      </c>
      <c r="I79" s="79">
        <v>13.4</v>
      </c>
      <c r="J79" s="44">
        <v>0.15</v>
      </c>
      <c r="K79" s="44">
        <f t="shared" si="11"/>
        <v>6699.85</v>
      </c>
      <c r="O79" s="83">
        <v>0.85</v>
      </c>
      <c r="P79" s="83">
        <f>O79*$Q$4</f>
        <v>14.6455</v>
      </c>
    </row>
    <row r="80" spans="1:31" x14ac:dyDescent="0.25">
      <c r="A80" s="2"/>
      <c r="B80" s="506">
        <v>42429</v>
      </c>
      <c r="C80" s="7">
        <v>500</v>
      </c>
      <c r="D80" s="79">
        <v>7.88</v>
      </c>
      <c r="E80" s="44">
        <v>0</v>
      </c>
      <c r="F80" s="44">
        <f t="shared" si="10"/>
        <v>3940</v>
      </c>
      <c r="G80" s="459">
        <v>42486</v>
      </c>
      <c r="H80" s="82">
        <v>500</v>
      </c>
      <c r="I80" s="79">
        <v>14.35</v>
      </c>
      <c r="J80" s="44">
        <v>0.16</v>
      </c>
      <c r="K80" s="44">
        <f t="shared" si="11"/>
        <v>7174.84</v>
      </c>
    </row>
    <row r="81" spans="2:11" x14ac:dyDescent="0.25">
      <c r="B81" s="506">
        <v>42430</v>
      </c>
      <c r="C81" s="7">
        <v>1000</v>
      </c>
      <c r="D81" s="79">
        <v>7.77</v>
      </c>
      <c r="E81" s="44">
        <v>0</v>
      </c>
      <c r="F81" s="44">
        <f t="shared" si="10"/>
        <v>7770</v>
      </c>
      <c r="G81" s="459">
        <v>42487</v>
      </c>
      <c r="H81" s="82">
        <v>600</v>
      </c>
      <c r="I81" s="79">
        <v>14.85</v>
      </c>
      <c r="J81" s="44">
        <v>0.19</v>
      </c>
      <c r="K81" s="44">
        <f t="shared" si="11"/>
        <v>8909.81</v>
      </c>
    </row>
    <row r="82" spans="2:11" x14ac:dyDescent="0.25">
      <c r="B82" s="506">
        <v>42430</v>
      </c>
      <c r="C82" s="7">
        <v>500</v>
      </c>
      <c r="D82" s="79">
        <v>7.94</v>
      </c>
      <c r="E82" s="44">
        <v>0</v>
      </c>
      <c r="F82" s="44">
        <f t="shared" si="10"/>
        <v>3970</v>
      </c>
      <c r="G82" s="459">
        <v>42489</v>
      </c>
      <c r="H82" s="82">
        <v>3000</v>
      </c>
      <c r="I82" s="79">
        <v>14.15</v>
      </c>
      <c r="J82" s="44">
        <v>0.93</v>
      </c>
      <c r="K82" s="44">
        <f t="shared" si="11"/>
        <v>42449.07</v>
      </c>
    </row>
    <row r="83" spans="2:11" x14ac:dyDescent="0.25">
      <c r="B83" s="506">
        <v>42431</v>
      </c>
      <c r="C83" s="7">
        <v>1000</v>
      </c>
      <c r="D83" s="79">
        <v>8.3699999999999992</v>
      </c>
      <c r="E83" s="44">
        <v>0</v>
      </c>
      <c r="F83" s="44">
        <f t="shared" si="10"/>
        <v>8370</v>
      </c>
      <c r="G83" s="459">
        <v>42492</v>
      </c>
      <c r="H83" s="82">
        <v>1000</v>
      </c>
      <c r="I83" s="79">
        <v>13.48</v>
      </c>
      <c r="J83" s="44">
        <v>0.28999999999999998</v>
      </c>
      <c r="K83" s="44">
        <f t="shared" si="11"/>
        <v>13479.71</v>
      </c>
    </row>
    <row r="84" spans="2:11" x14ac:dyDescent="0.25">
      <c r="B84" s="506">
        <v>42432</v>
      </c>
      <c r="C84" s="7">
        <v>600</v>
      </c>
      <c r="D84" s="79">
        <v>9.3699999999999992</v>
      </c>
      <c r="E84" s="44">
        <v>0</v>
      </c>
      <c r="F84" s="44">
        <f t="shared" si="10"/>
        <v>5621.9999999999991</v>
      </c>
      <c r="G84" s="459">
        <v>42492</v>
      </c>
      <c r="H84" s="82">
        <v>1000</v>
      </c>
      <c r="I84" s="79">
        <v>13.61</v>
      </c>
      <c r="J84" s="44">
        <v>0.3</v>
      </c>
      <c r="K84" s="44">
        <f t="shared" si="11"/>
        <v>13609.7</v>
      </c>
    </row>
    <row r="85" spans="2:11" x14ac:dyDescent="0.25">
      <c r="B85" s="506">
        <v>42432</v>
      </c>
      <c r="C85" s="7">
        <v>600</v>
      </c>
      <c r="D85" s="79">
        <v>8.8800000000000008</v>
      </c>
      <c r="E85" s="44">
        <v>0</v>
      </c>
      <c r="F85" s="44">
        <f t="shared" si="10"/>
        <v>5328.0000000000009</v>
      </c>
      <c r="G85" s="459">
        <v>42493</v>
      </c>
      <c r="H85" s="82">
        <v>322</v>
      </c>
      <c r="I85" s="79">
        <v>13.28</v>
      </c>
      <c r="J85" s="44">
        <v>0.09</v>
      </c>
      <c r="K85" s="44">
        <f t="shared" si="11"/>
        <v>4276.07</v>
      </c>
    </row>
    <row r="86" spans="2:11" x14ac:dyDescent="0.25">
      <c r="B86" s="506">
        <v>42433</v>
      </c>
      <c r="C86" s="7">
        <v>600</v>
      </c>
      <c r="D86" s="79">
        <v>10.42</v>
      </c>
      <c r="E86" s="44">
        <v>0</v>
      </c>
      <c r="F86" s="44">
        <f t="shared" si="10"/>
        <v>6252</v>
      </c>
      <c r="G86" s="459">
        <v>42495</v>
      </c>
      <c r="H86" s="82">
        <v>1000</v>
      </c>
      <c r="I86" s="79">
        <v>12.05</v>
      </c>
      <c r="J86" s="44">
        <v>0.26</v>
      </c>
      <c r="K86" s="44">
        <f t="shared" si="11"/>
        <v>12049.74</v>
      </c>
    </row>
    <row r="87" spans="2:11" x14ac:dyDescent="0.25">
      <c r="B87" s="506">
        <v>42440</v>
      </c>
      <c r="C87" s="7">
        <v>400</v>
      </c>
      <c r="D87" s="79">
        <v>11.12</v>
      </c>
      <c r="E87" s="44">
        <v>0</v>
      </c>
      <c r="F87" s="44">
        <f t="shared" si="10"/>
        <v>4448</v>
      </c>
      <c r="G87" s="459">
        <v>42495</v>
      </c>
      <c r="H87" s="82">
        <v>2000</v>
      </c>
      <c r="I87" s="79">
        <v>12.63</v>
      </c>
      <c r="J87" s="44">
        <v>0.55000000000000004</v>
      </c>
      <c r="K87" s="44">
        <f t="shared" si="11"/>
        <v>25259.45</v>
      </c>
    </row>
    <row r="88" spans="2:11" x14ac:dyDescent="0.25">
      <c r="B88" s="506">
        <v>42446</v>
      </c>
      <c r="C88" s="7">
        <v>1500</v>
      </c>
      <c r="D88" s="79">
        <v>11.445</v>
      </c>
      <c r="E88" s="44">
        <v>0</v>
      </c>
      <c r="F88" s="44">
        <f t="shared" si="10"/>
        <v>17167.5</v>
      </c>
      <c r="G88" s="459">
        <v>42500</v>
      </c>
      <c r="H88" s="82">
        <v>1000</v>
      </c>
      <c r="I88" s="79">
        <v>11.66</v>
      </c>
      <c r="J88" s="44">
        <v>5.25</v>
      </c>
      <c r="K88" s="44">
        <f t="shared" si="11"/>
        <v>11654.75</v>
      </c>
    </row>
    <row r="89" spans="2:11" x14ac:dyDescent="0.25">
      <c r="B89" s="643">
        <v>42447</v>
      </c>
      <c r="C89" s="7">
        <v>1500</v>
      </c>
      <c r="D89" s="79">
        <v>11.42</v>
      </c>
      <c r="E89" s="44">
        <v>0</v>
      </c>
      <c r="F89" s="44">
        <f t="shared" si="10"/>
        <v>17130</v>
      </c>
      <c r="G89" s="459">
        <v>42502</v>
      </c>
      <c r="H89" s="82">
        <v>1500</v>
      </c>
      <c r="I89" s="79">
        <v>12.36</v>
      </c>
      <c r="J89" s="44">
        <v>0.4</v>
      </c>
      <c r="K89" s="44">
        <f t="shared" si="11"/>
        <v>18539.599999999999</v>
      </c>
    </row>
    <row r="90" spans="2:11" x14ac:dyDescent="0.25">
      <c r="B90" s="644"/>
      <c r="C90" s="7">
        <v>500</v>
      </c>
      <c r="D90" s="79">
        <v>11.42</v>
      </c>
      <c r="E90" s="44">
        <v>0</v>
      </c>
      <c r="F90" s="44">
        <f t="shared" si="10"/>
        <v>5710</v>
      </c>
      <c r="G90" s="459">
        <v>42503</v>
      </c>
      <c r="H90" s="82">
        <v>500</v>
      </c>
      <c r="I90" s="79">
        <v>12.49</v>
      </c>
      <c r="J90" s="44">
        <v>0.14000000000000001</v>
      </c>
      <c r="K90" s="44">
        <f t="shared" si="11"/>
        <v>6244.86</v>
      </c>
    </row>
    <row r="91" spans="2:11" x14ac:dyDescent="0.25">
      <c r="B91" s="506">
        <v>42447</v>
      </c>
      <c r="C91" s="7">
        <v>650</v>
      </c>
      <c r="D91" s="79">
        <v>11.545</v>
      </c>
      <c r="E91" s="44">
        <v>0.75</v>
      </c>
      <c r="F91" s="44">
        <f t="shared" si="10"/>
        <v>7505</v>
      </c>
      <c r="G91" s="459">
        <v>42506</v>
      </c>
      <c r="H91" s="82">
        <v>300</v>
      </c>
      <c r="I91" s="79">
        <v>12.85</v>
      </c>
      <c r="J91" s="44">
        <v>0.08</v>
      </c>
      <c r="K91" s="44">
        <f t="shared" si="11"/>
        <v>3854.92</v>
      </c>
    </row>
    <row r="92" spans="2:11" x14ac:dyDescent="0.25">
      <c r="B92" s="506">
        <v>42450</v>
      </c>
      <c r="C92" s="7">
        <v>1350</v>
      </c>
      <c r="D92" s="79">
        <v>11.42</v>
      </c>
      <c r="E92" s="44">
        <v>0</v>
      </c>
      <c r="F92" s="44">
        <f t="shared" si="10"/>
        <v>15417</v>
      </c>
      <c r="G92" s="459">
        <v>42513</v>
      </c>
      <c r="H92" s="82">
        <v>500</v>
      </c>
      <c r="I92" s="79">
        <v>13.05</v>
      </c>
      <c r="J92" s="44">
        <v>0.14000000000000001</v>
      </c>
      <c r="K92" s="44">
        <f t="shared" si="11"/>
        <v>6524.86</v>
      </c>
    </row>
    <row r="93" spans="2:11" x14ac:dyDescent="0.25">
      <c r="B93" s="506">
        <v>42451</v>
      </c>
      <c r="C93" s="7">
        <v>1000</v>
      </c>
      <c r="D93" s="79">
        <v>11.38</v>
      </c>
      <c r="E93" s="44">
        <v>0</v>
      </c>
      <c r="F93" s="44">
        <f t="shared" si="10"/>
        <v>11380</v>
      </c>
      <c r="G93" s="459">
        <v>42515</v>
      </c>
      <c r="H93" s="82">
        <v>500</v>
      </c>
      <c r="I93" s="79">
        <v>13.59</v>
      </c>
      <c r="J93" s="44">
        <v>0.15</v>
      </c>
      <c r="K93" s="44">
        <f t="shared" si="11"/>
        <v>6794.85</v>
      </c>
    </row>
    <row r="94" spans="2:11" x14ac:dyDescent="0.25">
      <c r="B94" s="643">
        <v>42451</v>
      </c>
      <c r="C94" s="7">
        <v>50</v>
      </c>
      <c r="D94" s="79">
        <v>11.22</v>
      </c>
      <c r="E94" s="44">
        <v>0</v>
      </c>
      <c r="F94" s="44">
        <f t="shared" si="10"/>
        <v>561</v>
      </c>
      <c r="G94" s="459">
        <v>42515</v>
      </c>
      <c r="H94" s="82">
        <v>500</v>
      </c>
      <c r="I94" s="79">
        <v>13.57</v>
      </c>
      <c r="J94" s="44">
        <v>0.15</v>
      </c>
      <c r="K94" s="44">
        <f t="shared" si="11"/>
        <v>6784.85</v>
      </c>
    </row>
    <row r="95" spans="2:11" x14ac:dyDescent="0.25">
      <c r="B95" s="643"/>
      <c r="C95" s="7">
        <v>350</v>
      </c>
      <c r="D95" s="79">
        <v>11.22</v>
      </c>
      <c r="E95" s="44">
        <v>0</v>
      </c>
      <c r="F95" s="44">
        <f t="shared" si="10"/>
        <v>3927</v>
      </c>
      <c r="G95" s="459">
        <v>42517</v>
      </c>
      <c r="H95" s="82">
        <v>500</v>
      </c>
      <c r="I95" s="79">
        <v>12.87</v>
      </c>
      <c r="J95" s="44">
        <v>0.14000000000000001</v>
      </c>
      <c r="K95" s="44">
        <f t="shared" si="11"/>
        <v>6434.86</v>
      </c>
    </row>
    <row r="96" spans="2:11" x14ac:dyDescent="0.25">
      <c r="B96" s="645" t="s">
        <v>197</v>
      </c>
      <c r="C96" s="7">
        <v>650</v>
      </c>
      <c r="D96" s="79">
        <v>11.22</v>
      </c>
      <c r="E96" s="44">
        <v>0</v>
      </c>
      <c r="F96" s="44">
        <f t="shared" si="10"/>
        <v>7293</v>
      </c>
      <c r="G96" s="459">
        <v>42524</v>
      </c>
      <c r="H96" s="82">
        <v>400</v>
      </c>
      <c r="I96" s="79">
        <v>13.38</v>
      </c>
      <c r="J96" s="44">
        <v>0.12</v>
      </c>
      <c r="K96" s="44">
        <f t="shared" si="11"/>
        <v>5351.88</v>
      </c>
    </row>
    <row r="97" spans="2:14" x14ac:dyDescent="0.25">
      <c r="B97" s="645"/>
      <c r="C97" s="7">
        <v>500</v>
      </c>
      <c r="D97" s="79">
        <v>11.01</v>
      </c>
      <c r="E97" s="44">
        <v>0</v>
      </c>
      <c r="F97" s="44">
        <f t="shared" si="10"/>
        <v>5505</v>
      </c>
      <c r="G97" s="459">
        <v>42527</v>
      </c>
      <c r="H97" s="82">
        <v>1000</v>
      </c>
      <c r="I97" s="79">
        <v>13.82</v>
      </c>
      <c r="J97" s="44">
        <v>0.3</v>
      </c>
      <c r="K97" s="44">
        <f t="shared" si="11"/>
        <v>13819.7</v>
      </c>
    </row>
    <row r="98" spans="2:14" x14ac:dyDescent="0.25">
      <c r="B98" s="645"/>
      <c r="C98" s="7">
        <v>500</v>
      </c>
      <c r="D98" s="79">
        <v>10.75</v>
      </c>
      <c r="E98" s="44">
        <v>0</v>
      </c>
      <c r="F98" s="44">
        <f t="shared" si="10"/>
        <v>5375</v>
      </c>
      <c r="G98" s="459">
        <v>42527</v>
      </c>
      <c r="H98" s="82">
        <v>500</v>
      </c>
      <c r="I98" s="79">
        <v>13.97</v>
      </c>
      <c r="J98" s="44">
        <v>1.1499999999999999</v>
      </c>
      <c r="K98" s="44">
        <f t="shared" si="11"/>
        <v>6983.85</v>
      </c>
    </row>
    <row r="99" spans="2:14" x14ac:dyDescent="0.25">
      <c r="B99" s="645"/>
      <c r="C99" s="7">
        <v>1000</v>
      </c>
      <c r="D99" s="79">
        <v>10.4</v>
      </c>
      <c r="E99" s="44">
        <v>0</v>
      </c>
      <c r="F99" s="44">
        <f t="shared" si="10"/>
        <v>10400</v>
      </c>
      <c r="G99" s="459">
        <v>42528</v>
      </c>
      <c r="H99" s="82">
        <v>500</v>
      </c>
      <c r="I99" s="79">
        <v>14.65</v>
      </c>
      <c r="J99" s="44">
        <v>0.16</v>
      </c>
      <c r="K99" s="44">
        <f t="shared" si="11"/>
        <v>7324.84</v>
      </c>
    </row>
    <row r="100" spans="2:14" x14ac:dyDescent="0.25">
      <c r="B100" s="645"/>
      <c r="C100" s="7">
        <v>1000</v>
      </c>
      <c r="D100" s="79">
        <v>10.185</v>
      </c>
      <c r="E100" s="44">
        <v>0</v>
      </c>
      <c r="F100" s="44">
        <f t="shared" si="10"/>
        <v>10185</v>
      </c>
      <c r="G100" s="459">
        <v>42536</v>
      </c>
      <c r="H100" s="82">
        <v>400</v>
      </c>
      <c r="I100" s="79">
        <v>13.43</v>
      </c>
      <c r="J100" s="44">
        <v>0.12</v>
      </c>
      <c r="K100" s="44">
        <f t="shared" si="11"/>
        <v>5371.88</v>
      </c>
    </row>
    <row r="101" spans="2:14" x14ac:dyDescent="0.25">
      <c r="B101" s="506">
        <v>42461</v>
      </c>
      <c r="C101" s="7">
        <v>2000</v>
      </c>
      <c r="D101" s="79">
        <v>10.43</v>
      </c>
      <c r="E101" s="44">
        <v>0</v>
      </c>
      <c r="F101" s="44">
        <f t="shared" si="10"/>
        <v>20860</v>
      </c>
      <c r="G101" s="459">
        <v>42537</v>
      </c>
      <c r="H101" s="82">
        <v>400</v>
      </c>
      <c r="I101" s="79">
        <v>12.69</v>
      </c>
      <c r="J101" s="44">
        <v>0.11</v>
      </c>
      <c r="K101" s="44">
        <f t="shared" si="11"/>
        <v>5075.8900000000003</v>
      </c>
    </row>
    <row r="102" spans="2:14" x14ac:dyDescent="0.25">
      <c r="B102" s="506">
        <v>42461</v>
      </c>
      <c r="C102" s="7">
        <v>2000</v>
      </c>
      <c r="D102" s="79">
        <v>10.42</v>
      </c>
      <c r="E102" s="44">
        <v>0</v>
      </c>
      <c r="F102" s="44">
        <f t="shared" si="10"/>
        <v>20840</v>
      </c>
      <c r="G102" s="459">
        <v>42538</v>
      </c>
      <c r="H102" s="82">
        <v>500</v>
      </c>
      <c r="I102" s="79">
        <v>13.34</v>
      </c>
      <c r="J102" s="44">
        <v>0.15</v>
      </c>
      <c r="K102" s="44">
        <f t="shared" si="11"/>
        <v>6669.85</v>
      </c>
    </row>
    <row r="103" spans="2:14" x14ac:dyDescent="0.25">
      <c r="B103" s="506">
        <v>42465</v>
      </c>
      <c r="C103" s="7">
        <v>100</v>
      </c>
      <c r="D103" s="79">
        <v>10.4</v>
      </c>
      <c r="E103" s="44">
        <v>0</v>
      </c>
      <c r="F103" s="44">
        <f t="shared" si="10"/>
        <v>1040</v>
      </c>
      <c r="G103" s="651" t="s">
        <v>226</v>
      </c>
      <c r="H103" s="82">
        <v>500</v>
      </c>
      <c r="I103" s="79">
        <v>13.91</v>
      </c>
      <c r="J103" s="44">
        <v>0.15</v>
      </c>
      <c r="K103" s="44">
        <f t="shared" si="11"/>
        <v>6954.85</v>
      </c>
    </row>
    <row r="104" spans="2:14" x14ac:dyDescent="0.25">
      <c r="B104" s="506">
        <v>42471</v>
      </c>
      <c r="C104" s="7">
        <v>500</v>
      </c>
      <c r="D104" s="79">
        <v>11.77</v>
      </c>
      <c r="E104" s="44">
        <v>0</v>
      </c>
      <c r="F104" s="44">
        <f t="shared" si="10"/>
        <v>5885</v>
      </c>
      <c r="G104" s="651"/>
      <c r="H104" s="82">
        <v>600</v>
      </c>
      <c r="I104" s="79">
        <v>14.36</v>
      </c>
      <c r="J104" s="44">
        <v>0.19</v>
      </c>
      <c r="K104" s="44">
        <f t="shared" si="11"/>
        <v>8615.81</v>
      </c>
    </row>
    <row r="105" spans="2:14" x14ac:dyDescent="0.25">
      <c r="B105" s="506">
        <v>42471</v>
      </c>
      <c r="C105" s="7">
        <v>500</v>
      </c>
      <c r="D105" s="79">
        <v>11.55</v>
      </c>
      <c r="E105" s="44">
        <v>0</v>
      </c>
      <c r="F105" s="44">
        <f t="shared" si="10"/>
        <v>5775</v>
      </c>
      <c r="G105" s="651"/>
      <c r="H105" s="82">
        <v>500</v>
      </c>
      <c r="I105" s="79">
        <v>14.65</v>
      </c>
      <c r="J105" s="44">
        <v>0.16</v>
      </c>
      <c r="K105" s="44">
        <f t="shared" si="11"/>
        <v>7324.84</v>
      </c>
    </row>
    <row r="106" spans="2:14" x14ac:dyDescent="0.25">
      <c r="B106" s="506">
        <v>42472</v>
      </c>
      <c r="C106" s="7">
        <v>610</v>
      </c>
      <c r="D106" s="79">
        <v>12.95</v>
      </c>
      <c r="E106" s="44">
        <v>0</v>
      </c>
      <c r="F106" s="44">
        <f t="shared" si="10"/>
        <v>7899.5</v>
      </c>
      <c r="G106" s="459">
        <v>42542</v>
      </c>
      <c r="H106" s="82">
        <v>500</v>
      </c>
      <c r="I106" s="79">
        <v>14.95</v>
      </c>
      <c r="J106" s="44">
        <v>0.16</v>
      </c>
      <c r="K106" s="44">
        <f t="shared" si="11"/>
        <v>7474.84</v>
      </c>
    </row>
    <row r="107" spans="2:14" x14ac:dyDescent="0.25">
      <c r="B107" s="506">
        <v>42473</v>
      </c>
      <c r="C107" s="7">
        <v>970</v>
      </c>
      <c r="D107" s="79">
        <v>12.76</v>
      </c>
      <c r="E107" s="44">
        <v>4.0999999999999996</v>
      </c>
      <c r="F107" s="44">
        <f t="shared" si="10"/>
        <v>12381.3</v>
      </c>
      <c r="G107" s="459">
        <v>42542</v>
      </c>
      <c r="H107" s="82">
        <v>378</v>
      </c>
      <c r="I107" s="79">
        <v>15.2</v>
      </c>
      <c r="J107" s="44">
        <v>0.13</v>
      </c>
      <c r="K107" s="44">
        <f t="shared" si="11"/>
        <v>5745.4699999999993</v>
      </c>
    </row>
    <row r="108" spans="2:14" x14ac:dyDescent="0.25">
      <c r="B108" s="506">
        <v>42474</v>
      </c>
      <c r="C108" s="7">
        <v>420</v>
      </c>
      <c r="D108" s="79">
        <v>12.755000000000001</v>
      </c>
      <c r="E108" s="44">
        <v>0.34</v>
      </c>
      <c r="F108" s="44">
        <f t="shared" si="10"/>
        <v>5357.4400000000005</v>
      </c>
      <c r="G108" s="458"/>
      <c r="H108" s="82"/>
      <c r="I108" s="79"/>
      <c r="J108" s="44"/>
      <c r="K108" s="44"/>
    </row>
    <row r="109" spans="2:14" x14ac:dyDescent="0.25">
      <c r="B109" s="506">
        <v>42475</v>
      </c>
      <c r="C109" s="7">
        <v>500</v>
      </c>
      <c r="D109" s="79">
        <v>13.02</v>
      </c>
      <c r="E109" s="44">
        <v>-1.75</v>
      </c>
      <c r="F109" s="44">
        <f t="shared" si="10"/>
        <v>6508.25</v>
      </c>
      <c r="G109" s="458"/>
      <c r="H109" s="82"/>
      <c r="I109" s="79"/>
      <c r="J109" s="44"/>
      <c r="K109" s="44"/>
    </row>
    <row r="110" spans="2:14" x14ac:dyDescent="0.25">
      <c r="B110" s="506">
        <v>42485</v>
      </c>
      <c r="C110" s="7">
        <v>500</v>
      </c>
      <c r="D110" s="79">
        <v>13.95</v>
      </c>
      <c r="E110" s="44">
        <v>0</v>
      </c>
      <c r="F110" s="44">
        <f t="shared" si="10"/>
        <v>6975</v>
      </c>
      <c r="G110" s="458"/>
      <c r="H110" s="82"/>
      <c r="I110" s="79"/>
      <c r="J110" s="44"/>
      <c r="K110" s="44"/>
      <c r="N110" s="72"/>
    </row>
    <row r="111" spans="2:14" x14ac:dyDescent="0.25">
      <c r="B111" s="506">
        <v>42487</v>
      </c>
      <c r="C111" s="7">
        <v>600</v>
      </c>
      <c r="D111" s="79">
        <v>14.63</v>
      </c>
      <c r="E111" s="44">
        <v>0</v>
      </c>
      <c r="F111" s="44">
        <f t="shared" si="10"/>
        <v>8778</v>
      </c>
      <c r="G111" s="458"/>
      <c r="H111" s="82"/>
      <c r="I111" s="79"/>
      <c r="J111" s="44"/>
      <c r="K111" s="44"/>
    </row>
    <row r="112" spans="2:14" x14ac:dyDescent="0.25">
      <c r="B112" s="506">
        <v>42488</v>
      </c>
      <c r="C112" s="7">
        <v>500</v>
      </c>
      <c r="D112" s="79">
        <v>14.52</v>
      </c>
      <c r="E112" s="44">
        <v>0</v>
      </c>
      <c r="F112" s="44">
        <f t="shared" si="10"/>
        <v>7260</v>
      </c>
      <c r="G112" s="458"/>
      <c r="H112" s="82"/>
      <c r="I112" s="79"/>
      <c r="J112" s="44"/>
      <c r="K112" s="44"/>
    </row>
    <row r="113" spans="1:11" x14ac:dyDescent="0.25">
      <c r="A113" s="649" t="s">
        <v>202</v>
      </c>
      <c r="B113" s="506">
        <v>42489</v>
      </c>
      <c r="C113" s="7">
        <v>500</v>
      </c>
      <c r="D113" s="79">
        <v>14.35</v>
      </c>
      <c r="E113" s="44">
        <v>0</v>
      </c>
      <c r="F113" s="44">
        <f t="shared" si="10"/>
        <v>7175</v>
      </c>
      <c r="G113" s="458"/>
      <c r="H113" s="82"/>
      <c r="I113" s="79"/>
      <c r="J113" s="44"/>
      <c r="K113" s="44"/>
    </row>
    <row r="114" spans="1:11" x14ac:dyDescent="0.25">
      <c r="A114" s="649"/>
      <c r="B114" s="506">
        <v>42489</v>
      </c>
      <c r="C114" s="7">
        <v>500</v>
      </c>
      <c r="D114" s="79">
        <v>14.15</v>
      </c>
      <c r="E114" s="44">
        <v>0</v>
      </c>
      <c r="F114" s="44">
        <f t="shared" si="10"/>
        <v>7075</v>
      </c>
      <c r="G114" s="458"/>
      <c r="H114" s="82"/>
      <c r="I114" s="79"/>
      <c r="J114" s="44"/>
      <c r="K114" s="44"/>
    </row>
    <row r="115" spans="1:11" x14ac:dyDescent="0.25">
      <c r="A115" s="649"/>
      <c r="B115" s="506">
        <v>42489</v>
      </c>
      <c r="C115" s="7">
        <v>1000</v>
      </c>
      <c r="D115" s="79">
        <v>13.92</v>
      </c>
      <c r="E115" s="44">
        <v>0</v>
      </c>
      <c r="F115" s="44">
        <f t="shared" ref="F115:F147" si="12">C115*D115+E115</f>
        <v>13920</v>
      </c>
      <c r="G115" s="458"/>
      <c r="H115" s="82"/>
      <c r="I115" s="79"/>
      <c r="J115" s="44"/>
      <c r="K115" s="44"/>
    </row>
    <row r="116" spans="1:11" x14ac:dyDescent="0.25">
      <c r="A116" s="649"/>
      <c r="B116" s="506">
        <v>42489</v>
      </c>
      <c r="C116" s="7">
        <v>1000</v>
      </c>
      <c r="D116" s="79">
        <v>13.8</v>
      </c>
      <c r="E116" s="44">
        <v>0</v>
      </c>
      <c r="F116" s="44">
        <f t="shared" si="12"/>
        <v>13800</v>
      </c>
      <c r="G116" s="458"/>
      <c r="H116" s="82"/>
      <c r="I116" s="79"/>
      <c r="J116" s="44"/>
      <c r="K116" s="44"/>
    </row>
    <row r="117" spans="1:11" x14ac:dyDescent="0.25">
      <c r="B117" s="506">
        <v>42492</v>
      </c>
      <c r="C117" s="7">
        <v>1500</v>
      </c>
      <c r="D117" s="79">
        <v>13.25</v>
      </c>
      <c r="E117" s="44">
        <v>0</v>
      </c>
      <c r="F117" s="44">
        <f t="shared" si="12"/>
        <v>19875</v>
      </c>
      <c r="G117" s="458"/>
      <c r="H117" s="82"/>
      <c r="I117" s="79"/>
      <c r="J117" s="44"/>
      <c r="K117" s="44"/>
    </row>
    <row r="118" spans="1:11" x14ac:dyDescent="0.25">
      <c r="B118" s="506">
        <v>42492</v>
      </c>
      <c r="C118" s="7">
        <v>500</v>
      </c>
      <c r="D118" s="79">
        <v>13.6</v>
      </c>
      <c r="E118" s="44">
        <v>0</v>
      </c>
      <c r="F118" s="44">
        <f t="shared" si="12"/>
        <v>6800</v>
      </c>
      <c r="G118" s="458"/>
      <c r="H118" s="82"/>
      <c r="I118" s="79"/>
      <c r="J118" s="44"/>
      <c r="K118" s="44"/>
    </row>
    <row r="119" spans="1:11" x14ac:dyDescent="0.25">
      <c r="B119" s="506">
        <v>42493</v>
      </c>
      <c r="C119" s="7">
        <v>322</v>
      </c>
      <c r="D119" s="79">
        <v>12.85</v>
      </c>
      <c r="E119" s="44">
        <v>0</v>
      </c>
      <c r="F119" s="44">
        <f t="shared" si="12"/>
        <v>4137.7</v>
      </c>
      <c r="G119" s="458"/>
      <c r="H119" s="82"/>
      <c r="I119" s="79"/>
      <c r="J119" s="44"/>
      <c r="K119" s="44"/>
    </row>
    <row r="120" spans="1:11" x14ac:dyDescent="0.25">
      <c r="A120" s="650" t="s">
        <v>206</v>
      </c>
      <c r="B120" s="506">
        <v>42494</v>
      </c>
      <c r="C120" s="7">
        <v>1000</v>
      </c>
      <c r="D120" s="79">
        <v>12.25</v>
      </c>
      <c r="E120" s="44">
        <v>0</v>
      </c>
      <c r="F120" s="44">
        <f t="shared" si="12"/>
        <v>12250</v>
      </c>
      <c r="G120" s="458"/>
      <c r="H120" s="82"/>
      <c r="I120" s="79"/>
      <c r="J120" s="44"/>
      <c r="K120" s="44"/>
    </row>
    <row r="121" spans="1:11" x14ac:dyDescent="0.25">
      <c r="A121" s="650"/>
      <c r="B121" s="506">
        <v>42494</v>
      </c>
      <c r="C121" s="7">
        <v>500</v>
      </c>
      <c r="D121" s="79">
        <v>12.53</v>
      </c>
      <c r="E121" s="44">
        <v>0</v>
      </c>
      <c r="F121" s="44">
        <f t="shared" si="12"/>
        <v>6265</v>
      </c>
      <c r="G121" s="458"/>
      <c r="H121" s="82"/>
      <c r="I121" s="79"/>
      <c r="J121" s="44"/>
      <c r="K121" s="44"/>
    </row>
    <row r="122" spans="1:11" x14ac:dyDescent="0.25">
      <c r="A122" s="650"/>
      <c r="B122" s="506">
        <v>42494</v>
      </c>
      <c r="C122" s="7">
        <v>500</v>
      </c>
      <c r="D122" s="79">
        <v>12.65</v>
      </c>
      <c r="E122" s="44">
        <v>0</v>
      </c>
      <c r="F122" s="44">
        <f t="shared" si="12"/>
        <v>6325</v>
      </c>
      <c r="G122" s="458"/>
      <c r="H122" s="82"/>
      <c r="I122" s="79"/>
      <c r="J122" s="44"/>
      <c r="K122" s="44"/>
    </row>
    <row r="123" spans="1:11" x14ac:dyDescent="0.25">
      <c r="B123" s="506">
        <v>42495</v>
      </c>
      <c r="C123" s="7">
        <v>1000</v>
      </c>
      <c r="D123" s="79">
        <v>11.95</v>
      </c>
      <c r="E123" s="44">
        <v>0</v>
      </c>
      <c r="F123" s="44">
        <f t="shared" si="12"/>
        <v>11950</v>
      </c>
      <c r="G123" s="458"/>
      <c r="H123" s="82"/>
      <c r="I123" s="79"/>
      <c r="J123" s="44"/>
      <c r="K123" s="44"/>
    </row>
    <row r="124" spans="1:11" x14ac:dyDescent="0.25">
      <c r="B124" s="506">
        <v>42499</v>
      </c>
      <c r="C124" s="7">
        <v>500</v>
      </c>
      <c r="D124" s="79">
        <v>11.48</v>
      </c>
      <c r="E124" s="44">
        <v>0</v>
      </c>
      <c r="F124" s="44">
        <f t="shared" si="12"/>
        <v>5740</v>
      </c>
      <c r="G124" s="458"/>
      <c r="H124" s="82"/>
      <c r="I124" s="79"/>
      <c r="J124" s="44"/>
      <c r="K124" s="44"/>
    </row>
    <row r="125" spans="1:11" x14ac:dyDescent="0.25">
      <c r="B125" s="506">
        <v>42499</v>
      </c>
      <c r="C125" s="7">
        <v>500</v>
      </c>
      <c r="D125" s="79">
        <v>11.32</v>
      </c>
      <c r="E125" s="44">
        <v>0</v>
      </c>
      <c r="F125" s="44">
        <f t="shared" si="12"/>
        <v>5660</v>
      </c>
      <c r="G125" s="458"/>
      <c r="H125" s="82"/>
      <c r="I125" s="79"/>
      <c r="J125" s="44"/>
      <c r="K125" s="44"/>
    </row>
    <row r="126" spans="1:11" x14ac:dyDescent="0.25">
      <c r="A126" s="649" t="s">
        <v>209</v>
      </c>
      <c r="B126" s="506">
        <v>42502</v>
      </c>
      <c r="C126" s="7">
        <v>500</v>
      </c>
      <c r="D126" s="79">
        <v>12.38</v>
      </c>
      <c r="E126" s="44">
        <v>0</v>
      </c>
      <c r="F126" s="44">
        <f t="shared" si="12"/>
        <v>6190</v>
      </c>
      <c r="G126" s="458"/>
      <c r="H126" s="82"/>
      <c r="I126" s="79"/>
      <c r="J126" s="44"/>
      <c r="K126" s="44"/>
    </row>
    <row r="127" spans="1:11" x14ac:dyDescent="0.25">
      <c r="A127" s="649"/>
      <c r="B127" s="506">
        <v>42502</v>
      </c>
      <c r="C127" s="7">
        <v>500</v>
      </c>
      <c r="D127" s="79">
        <v>12.3</v>
      </c>
      <c r="E127" s="44">
        <v>0</v>
      </c>
      <c r="F127" s="44">
        <f t="shared" si="12"/>
        <v>6150</v>
      </c>
      <c r="G127" s="458"/>
      <c r="H127" s="82"/>
      <c r="I127" s="79"/>
      <c r="J127" s="44"/>
      <c r="K127" s="44"/>
    </row>
    <row r="128" spans="1:11" x14ac:dyDescent="0.25">
      <c r="A128" s="649"/>
      <c r="B128" s="506">
        <v>42502</v>
      </c>
      <c r="C128" s="7">
        <v>500</v>
      </c>
      <c r="D128" s="79">
        <v>12.23</v>
      </c>
      <c r="E128" s="44">
        <v>0</v>
      </c>
      <c r="F128" s="44">
        <f t="shared" si="12"/>
        <v>6115</v>
      </c>
      <c r="G128" s="458"/>
      <c r="H128" s="82"/>
      <c r="I128" s="79"/>
      <c r="J128" s="44"/>
      <c r="K128" s="44"/>
    </row>
    <row r="129" spans="2:11" x14ac:dyDescent="0.25">
      <c r="B129" s="506">
        <v>42503</v>
      </c>
      <c r="C129" s="7">
        <v>500</v>
      </c>
      <c r="D129" s="79">
        <v>12.41</v>
      </c>
      <c r="E129" s="44">
        <v>0</v>
      </c>
      <c r="F129" s="44">
        <f t="shared" si="12"/>
        <v>6205</v>
      </c>
      <c r="G129" s="458"/>
      <c r="H129" s="82"/>
      <c r="I129" s="79"/>
      <c r="J129" s="44"/>
      <c r="K129" s="44"/>
    </row>
    <row r="130" spans="2:11" x14ac:dyDescent="0.25">
      <c r="B130" s="506">
        <v>42506</v>
      </c>
      <c r="C130" s="7">
        <v>300</v>
      </c>
      <c r="D130" s="79">
        <v>12.8</v>
      </c>
      <c r="E130" s="44">
        <v>0</v>
      </c>
      <c r="F130" s="44">
        <f t="shared" si="12"/>
        <v>3840</v>
      </c>
      <c r="G130" s="458"/>
      <c r="H130" s="82"/>
      <c r="I130" s="79"/>
      <c r="J130" s="44"/>
      <c r="K130" s="44"/>
    </row>
    <row r="131" spans="2:11" x14ac:dyDescent="0.25">
      <c r="B131" s="506">
        <v>42514</v>
      </c>
      <c r="C131" s="7">
        <v>500</v>
      </c>
      <c r="D131" s="79">
        <v>13.02</v>
      </c>
      <c r="E131" s="44">
        <v>-1.65</v>
      </c>
      <c r="F131" s="44">
        <f t="shared" si="12"/>
        <v>6508.35</v>
      </c>
      <c r="G131" s="458"/>
      <c r="H131" s="82"/>
      <c r="I131" s="79"/>
      <c r="J131" s="44"/>
      <c r="K131" s="44"/>
    </row>
    <row r="132" spans="2:11" x14ac:dyDescent="0.25">
      <c r="B132" s="506">
        <v>42515</v>
      </c>
      <c r="C132" s="7">
        <v>500</v>
      </c>
      <c r="D132" s="79">
        <v>13.45</v>
      </c>
      <c r="E132" s="44">
        <v>1</v>
      </c>
      <c r="F132" s="44">
        <f t="shared" si="12"/>
        <v>6726</v>
      </c>
      <c r="G132" s="458"/>
      <c r="H132" s="82"/>
      <c r="I132" s="79"/>
      <c r="J132" s="44"/>
      <c r="K132" s="44"/>
    </row>
    <row r="133" spans="2:11" x14ac:dyDescent="0.25">
      <c r="B133" s="506">
        <v>42516</v>
      </c>
      <c r="C133" s="7">
        <v>500</v>
      </c>
      <c r="D133" s="79">
        <v>13.28</v>
      </c>
      <c r="E133" s="44">
        <v>-1.04</v>
      </c>
      <c r="F133" s="44">
        <f t="shared" si="12"/>
        <v>6638.96</v>
      </c>
      <c r="G133" s="458"/>
      <c r="H133" s="82"/>
      <c r="I133" s="79"/>
      <c r="J133" s="44"/>
      <c r="K133" s="44"/>
    </row>
    <row r="134" spans="2:11" x14ac:dyDescent="0.25">
      <c r="B134" s="506">
        <v>42517</v>
      </c>
      <c r="C134" s="7">
        <v>500</v>
      </c>
      <c r="D134" s="79">
        <v>12.79</v>
      </c>
      <c r="E134" s="44">
        <v>0</v>
      </c>
      <c r="F134" s="44">
        <f t="shared" si="12"/>
        <v>6395</v>
      </c>
      <c r="G134" s="458"/>
      <c r="H134" s="82"/>
      <c r="I134" s="79"/>
      <c r="J134" s="44"/>
      <c r="K134" s="44"/>
    </row>
    <row r="135" spans="2:11" x14ac:dyDescent="0.25">
      <c r="B135" s="506">
        <v>42524</v>
      </c>
      <c r="C135" s="7">
        <v>400</v>
      </c>
      <c r="D135" s="79">
        <v>13.28</v>
      </c>
      <c r="E135" s="44">
        <v>0</v>
      </c>
      <c r="F135" s="44">
        <f t="shared" si="12"/>
        <v>5312</v>
      </c>
      <c r="G135" s="458"/>
      <c r="H135" s="82"/>
      <c r="I135" s="79"/>
      <c r="J135" s="44"/>
      <c r="K135" s="44"/>
    </row>
    <row r="136" spans="2:11" x14ac:dyDescent="0.25">
      <c r="B136" s="506">
        <v>42529</v>
      </c>
      <c r="C136" s="7">
        <v>500</v>
      </c>
      <c r="D136" s="79">
        <v>14.59</v>
      </c>
      <c r="E136" s="44">
        <v>0</v>
      </c>
      <c r="F136" s="44">
        <f t="shared" si="12"/>
        <v>7295</v>
      </c>
      <c r="G136" s="458"/>
      <c r="H136" s="82"/>
      <c r="I136" s="79"/>
      <c r="J136" s="44"/>
      <c r="K136" s="44"/>
    </row>
    <row r="137" spans="2:11" ht="15" customHeight="1" x14ac:dyDescent="0.25">
      <c r="B137" s="506">
        <v>42531</v>
      </c>
      <c r="C137" s="7">
        <v>800</v>
      </c>
      <c r="D137" s="79">
        <v>13.79</v>
      </c>
      <c r="E137" s="44">
        <v>0</v>
      </c>
      <c r="F137" s="44">
        <f t="shared" si="12"/>
        <v>11032</v>
      </c>
      <c r="G137" s="458"/>
      <c r="H137" s="82"/>
      <c r="I137" s="79"/>
      <c r="J137" s="44"/>
      <c r="K137" s="44"/>
    </row>
    <row r="138" spans="2:11" x14ac:dyDescent="0.25">
      <c r="B138" s="506">
        <v>42531</v>
      </c>
      <c r="C138" s="7">
        <v>300</v>
      </c>
      <c r="D138" s="79">
        <v>13.4</v>
      </c>
      <c r="E138" s="44">
        <v>0</v>
      </c>
      <c r="F138" s="44">
        <f t="shared" si="12"/>
        <v>4020</v>
      </c>
      <c r="G138" s="458"/>
      <c r="H138" s="82"/>
      <c r="I138" s="79"/>
      <c r="J138" s="44"/>
      <c r="K138" s="44"/>
    </row>
    <row r="139" spans="2:11" x14ac:dyDescent="0.25">
      <c r="B139" s="506">
        <v>42535</v>
      </c>
      <c r="C139" s="7">
        <v>400</v>
      </c>
      <c r="D139" s="79">
        <v>12.85</v>
      </c>
      <c r="E139" s="44">
        <v>0</v>
      </c>
      <c r="F139" s="44">
        <f t="shared" si="12"/>
        <v>5140</v>
      </c>
      <c r="G139" s="458"/>
      <c r="H139" s="82"/>
      <c r="I139" s="79"/>
      <c r="J139" s="44"/>
      <c r="K139" s="44"/>
    </row>
    <row r="140" spans="2:11" x14ac:dyDescent="0.25">
      <c r="B140" s="506">
        <v>42537</v>
      </c>
      <c r="C140" s="7">
        <v>400</v>
      </c>
      <c r="D140" s="79">
        <v>12.43</v>
      </c>
      <c r="E140" s="44">
        <v>-0.04</v>
      </c>
      <c r="F140" s="44">
        <f t="shared" si="12"/>
        <v>4971.96</v>
      </c>
      <c r="G140" s="458"/>
      <c r="H140" s="82"/>
      <c r="I140" s="79"/>
      <c r="J140" s="44"/>
      <c r="K140" s="44"/>
    </row>
    <row r="141" spans="2:11" x14ac:dyDescent="0.25">
      <c r="B141" s="506">
        <v>42538</v>
      </c>
      <c r="C141" s="7">
        <v>500</v>
      </c>
      <c r="D141" s="79">
        <v>13.14</v>
      </c>
      <c r="E141" s="44">
        <v>0</v>
      </c>
      <c r="F141" s="44">
        <f t="shared" si="12"/>
        <v>6570</v>
      </c>
      <c r="G141" s="458"/>
      <c r="H141" s="82"/>
      <c r="I141" s="79"/>
      <c r="J141" s="44"/>
      <c r="K141" s="44"/>
    </row>
    <row r="142" spans="2:11" x14ac:dyDescent="0.25">
      <c r="B142" s="506">
        <v>42543</v>
      </c>
      <c r="C142" s="7">
        <v>500</v>
      </c>
      <c r="D142" s="79">
        <v>14.75</v>
      </c>
      <c r="E142" s="44">
        <v>0</v>
      </c>
      <c r="F142" s="44">
        <f t="shared" si="12"/>
        <v>7375</v>
      </c>
      <c r="G142" s="459">
        <v>42544</v>
      </c>
      <c r="H142" s="82">
        <v>500</v>
      </c>
      <c r="I142" s="79">
        <v>15.24</v>
      </c>
      <c r="J142" s="44">
        <v>0.17</v>
      </c>
      <c r="K142" s="44">
        <f>H142*I142-J142</f>
        <v>7619.83</v>
      </c>
    </row>
    <row r="143" spans="2:11" x14ac:dyDescent="0.25">
      <c r="B143" s="506">
        <v>42545</v>
      </c>
      <c r="C143" s="7">
        <v>878</v>
      </c>
      <c r="D143" s="79">
        <v>14.41</v>
      </c>
      <c r="E143" s="44">
        <v>0</v>
      </c>
      <c r="F143" s="44">
        <f t="shared" si="12"/>
        <v>12651.98</v>
      </c>
      <c r="G143" s="458"/>
      <c r="H143" s="82"/>
      <c r="I143" s="79"/>
      <c r="J143" s="44"/>
      <c r="K143" s="44"/>
    </row>
    <row r="144" spans="2:11" x14ac:dyDescent="0.25">
      <c r="B144" s="506">
        <v>42545</v>
      </c>
      <c r="C144" s="7">
        <v>335</v>
      </c>
      <c r="D144" s="79">
        <v>14.08</v>
      </c>
      <c r="E144" s="44">
        <v>0</v>
      </c>
      <c r="F144" s="44">
        <f t="shared" si="12"/>
        <v>4716.8</v>
      </c>
      <c r="G144" s="458"/>
      <c r="H144" s="82"/>
      <c r="I144" s="79"/>
      <c r="J144" s="44"/>
      <c r="K144" s="44"/>
    </row>
    <row r="145" spans="1:14" x14ac:dyDescent="0.25">
      <c r="B145" s="506">
        <v>42548</v>
      </c>
      <c r="C145" s="7">
        <v>965</v>
      </c>
      <c r="D145" s="79">
        <v>13.81</v>
      </c>
      <c r="E145" s="44">
        <v>0</v>
      </c>
      <c r="F145" s="44">
        <f t="shared" si="12"/>
        <v>13326.65</v>
      </c>
      <c r="G145" s="458"/>
      <c r="H145" s="82"/>
      <c r="I145" s="79"/>
      <c r="J145" s="44"/>
      <c r="K145" s="44"/>
    </row>
    <row r="146" spans="1:14" x14ac:dyDescent="0.25">
      <c r="B146" s="506">
        <v>42548</v>
      </c>
      <c r="C146" s="7">
        <v>300</v>
      </c>
      <c r="D146" s="79">
        <v>13.58</v>
      </c>
      <c r="E146" s="44">
        <v>0</v>
      </c>
      <c r="F146" s="44">
        <f t="shared" si="12"/>
        <v>4074</v>
      </c>
      <c r="G146" s="459">
        <v>42549</v>
      </c>
      <c r="H146" s="82">
        <v>1100</v>
      </c>
      <c r="I146" s="79">
        <v>14.68</v>
      </c>
      <c r="J146" s="44">
        <v>0.35</v>
      </c>
      <c r="K146" s="44">
        <f t="shared" ref="K146:K228" si="13">H146*I146-J146</f>
        <v>16147.65</v>
      </c>
    </row>
    <row r="147" spans="1:14" x14ac:dyDescent="0.25">
      <c r="B147" s="506">
        <v>42556</v>
      </c>
      <c r="C147" s="7">
        <v>2178</v>
      </c>
      <c r="D147" s="79">
        <v>15.08</v>
      </c>
      <c r="E147" s="44">
        <v>0</v>
      </c>
      <c r="F147" s="44">
        <f t="shared" si="12"/>
        <v>32844.239999999998</v>
      </c>
      <c r="G147" s="646" t="s">
        <v>237</v>
      </c>
      <c r="H147" s="82">
        <v>500</v>
      </c>
      <c r="I147" s="79">
        <v>15.48</v>
      </c>
      <c r="J147" s="44">
        <v>0.17</v>
      </c>
      <c r="K147" s="44">
        <f t="shared" si="13"/>
        <v>7739.83</v>
      </c>
    </row>
    <row r="148" spans="1:14" x14ac:dyDescent="0.25">
      <c r="B148" s="506">
        <v>42556</v>
      </c>
      <c r="C148" s="7">
        <v>500</v>
      </c>
      <c r="D148" s="79">
        <v>14.62</v>
      </c>
      <c r="E148" s="44">
        <v>0</v>
      </c>
      <c r="F148" s="44">
        <f t="shared" ref="F148:F151" si="14">C148*D148+E148</f>
        <v>7310</v>
      </c>
      <c r="G148" s="646"/>
      <c r="H148" s="82">
        <v>378</v>
      </c>
      <c r="I148" s="79">
        <v>15.65</v>
      </c>
      <c r="J148" s="44">
        <v>0.13</v>
      </c>
      <c r="K148" s="44">
        <f t="shared" si="13"/>
        <v>5915.57</v>
      </c>
    </row>
    <row r="149" spans="1:14" x14ac:dyDescent="0.25">
      <c r="B149" s="506">
        <v>42557</v>
      </c>
      <c r="C149" s="7">
        <v>500</v>
      </c>
      <c r="D149" s="79">
        <v>14.78</v>
      </c>
      <c r="E149" s="44">
        <v>0</v>
      </c>
      <c r="F149" s="44">
        <f t="shared" si="14"/>
        <v>7390</v>
      </c>
      <c r="G149" s="646"/>
      <c r="H149" s="82">
        <v>500</v>
      </c>
      <c r="I149" s="79">
        <v>15.51</v>
      </c>
      <c r="J149" s="44">
        <v>0.17</v>
      </c>
      <c r="K149" s="44">
        <f t="shared" si="13"/>
        <v>7754.83</v>
      </c>
    </row>
    <row r="150" spans="1:14" x14ac:dyDescent="0.25">
      <c r="B150" s="508">
        <v>42564</v>
      </c>
      <c r="C150" s="7">
        <v>320</v>
      </c>
      <c r="D150" s="79">
        <v>15.48</v>
      </c>
      <c r="E150" s="44">
        <v>0</v>
      </c>
      <c r="F150" s="44">
        <f t="shared" si="14"/>
        <v>4953.6000000000004</v>
      </c>
      <c r="G150" s="646"/>
      <c r="H150" s="82">
        <v>800</v>
      </c>
      <c r="I150" s="79">
        <v>15.78</v>
      </c>
      <c r="J150" s="44">
        <v>0.28000000000000003</v>
      </c>
      <c r="K150" s="44">
        <f t="shared" si="13"/>
        <v>12623.72</v>
      </c>
    </row>
    <row r="151" spans="1:14" ht="15" customHeight="1" x14ac:dyDescent="0.25">
      <c r="A151" s="505"/>
      <c r="B151" s="508">
        <v>42564</v>
      </c>
      <c r="C151" s="7">
        <v>160</v>
      </c>
      <c r="D151" s="79">
        <v>15.48</v>
      </c>
      <c r="E151" s="44">
        <v>0</v>
      </c>
      <c r="F151" s="44">
        <f t="shared" si="14"/>
        <v>2476.8000000000002</v>
      </c>
      <c r="G151" s="459">
        <v>42557</v>
      </c>
      <c r="H151" s="82">
        <v>500</v>
      </c>
      <c r="I151" s="79">
        <v>14.92</v>
      </c>
      <c r="J151" s="44">
        <v>0.16</v>
      </c>
      <c r="K151" s="44">
        <f t="shared" si="13"/>
        <v>7459.84</v>
      </c>
    </row>
    <row r="152" spans="1:14" x14ac:dyDescent="0.25">
      <c r="A152" s="505"/>
      <c r="B152" s="506">
        <v>42570</v>
      </c>
      <c r="C152" s="7">
        <v>200</v>
      </c>
      <c r="D152" s="79">
        <v>15.18</v>
      </c>
      <c r="E152" s="44">
        <v>0</v>
      </c>
      <c r="F152" s="44">
        <f>C152*D152+E152</f>
        <v>3036</v>
      </c>
      <c r="G152" s="459">
        <v>42564</v>
      </c>
      <c r="H152" s="82">
        <v>420</v>
      </c>
      <c r="I152" s="79">
        <v>15.68</v>
      </c>
      <c r="J152" s="44">
        <v>0.14000000000000001</v>
      </c>
      <c r="K152" s="44">
        <f t="shared" si="13"/>
        <v>6585.4599999999991</v>
      </c>
    </row>
    <row r="153" spans="1:14" x14ac:dyDescent="0.25">
      <c r="A153" s="505"/>
      <c r="B153" s="506">
        <v>42570</v>
      </c>
      <c r="C153" s="7">
        <v>200</v>
      </c>
      <c r="D153" s="79">
        <v>14.68</v>
      </c>
      <c r="E153" s="44">
        <v>0</v>
      </c>
      <c r="F153" s="44">
        <f>C153*D153+E153</f>
        <v>2936</v>
      </c>
      <c r="G153" s="459">
        <v>42571</v>
      </c>
      <c r="H153" s="82">
        <v>200</v>
      </c>
      <c r="I153" s="79">
        <v>14.82</v>
      </c>
      <c r="J153" s="44">
        <v>0.06</v>
      </c>
      <c r="K153" s="44">
        <f t="shared" si="13"/>
        <v>2963.94</v>
      </c>
    </row>
    <row r="154" spans="1:14" x14ac:dyDescent="0.25">
      <c r="B154" s="506">
        <v>42571</v>
      </c>
      <c r="C154" s="7">
        <v>200</v>
      </c>
      <c r="D154" s="79">
        <v>14.33</v>
      </c>
      <c r="E154" s="44">
        <v>-1</v>
      </c>
      <c r="F154" s="44">
        <f>C154*D154+E154</f>
        <v>2865</v>
      </c>
      <c r="G154" s="459">
        <v>42572</v>
      </c>
      <c r="H154" s="82">
        <v>200</v>
      </c>
      <c r="I154" s="79">
        <v>14.8</v>
      </c>
      <c r="J154" s="44">
        <v>0.06</v>
      </c>
      <c r="K154" s="44">
        <f t="shared" si="13"/>
        <v>2959.94</v>
      </c>
    </row>
    <row r="155" spans="1:14" x14ac:dyDescent="0.25">
      <c r="B155" s="506">
        <v>42572</v>
      </c>
      <c r="C155" s="7">
        <v>60</v>
      </c>
      <c r="D155" s="79">
        <v>14.58</v>
      </c>
      <c r="E155" s="44">
        <v>0</v>
      </c>
      <c r="F155" s="44">
        <f>C155*D155+E155</f>
        <v>874.8</v>
      </c>
      <c r="G155" s="459">
        <v>42577</v>
      </c>
      <c r="H155" s="82">
        <v>200</v>
      </c>
      <c r="I155" s="79">
        <v>13.78</v>
      </c>
      <c r="J155" s="44">
        <v>0.06</v>
      </c>
      <c r="K155" s="44">
        <f t="shared" si="13"/>
        <v>2755.94</v>
      </c>
    </row>
    <row r="156" spans="1:14" x14ac:dyDescent="0.25">
      <c r="B156" s="506">
        <v>42572</v>
      </c>
      <c r="C156" s="7">
        <v>140</v>
      </c>
      <c r="D156" s="79">
        <v>14.65</v>
      </c>
      <c r="E156" s="44">
        <v>0</v>
      </c>
      <c r="F156" s="44">
        <f t="shared" ref="F156:F158" si="15">C156*D156+E156</f>
        <v>2051</v>
      </c>
      <c r="G156" s="459">
        <v>42580</v>
      </c>
      <c r="H156" s="82">
        <v>200</v>
      </c>
      <c r="I156" s="79">
        <v>13.224</v>
      </c>
      <c r="J156" s="44">
        <v>0.08</v>
      </c>
      <c r="K156" s="44">
        <f t="shared" si="13"/>
        <v>2644.7200000000003</v>
      </c>
    </row>
    <row r="157" spans="1:14" x14ac:dyDescent="0.25">
      <c r="B157" s="506">
        <v>42573</v>
      </c>
      <c r="C157" s="7">
        <v>140</v>
      </c>
      <c r="D157" s="79">
        <v>14.08</v>
      </c>
      <c r="E157" s="44">
        <v>0</v>
      </c>
      <c r="F157" s="44">
        <f t="shared" si="15"/>
        <v>1971.2</v>
      </c>
      <c r="G157" s="459">
        <v>42580</v>
      </c>
      <c r="H157" s="82">
        <v>200</v>
      </c>
      <c r="I157" s="79">
        <v>13.58</v>
      </c>
      <c r="J157" s="44">
        <v>0.06</v>
      </c>
      <c r="K157" s="44">
        <f t="shared" si="13"/>
        <v>2715.94</v>
      </c>
    </row>
    <row r="158" spans="1:14" x14ac:dyDescent="0.25">
      <c r="B158" s="506">
        <v>42576</v>
      </c>
      <c r="C158" s="7">
        <v>200</v>
      </c>
      <c r="D158" s="79">
        <v>13.55</v>
      </c>
      <c r="E158" s="44">
        <v>0</v>
      </c>
      <c r="F158" s="44">
        <f t="shared" si="15"/>
        <v>2710</v>
      </c>
      <c r="G158" s="459">
        <v>42586</v>
      </c>
      <c r="H158" s="82">
        <v>400</v>
      </c>
      <c r="I158" s="79">
        <v>13.78</v>
      </c>
      <c r="J158" s="44">
        <v>0.12</v>
      </c>
      <c r="K158" s="44">
        <f t="shared" si="13"/>
        <v>5511.88</v>
      </c>
    </row>
    <row r="159" spans="1:14" x14ac:dyDescent="0.25">
      <c r="B159" s="506">
        <v>42578</v>
      </c>
      <c r="C159" s="7">
        <v>200</v>
      </c>
      <c r="D159" s="79">
        <v>13.18</v>
      </c>
      <c r="E159" s="44">
        <v>0</v>
      </c>
      <c r="F159" s="44">
        <f t="shared" ref="F159:F161" si="16">C159*D159+E159</f>
        <v>2636</v>
      </c>
      <c r="G159" s="459">
        <v>42586</v>
      </c>
      <c r="H159" s="82">
        <v>400</v>
      </c>
      <c r="I159" s="79">
        <v>13.72</v>
      </c>
      <c r="J159" s="44">
        <v>0.12</v>
      </c>
      <c r="K159" s="44">
        <f t="shared" si="13"/>
        <v>5487.88</v>
      </c>
      <c r="N159" s="72"/>
    </row>
    <row r="160" spans="1:14" x14ac:dyDescent="0.25">
      <c r="B160" s="506">
        <v>42580</v>
      </c>
      <c r="C160" s="7">
        <v>200</v>
      </c>
      <c r="D160" s="79">
        <v>13.15</v>
      </c>
      <c r="E160" s="44">
        <v>0</v>
      </c>
      <c r="F160" s="44">
        <f t="shared" si="16"/>
        <v>2630</v>
      </c>
      <c r="G160" s="459">
        <v>42586</v>
      </c>
      <c r="H160" s="82">
        <v>140</v>
      </c>
      <c r="I160" s="79">
        <v>13.88</v>
      </c>
      <c r="J160" s="44">
        <v>0.04</v>
      </c>
      <c r="K160" s="44">
        <f t="shared" si="13"/>
        <v>1943.16</v>
      </c>
    </row>
    <row r="161" spans="2:12" x14ac:dyDescent="0.25">
      <c r="B161" s="506">
        <v>42583</v>
      </c>
      <c r="C161" s="426">
        <v>20</v>
      </c>
      <c r="D161" s="79">
        <v>13.02</v>
      </c>
      <c r="E161" s="44">
        <v>0</v>
      </c>
      <c r="F161" s="44">
        <f t="shared" si="16"/>
        <v>260.39999999999998</v>
      </c>
      <c r="G161" s="459">
        <v>42593</v>
      </c>
      <c r="H161" s="82">
        <v>460</v>
      </c>
      <c r="I161" s="79">
        <v>14.59</v>
      </c>
      <c r="J161" s="44">
        <v>0.15</v>
      </c>
      <c r="K161" s="44">
        <f t="shared" si="13"/>
        <v>6711.25</v>
      </c>
    </row>
    <row r="162" spans="2:12" x14ac:dyDescent="0.25">
      <c r="B162" s="506">
        <v>42583</v>
      </c>
      <c r="C162" s="7">
        <v>180</v>
      </c>
      <c r="D162" s="79">
        <v>13.02</v>
      </c>
      <c r="E162" s="44">
        <v>0</v>
      </c>
      <c r="F162" s="44">
        <f t="shared" ref="F162" si="17">C162*D162+E162</f>
        <v>2343.6</v>
      </c>
      <c r="G162" s="459">
        <v>42594</v>
      </c>
      <c r="H162" s="82">
        <v>500</v>
      </c>
      <c r="I162" s="79">
        <v>14.88</v>
      </c>
      <c r="J162" s="44">
        <v>0.16</v>
      </c>
      <c r="K162" s="44">
        <f t="shared" si="13"/>
        <v>7439.84</v>
      </c>
    </row>
    <row r="163" spans="2:12" x14ac:dyDescent="0.25">
      <c r="B163" s="506">
        <v>42584</v>
      </c>
      <c r="C163" s="7">
        <v>120</v>
      </c>
      <c r="D163" s="79">
        <v>12.68</v>
      </c>
      <c r="E163" s="44">
        <v>0</v>
      </c>
      <c r="F163" s="44">
        <f t="shared" ref="F163:F164" si="18">C163*D163+E163</f>
        <v>1521.6</v>
      </c>
      <c r="G163" s="459">
        <v>42598</v>
      </c>
      <c r="H163" s="82">
        <v>500</v>
      </c>
      <c r="I163" s="79">
        <v>15.18</v>
      </c>
      <c r="J163" s="44">
        <v>0.17</v>
      </c>
      <c r="K163" s="44">
        <f t="shared" si="13"/>
        <v>7589.83</v>
      </c>
    </row>
    <row r="164" spans="2:12" x14ac:dyDescent="0.25">
      <c r="B164" s="506">
        <v>42584</v>
      </c>
      <c r="C164" s="7">
        <v>80</v>
      </c>
      <c r="D164" s="79">
        <v>12.68</v>
      </c>
      <c r="E164" s="44">
        <v>0</v>
      </c>
      <c r="F164" s="44">
        <f t="shared" si="18"/>
        <v>1014.4</v>
      </c>
      <c r="G164" s="459">
        <v>42599</v>
      </c>
      <c r="H164" s="82">
        <v>500</v>
      </c>
      <c r="I164" s="79">
        <v>15.18</v>
      </c>
      <c r="J164" s="44">
        <v>0.17</v>
      </c>
      <c r="K164" s="44">
        <f t="shared" si="13"/>
        <v>7589.83</v>
      </c>
    </row>
    <row r="165" spans="2:12" x14ac:dyDescent="0.25">
      <c r="B165" s="506">
        <v>42585</v>
      </c>
      <c r="C165" s="7">
        <v>242</v>
      </c>
      <c r="D165" s="79">
        <v>13.38</v>
      </c>
      <c r="E165" s="44">
        <v>0</v>
      </c>
      <c r="F165" s="44">
        <f t="shared" ref="F165:F171" si="19">C165*D165+E165</f>
        <v>3237.96</v>
      </c>
      <c r="G165" s="459">
        <v>42599</v>
      </c>
      <c r="H165" s="82">
        <v>500</v>
      </c>
      <c r="I165" s="79">
        <v>15.41</v>
      </c>
      <c r="J165" s="44">
        <v>0.17</v>
      </c>
      <c r="K165" s="44">
        <f t="shared" si="13"/>
        <v>7704.83</v>
      </c>
    </row>
    <row r="166" spans="2:12" x14ac:dyDescent="0.25">
      <c r="B166" s="506">
        <v>42585</v>
      </c>
      <c r="C166" s="7">
        <v>158</v>
      </c>
      <c r="D166" s="79">
        <v>13.38</v>
      </c>
      <c r="E166" s="44">
        <v>0</v>
      </c>
      <c r="F166" s="44">
        <f t="shared" si="19"/>
        <v>2114.04</v>
      </c>
      <c r="G166" s="459">
        <v>42599</v>
      </c>
      <c r="H166" s="82">
        <v>500</v>
      </c>
      <c r="I166" s="79">
        <v>15.65</v>
      </c>
      <c r="J166" s="44">
        <v>0.17</v>
      </c>
      <c r="K166" s="44">
        <f t="shared" si="13"/>
        <v>7824.83</v>
      </c>
    </row>
    <row r="167" spans="2:12" x14ac:dyDescent="0.25">
      <c r="B167" s="506">
        <v>42594</v>
      </c>
      <c r="C167" s="7">
        <v>500</v>
      </c>
      <c r="D167" s="79">
        <v>14.65</v>
      </c>
      <c r="E167" s="44">
        <v>0</v>
      </c>
      <c r="F167" s="44">
        <f t="shared" si="19"/>
        <v>7325</v>
      </c>
      <c r="G167" s="648" t="s">
        <v>274</v>
      </c>
      <c r="H167" s="82">
        <v>500</v>
      </c>
      <c r="I167" s="79">
        <v>16.18</v>
      </c>
      <c r="J167" s="44">
        <v>0.18</v>
      </c>
      <c r="K167" s="44">
        <f t="shared" si="13"/>
        <v>8089.82</v>
      </c>
    </row>
    <row r="168" spans="2:12" x14ac:dyDescent="0.25">
      <c r="B168" s="506">
        <v>42599</v>
      </c>
      <c r="C168" s="7">
        <v>242</v>
      </c>
      <c r="D168" s="79">
        <v>14.95</v>
      </c>
      <c r="E168" s="44">
        <v>0</v>
      </c>
      <c r="F168" s="44">
        <f t="shared" si="19"/>
        <v>3617.8999999999996</v>
      </c>
      <c r="G168" s="648"/>
      <c r="H168" s="82">
        <v>500</v>
      </c>
      <c r="I168" s="79">
        <v>16.38</v>
      </c>
      <c r="J168" s="44">
        <v>0.18</v>
      </c>
      <c r="K168" s="44">
        <f t="shared" si="13"/>
        <v>8189.8199999999988</v>
      </c>
    </row>
    <row r="169" spans="2:12" x14ac:dyDescent="0.25">
      <c r="B169" s="506">
        <v>42599</v>
      </c>
      <c r="C169" s="7">
        <v>200</v>
      </c>
      <c r="D169" s="79">
        <v>14.95</v>
      </c>
      <c r="E169" s="44">
        <v>0</v>
      </c>
      <c r="F169" s="44">
        <f t="shared" si="19"/>
        <v>2990</v>
      </c>
      <c r="G169" s="648"/>
      <c r="H169" s="82">
        <v>178</v>
      </c>
      <c r="I169" s="79">
        <v>16.5</v>
      </c>
      <c r="J169" s="44">
        <v>0.06</v>
      </c>
      <c r="K169" s="44">
        <f t="shared" si="13"/>
        <v>2936.94</v>
      </c>
    </row>
    <row r="170" spans="2:12" x14ac:dyDescent="0.25">
      <c r="B170" s="506">
        <v>42599</v>
      </c>
      <c r="C170" s="7">
        <v>36</v>
      </c>
      <c r="D170" s="79">
        <v>14.95</v>
      </c>
      <c r="E170" s="44">
        <v>0</v>
      </c>
      <c r="F170" s="44">
        <f t="shared" si="19"/>
        <v>538.19999999999993</v>
      </c>
      <c r="G170" s="648"/>
      <c r="H170" s="82">
        <v>500</v>
      </c>
      <c r="I170" s="79">
        <v>16.72</v>
      </c>
      <c r="J170" s="44">
        <v>0.18</v>
      </c>
      <c r="K170" s="44">
        <f t="shared" si="13"/>
        <v>8359.82</v>
      </c>
    </row>
    <row r="171" spans="2:12" x14ac:dyDescent="0.25">
      <c r="B171" s="506">
        <v>42599</v>
      </c>
      <c r="C171" s="7">
        <v>22</v>
      </c>
      <c r="D171" s="79">
        <v>14.95</v>
      </c>
      <c r="E171" s="44">
        <v>0</v>
      </c>
      <c r="F171" s="44">
        <f t="shared" si="19"/>
        <v>328.9</v>
      </c>
      <c r="G171" s="459">
        <v>42601</v>
      </c>
      <c r="H171" s="82">
        <v>500</v>
      </c>
      <c r="I171" s="79">
        <v>16.82</v>
      </c>
      <c r="J171" s="44">
        <v>0.18</v>
      </c>
      <c r="K171" s="44">
        <f t="shared" si="13"/>
        <v>8409.82</v>
      </c>
    </row>
    <row r="172" spans="2:12" x14ac:dyDescent="0.25">
      <c r="B172" s="506">
        <v>42604</v>
      </c>
      <c r="C172" s="7">
        <v>1000</v>
      </c>
      <c r="D172" s="79">
        <v>15.68</v>
      </c>
      <c r="E172" s="44">
        <v>0</v>
      </c>
      <c r="F172" s="44">
        <f t="shared" ref="F172:F209" si="20">C172*D172+E172</f>
        <v>15680</v>
      </c>
      <c r="G172" s="459">
        <v>42605</v>
      </c>
      <c r="H172" s="82">
        <v>500</v>
      </c>
      <c r="I172" s="79">
        <v>15.98</v>
      </c>
      <c r="J172" s="44">
        <v>0.17</v>
      </c>
      <c r="K172" s="44">
        <f t="shared" si="13"/>
        <v>7989.83</v>
      </c>
    </row>
    <row r="173" spans="2:12" x14ac:dyDescent="0.25">
      <c r="B173" s="506">
        <v>42604</v>
      </c>
      <c r="C173" s="7">
        <v>500</v>
      </c>
      <c r="D173" s="79">
        <v>15.48</v>
      </c>
      <c r="E173" s="44">
        <v>0</v>
      </c>
      <c r="F173" s="44">
        <f t="shared" si="20"/>
        <v>7740</v>
      </c>
      <c r="G173" s="459">
        <v>42605</v>
      </c>
      <c r="H173" s="82">
        <v>500</v>
      </c>
      <c r="I173" s="79">
        <v>16.25</v>
      </c>
      <c r="J173" s="44">
        <v>0.18</v>
      </c>
      <c r="K173" s="44">
        <f t="shared" si="13"/>
        <v>8124.82</v>
      </c>
    </row>
    <row r="174" spans="2:12" x14ac:dyDescent="0.25">
      <c r="B174" s="506">
        <v>42606</v>
      </c>
      <c r="C174" s="7">
        <v>178</v>
      </c>
      <c r="D174" s="79">
        <v>16.059999999999999</v>
      </c>
      <c r="E174" s="44">
        <v>0</v>
      </c>
      <c r="F174" s="44">
        <f t="shared" si="20"/>
        <v>2858.68</v>
      </c>
      <c r="G174" s="459">
        <v>42605</v>
      </c>
      <c r="H174" s="82">
        <v>500</v>
      </c>
      <c r="I174" s="79">
        <v>16.48</v>
      </c>
      <c r="J174" s="44">
        <v>0.18</v>
      </c>
      <c r="K174" s="44">
        <f t="shared" si="13"/>
        <v>8239.82</v>
      </c>
    </row>
    <row r="175" spans="2:12" x14ac:dyDescent="0.25">
      <c r="B175" s="506">
        <v>42608</v>
      </c>
      <c r="C175" s="7">
        <v>500</v>
      </c>
      <c r="D175" s="79">
        <v>15.98</v>
      </c>
      <c r="E175" s="44">
        <v>0</v>
      </c>
      <c r="F175" s="44">
        <f t="shared" si="20"/>
        <v>7990</v>
      </c>
      <c r="G175" s="459">
        <v>42615</v>
      </c>
      <c r="H175" s="82">
        <v>500</v>
      </c>
      <c r="I175" s="79">
        <v>15.65</v>
      </c>
      <c r="J175" s="44">
        <v>0.17</v>
      </c>
      <c r="K175" s="44">
        <f t="shared" si="13"/>
        <v>7824.83</v>
      </c>
    </row>
    <row r="176" spans="2:12" x14ac:dyDescent="0.25">
      <c r="B176" s="506">
        <v>42608</v>
      </c>
      <c r="C176" s="7">
        <v>500</v>
      </c>
      <c r="D176" s="79">
        <v>15.85</v>
      </c>
      <c r="E176" s="44">
        <v>0</v>
      </c>
      <c r="F176" s="44">
        <f t="shared" si="20"/>
        <v>7925</v>
      </c>
      <c r="G176" s="459">
        <v>42621</v>
      </c>
      <c r="H176" s="82">
        <v>500</v>
      </c>
      <c r="I176" s="79">
        <v>16.72</v>
      </c>
      <c r="J176" s="44">
        <v>0.18</v>
      </c>
      <c r="K176" s="44">
        <f t="shared" si="13"/>
        <v>8359.82</v>
      </c>
      <c r="L176" s="647" t="s">
        <v>287</v>
      </c>
    </row>
    <row r="177" spans="1:15" x14ac:dyDescent="0.25">
      <c r="B177" s="506">
        <v>42612</v>
      </c>
      <c r="C177" s="7">
        <v>500</v>
      </c>
      <c r="D177" s="79">
        <v>15.68</v>
      </c>
      <c r="E177" s="44">
        <v>0</v>
      </c>
      <c r="F177" s="44">
        <f t="shared" si="20"/>
        <v>7840</v>
      </c>
      <c r="G177" s="459">
        <v>42621</v>
      </c>
      <c r="H177" s="82">
        <v>500</v>
      </c>
      <c r="I177" s="79">
        <v>16.28</v>
      </c>
      <c r="J177" s="44">
        <v>0.18</v>
      </c>
      <c r="K177" s="44">
        <f t="shared" si="13"/>
        <v>8139.8200000000006</v>
      </c>
      <c r="L177" s="647"/>
    </row>
    <row r="178" spans="1:15" x14ac:dyDescent="0.25">
      <c r="B178" s="506">
        <v>42612</v>
      </c>
      <c r="C178" s="7">
        <v>500</v>
      </c>
      <c r="D178" s="79">
        <v>15.55</v>
      </c>
      <c r="E178" s="44">
        <v>0</v>
      </c>
      <c r="F178" s="44">
        <f t="shared" si="20"/>
        <v>7775</v>
      </c>
      <c r="G178" s="459">
        <v>42621</v>
      </c>
      <c r="H178" s="82">
        <v>220</v>
      </c>
      <c r="I178" s="79">
        <v>16.77</v>
      </c>
      <c r="J178" s="44">
        <v>0.08</v>
      </c>
      <c r="K178" s="44">
        <f t="shared" si="13"/>
        <v>3689.32</v>
      </c>
      <c r="L178" s="647"/>
      <c r="O178" s="2"/>
    </row>
    <row r="179" spans="1:15" x14ac:dyDescent="0.25">
      <c r="B179" s="506">
        <v>42613</v>
      </c>
      <c r="C179" s="7">
        <v>500</v>
      </c>
      <c r="D179" s="79">
        <v>15.244999999999999</v>
      </c>
      <c r="E179" s="44">
        <v>0</v>
      </c>
      <c r="F179" s="44">
        <f t="shared" si="20"/>
        <v>7622.5</v>
      </c>
      <c r="G179" s="459">
        <v>42625</v>
      </c>
      <c r="H179" s="82">
        <v>500</v>
      </c>
      <c r="I179" s="79">
        <v>15.5</v>
      </c>
      <c r="J179" s="44">
        <v>0.17</v>
      </c>
      <c r="K179" s="44">
        <f t="shared" si="13"/>
        <v>7749.83</v>
      </c>
    </row>
    <row r="180" spans="1:15" ht="15" customHeight="1" x14ac:dyDescent="0.25">
      <c r="B180" s="506">
        <v>42613</v>
      </c>
      <c r="C180" s="7">
        <v>500</v>
      </c>
      <c r="D180" s="79">
        <v>15.08</v>
      </c>
      <c r="E180" s="44">
        <v>0</v>
      </c>
      <c r="F180" s="44">
        <f t="shared" si="20"/>
        <v>7540</v>
      </c>
      <c r="G180" s="459">
        <v>42628</v>
      </c>
      <c r="H180" s="82">
        <v>300</v>
      </c>
      <c r="I180" s="79">
        <v>14.46</v>
      </c>
      <c r="J180" s="44">
        <v>0.09</v>
      </c>
      <c r="K180" s="44">
        <f t="shared" si="13"/>
        <v>4337.91</v>
      </c>
    </row>
    <row r="181" spans="1:15" x14ac:dyDescent="0.25">
      <c r="B181" s="506">
        <v>42622</v>
      </c>
      <c r="C181" s="7">
        <v>220</v>
      </c>
      <c r="D181" s="79">
        <v>16.25</v>
      </c>
      <c r="E181" s="44">
        <v>0</v>
      </c>
      <c r="F181" s="44">
        <f t="shared" si="20"/>
        <v>3575</v>
      </c>
      <c r="G181" s="459">
        <v>42634</v>
      </c>
      <c r="H181" s="82">
        <v>322</v>
      </c>
      <c r="I181" s="79">
        <v>14.28</v>
      </c>
      <c r="J181" s="44">
        <v>0.1</v>
      </c>
      <c r="K181" s="44">
        <f t="shared" si="13"/>
        <v>4598.0599999999995</v>
      </c>
    </row>
    <row r="182" spans="1:15" x14ac:dyDescent="0.25">
      <c r="B182" s="506">
        <v>42622</v>
      </c>
      <c r="C182" s="7">
        <v>500</v>
      </c>
      <c r="D182" s="79">
        <v>15.98</v>
      </c>
      <c r="E182" s="44">
        <v>0</v>
      </c>
      <c r="F182" s="44">
        <f t="shared" si="20"/>
        <v>7990</v>
      </c>
      <c r="G182" s="459">
        <v>42634</v>
      </c>
      <c r="H182" s="82">
        <v>400</v>
      </c>
      <c r="I182" s="79">
        <v>14.64</v>
      </c>
      <c r="J182" s="44">
        <v>0.13</v>
      </c>
      <c r="K182" s="44">
        <f t="shared" si="13"/>
        <v>5855.87</v>
      </c>
    </row>
    <row r="183" spans="1:15" x14ac:dyDescent="0.25">
      <c r="B183" s="506">
        <v>42622</v>
      </c>
      <c r="C183" s="7">
        <v>500</v>
      </c>
      <c r="D183" s="79">
        <v>15.75</v>
      </c>
      <c r="E183" s="44">
        <v>0</v>
      </c>
      <c r="F183" s="44">
        <f t="shared" si="20"/>
        <v>7875</v>
      </c>
      <c r="G183" s="459">
        <v>42639</v>
      </c>
      <c r="H183" s="82">
        <v>200</v>
      </c>
      <c r="I183" s="79">
        <v>14.72</v>
      </c>
      <c r="J183" s="44">
        <v>0.06</v>
      </c>
      <c r="K183" s="44">
        <f t="shared" si="13"/>
        <v>2943.94</v>
      </c>
    </row>
    <row r="184" spans="1:15" x14ac:dyDescent="0.25">
      <c r="B184" s="506">
        <v>42625</v>
      </c>
      <c r="C184" s="7">
        <v>500</v>
      </c>
      <c r="D184" s="79">
        <v>15.22</v>
      </c>
      <c r="E184" s="44">
        <v>0</v>
      </c>
      <c r="F184" s="44">
        <f t="shared" si="20"/>
        <v>7610</v>
      </c>
      <c r="G184" s="459">
        <v>42641</v>
      </c>
      <c r="H184" s="82">
        <v>300</v>
      </c>
      <c r="I184" s="79">
        <v>15.28</v>
      </c>
      <c r="J184" s="44">
        <v>0.1</v>
      </c>
      <c r="K184" s="44">
        <f t="shared" si="13"/>
        <v>4583.8999999999996</v>
      </c>
    </row>
    <row r="185" spans="1:15" ht="30" x14ac:dyDescent="0.25">
      <c r="A185" s="519" t="s">
        <v>297</v>
      </c>
      <c r="B185" s="506">
        <v>42626</v>
      </c>
      <c r="C185" s="7">
        <v>600</v>
      </c>
      <c r="D185" s="79">
        <v>14.91</v>
      </c>
      <c r="E185" s="44">
        <v>-3</v>
      </c>
      <c r="F185" s="44">
        <f t="shared" si="20"/>
        <v>8943</v>
      </c>
      <c r="G185" s="459">
        <v>42641</v>
      </c>
      <c r="H185" s="82">
        <v>400</v>
      </c>
      <c r="I185" s="79">
        <v>15.06</v>
      </c>
      <c r="J185" s="44">
        <v>0.13</v>
      </c>
      <c r="K185" s="44">
        <f t="shared" si="13"/>
        <v>6023.87</v>
      </c>
    </row>
    <row r="186" spans="1:15" x14ac:dyDescent="0.25">
      <c r="A186" s="519"/>
      <c r="B186" s="506">
        <v>42626</v>
      </c>
      <c r="C186" s="7">
        <v>400</v>
      </c>
      <c r="D186" s="79">
        <v>14.75</v>
      </c>
      <c r="E186" s="44">
        <v>0</v>
      </c>
      <c r="F186" s="44">
        <f t="shared" si="20"/>
        <v>5900</v>
      </c>
      <c r="G186" s="459">
        <v>42641</v>
      </c>
      <c r="H186" s="82">
        <v>322</v>
      </c>
      <c r="I186" s="79">
        <v>14.39</v>
      </c>
      <c r="J186" s="44">
        <v>0.1</v>
      </c>
      <c r="K186" s="44">
        <f t="shared" si="13"/>
        <v>4633.4799999999996</v>
      </c>
      <c r="N186" s="72"/>
    </row>
    <row r="187" spans="1:15" x14ac:dyDescent="0.25">
      <c r="A187" s="519"/>
      <c r="B187" s="506">
        <v>42626</v>
      </c>
      <c r="C187" s="7">
        <v>300</v>
      </c>
      <c r="D187" s="79">
        <v>14.48</v>
      </c>
      <c r="E187" s="44">
        <v>0</v>
      </c>
      <c r="F187" s="44">
        <f t="shared" si="20"/>
        <v>4344</v>
      </c>
      <c r="G187" s="459">
        <v>42641</v>
      </c>
      <c r="H187" s="82">
        <v>500</v>
      </c>
      <c r="I187" s="79">
        <v>14.26</v>
      </c>
      <c r="J187" s="44">
        <v>0.16</v>
      </c>
      <c r="K187" s="44">
        <f t="shared" si="13"/>
        <v>7129.84</v>
      </c>
    </row>
    <row r="188" spans="1:15" x14ac:dyDescent="0.25">
      <c r="A188" s="519"/>
      <c r="B188" s="506">
        <v>42626</v>
      </c>
      <c r="C188" s="7">
        <v>300</v>
      </c>
      <c r="D188" s="79">
        <v>14.25</v>
      </c>
      <c r="E188" s="44">
        <v>0</v>
      </c>
      <c r="F188" s="44">
        <f t="shared" si="20"/>
        <v>4275</v>
      </c>
      <c r="G188" s="459">
        <v>42642</v>
      </c>
      <c r="H188" s="82">
        <v>300</v>
      </c>
      <c r="I188" s="79">
        <v>15.28</v>
      </c>
      <c r="J188" s="44">
        <v>0.1</v>
      </c>
      <c r="K188" s="44">
        <f t="shared" si="13"/>
        <v>4583.8999999999996</v>
      </c>
    </row>
    <row r="189" spans="1:15" x14ac:dyDescent="0.25">
      <c r="A189" s="519"/>
      <c r="B189" s="506">
        <v>42627</v>
      </c>
      <c r="C189" s="7">
        <v>200</v>
      </c>
      <c r="D189" s="79">
        <v>14.02</v>
      </c>
      <c r="E189" s="44">
        <v>-1</v>
      </c>
      <c r="F189" s="44">
        <f t="shared" si="20"/>
        <v>2803</v>
      </c>
      <c r="G189" s="459">
        <v>42642</v>
      </c>
      <c r="H189" s="82">
        <v>700</v>
      </c>
      <c r="I189" s="79">
        <v>15.78</v>
      </c>
      <c r="J189" s="44">
        <v>0.24</v>
      </c>
      <c r="K189" s="44">
        <f t="shared" si="13"/>
        <v>11045.76</v>
      </c>
    </row>
    <row r="190" spans="1:15" x14ac:dyDescent="0.25">
      <c r="B190" s="506">
        <v>42628</v>
      </c>
      <c r="C190" s="7">
        <v>300</v>
      </c>
      <c r="D190" s="79">
        <v>14.3</v>
      </c>
      <c r="E190" s="44">
        <v>0</v>
      </c>
      <c r="F190" s="44">
        <f t="shared" si="20"/>
        <v>4290</v>
      </c>
      <c r="G190" s="459">
        <v>42642</v>
      </c>
      <c r="H190" s="82">
        <v>214</v>
      </c>
      <c r="I190" s="79">
        <v>15.98</v>
      </c>
      <c r="J190" s="44">
        <v>7.0000000000000007E-2</v>
      </c>
      <c r="K190" s="44">
        <f t="shared" si="13"/>
        <v>3419.65</v>
      </c>
    </row>
    <row r="191" spans="1:15" x14ac:dyDescent="0.25">
      <c r="B191" s="506">
        <v>42632</v>
      </c>
      <c r="C191" s="7">
        <v>200</v>
      </c>
      <c r="D191" s="79">
        <v>14.06</v>
      </c>
      <c r="E191" s="44">
        <v>0</v>
      </c>
      <c r="F191" s="44">
        <f t="shared" si="20"/>
        <v>2812</v>
      </c>
      <c r="G191" s="459">
        <v>42648</v>
      </c>
      <c r="H191" s="82">
        <v>1000</v>
      </c>
      <c r="I191" s="79">
        <v>16.079999999999998</v>
      </c>
      <c r="J191" s="44">
        <v>0.35</v>
      </c>
      <c r="K191" s="44">
        <f t="shared" si="13"/>
        <v>16079.649999999998</v>
      </c>
    </row>
    <row r="192" spans="1:15" x14ac:dyDescent="0.25">
      <c r="B192" s="506">
        <v>42633</v>
      </c>
      <c r="C192" s="7">
        <v>200</v>
      </c>
      <c r="D192" s="79">
        <v>14.11</v>
      </c>
      <c r="E192" s="44">
        <v>0</v>
      </c>
      <c r="F192" s="44">
        <f t="shared" si="20"/>
        <v>2822</v>
      </c>
      <c r="G192" s="459">
        <v>42648</v>
      </c>
      <c r="H192" s="82">
        <v>500</v>
      </c>
      <c r="I192" s="79">
        <v>16.38</v>
      </c>
      <c r="J192" s="44">
        <v>0.18</v>
      </c>
      <c r="K192" s="44">
        <f t="shared" si="13"/>
        <v>8189.8199999999988</v>
      </c>
    </row>
    <row r="193" spans="1:14" x14ac:dyDescent="0.25">
      <c r="B193" s="506">
        <v>42633</v>
      </c>
      <c r="C193" s="7">
        <v>122</v>
      </c>
      <c r="D193" s="79">
        <v>14.1</v>
      </c>
      <c r="E193" s="44">
        <v>0</v>
      </c>
      <c r="F193" s="44">
        <f t="shared" si="20"/>
        <v>1720.2</v>
      </c>
      <c r="G193" s="459">
        <v>42649</v>
      </c>
      <c r="H193" s="82">
        <v>500</v>
      </c>
      <c r="I193" s="79">
        <v>16.16</v>
      </c>
      <c r="J193" s="44">
        <v>0.18</v>
      </c>
      <c r="K193" s="44">
        <f t="shared" si="13"/>
        <v>8079.82</v>
      </c>
    </row>
    <row r="194" spans="1:14" x14ac:dyDescent="0.25">
      <c r="B194" s="506">
        <v>42636</v>
      </c>
      <c r="C194" s="7">
        <v>200</v>
      </c>
      <c r="D194" s="79">
        <v>14.38</v>
      </c>
      <c r="E194" s="44">
        <v>0</v>
      </c>
      <c r="F194" s="44">
        <f t="shared" si="20"/>
        <v>2876</v>
      </c>
      <c r="G194" s="459">
        <v>42671</v>
      </c>
      <c r="H194" s="82">
        <v>1000</v>
      </c>
      <c r="I194" s="79">
        <v>14.22</v>
      </c>
      <c r="J194" s="44">
        <v>0.31</v>
      </c>
      <c r="K194" s="44">
        <f t="shared" si="13"/>
        <v>14219.69</v>
      </c>
    </row>
    <row r="195" spans="1:14" x14ac:dyDescent="0.25">
      <c r="B195" s="506">
        <v>42639</v>
      </c>
      <c r="C195" s="7">
        <v>200</v>
      </c>
      <c r="D195" s="79">
        <v>14.5</v>
      </c>
      <c r="E195" s="44">
        <v>0</v>
      </c>
      <c r="F195" s="44">
        <f t="shared" si="20"/>
        <v>2900</v>
      </c>
      <c r="G195" s="459">
        <v>42674</v>
      </c>
      <c r="H195" s="82">
        <v>300</v>
      </c>
      <c r="I195" s="79">
        <v>13.42</v>
      </c>
      <c r="J195" s="44">
        <v>0.09</v>
      </c>
      <c r="K195" s="44">
        <f t="shared" si="13"/>
        <v>4025.91</v>
      </c>
    </row>
    <row r="196" spans="1:14" x14ac:dyDescent="0.25">
      <c r="B196" s="506">
        <v>42639</v>
      </c>
      <c r="C196" s="7">
        <v>200</v>
      </c>
      <c r="D196" s="79">
        <v>14.38</v>
      </c>
      <c r="E196" s="44">
        <v>0</v>
      </c>
      <c r="F196" s="44">
        <f t="shared" si="20"/>
        <v>2876</v>
      </c>
      <c r="G196" s="459">
        <v>42674</v>
      </c>
      <c r="H196" s="82">
        <v>200</v>
      </c>
      <c r="I196" s="79">
        <v>13.25</v>
      </c>
      <c r="J196" s="44">
        <v>-0.74</v>
      </c>
      <c r="K196" s="44">
        <f t="shared" si="13"/>
        <v>2650.74</v>
      </c>
    </row>
    <row r="197" spans="1:14" x14ac:dyDescent="0.25">
      <c r="B197" s="506">
        <v>42640</v>
      </c>
      <c r="C197" s="7">
        <v>322</v>
      </c>
      <c r="D197" s="79">
        <v>13.97</v>
      </c>
      <c r="E197" s="44">
        <v>0</v>
      </c>
      <c r="F197" s="44">
        <f t="shared" si="20"/>
        <v>4498.34</v>
      </c>
      <c r="G197" s="459">
        <v>42676</v>
      </c>
      <c r="H197" s="82">
        <v>200</v>
      </c>
      <c r="I197" s="79">
        <v>13.05</v>
      </c>
      <c r="J197" s="44">
        <v>0.06</v>
      </c>
      <c r="K197" s="44">
        <f t="shared" si="13"/>
        <v>2609.94</v>
      </c>
    </row>
    <row r="198" spans="1:14" x14ac:dyDescent="0.25">
      <c r="B198" s="506">
        <v>42641</v>
      </c>
      <c r="C198" s="7">
        <v>300</v>
      </c>
      <c r="D198" s="79">
        <v>14.02</v>
      </c>
      <c r="E198" s="44">
        <v>-1.26</v>
      </c>
      <c r="F198" s="44">
        <f t="shared" si="20"/>
        <v>4204.74</v>
      </c>
      <c r="G198" s="459">
        <v>42677</v>
      </c>
      <c r="H198" s="82">
        <v>500</v>
      </c>
      <c r="I198" s="79">
        <v>13.96</v>
      </c>
      <c r="J198" s="44">
        <v>0.15</v>
      </c>
      <c r="K198" s="44">
        <f t="shared" si="13"/>
        <v>6979.85</v>
      </c>
    </row>
    <row r="199" spans="1:14" x14ac:dyDescent="0.25">
      <c r="B199" s="506">
        <v>42641</v>
      </c>
      <c r="C199" s="7">
        <v>200</v>
      </c>
      <c r="D199" s="79">
        <v>14.17</v>
      </c>
      <c r="E199" s="44">
        <v>0</v>
      </c>
      <c r="F199" s="44">
        <f t="shared" si="20"/>
        <v>2834</v>
      </c>
      <c r="G199" s="459">
        <v>42677</v>
      </c>
      <c r="H199" s="82">
        <v>2000</v>
      </c>
      <c r="I199" s="79">
        <v>14.5</v>
      </c>
      <c r="J199" s="44">
        <v>0.63</v>
      </c>
      <c r="K199" s="44">
        <f t="shared" si="13"/>
        <v>28999.37</v>
      </c>
    </row>
    <row r="200" spans="1:14" x14ac:dyDescent="0.25">
      <c r="B200" s="506">
        <v>42642</v>
      </c>
      <c r="C200" s="7">
        <v>414</v>
      </c>
      <c r="D200" s="79">
        <v>15.66</v>
      </c>
      <c r="E200" s="44">
        <v>0</v>
      </c>
      <c r="F200" s="44">
        <f t="shared" si="20"/>
        <v>6483.24</v>
      </c>
      <c r="G200" s="459">
        <v>42682</v>
      </c>
      <c r="H200" s="82">
        <v>1000</v>
      </c>
      <c r="I200" s="79">
        <v>14.28</v>
      </c>
      <c r="J200" s="44">
        <v>0.31</v>
      </c>
      <c r="K200" s="44">
        <f t="shared" si="13"/>
        <v>14279.69</v>
      </c>
    </row>
    <row r="201" spans="1:14" ht="15" customHeight="1" x14ac:dyDescent="0.25">
      <c r="A201" s="640" t="s">
        <v>314</v>
      </c>
      <c r="B201" s="506">
        <v>42647</v>
      </c>
      <c r="C201" s="7">
        <v>500</v>
      </c>
      <c r="D201" s="79">
        <v>15.86</v>
      </c>
      <c r="E201" s="44">
        <v>0</v>
      </c>
      <c r="F201" s="44">
        <f t="shared" si="20"/>
        <v>7930</v>
      </c>
      <c r="G201" s="459">
        <v>42685</v>
      </c>
      <c r="H201" s="82">
        <v>500</v>
      </c>
      <c r="I201" s="79">
        <v>15.88</v>
      </c>
      <c r="J201" s="44">
        <v>0.17</v>
      </c>
      <c r="K201" s="44">
        <f t="shared" si="13"/>
        <v>7939.83</v>
      </c>
    </row>
    <row r="202" spans="1:14" x14ac:dyDescent="0.25">
      <c r="A202" s="640"/>
      <c r="B202" s="506">
        <v>42647</v>
      </c>
      <c r="C202" s="7">
        <v>500</v>
      </c>
      <c r="D202" s="79">
        <v>15.62</v>
      </c>
      <c r="E202" s="44">
        <v>0</v>
      </c>
      <c r="F202" s="44">
        <f t="shared" si="20"/>
        <v>7810</v>
      </c>
      <c r="G202" s="459">
        <v>42695</v>
      </c>
      <c r="H202" s="82">
        <v>2272</v>
      </c>
      <c r="I202" s="79">
        <v>16.28</v>
      </c>
      <c r="J202" s="44">
        <v>0.81</v>
      </c>
      <c r="K202" s="44">
        <f t="shared" si="13"/>
        <v>36987.350000000006</v>
      </c>
    </row>
    <row r="203" spans="1:14" x14ac:dyDescent="0.25">
      <c r="A203" s="640"/>
      <c r="B203" s="506">
        <v>42649</v>
      </c>
      <c r="C203" s="7">
        <v>500</v>
      </c>
      <c r="D203" s="79">
        <v>15.97</v>
      </c>
      <c r="E203" s="44">
        <v>0</v>
      </c>
      <c r="F203" s="44">
        <f t="shared" si="20"/>
        <v>7985</v>
      </c>
      <c r="G203" s="459">
        <v>42695</v>
      </c>
      <c r="H203" s="82">
        <v>500</v>
      </c>
      <c r="I203" s="79">
        <v>16.45</v>
      </c>
      <c r="J203" s="44">
        <v>0.18</v>
      </c>
      <c r="K203" s="44">
        <f t="shared" si="13"/>
        <v>8224.82</v>
      </c>
    </row>
    <row r="204" spans="1:14" x14ac:dyDescent="0.25">
      <c r="A204" s="640"/>
      <c r="B204" s="506">
        <v>42649</v>
      </c>
      <c r="C204" s="7">
        <v>500</v>
      </c>
      <c r="D204" s="79">
        <v>15.84</v>
      </c>
      <c r="E204" s="44">
        <v>0</v>
      </c>
      <c r="F204" s="44">
        <f t="shared" si="20"/>
        <v>7920</v>
      </c>
      <c r="G204" s="459">
        <v>42696</v>
      </c>
      <c r="H204" s="82">
        <v>500</v>
      </c>
      <c r="I204" s="79">
        <v>16.54</v>
      </c>
      <c r="J204" s="44">
        <v>0.18</v>
      </c>
      <c r="K204" s="44">
        <f t="shared" si="13"/>
        <v>8269.82</v>
      </c>
      <c r="N204" s="72"/>
    </row>
    <row r="205" spans="1:14" x14ac:dyDescent="0.25">
      <c r="B205" s="506">
        <v>42649</v>
      </c>
      <c r="C205" s="7">
        <v>500</v>
      </c>
      <c r="D205" s="79">
        <v>16.079999999999998</v>
      </c>
      <c r="E205" s="44">
        <v>0</v>
      </c>
      <c r="F205" s="44">
        <f t="shared" si="20"/>
        <v>8039.9999999999991</v>
      </c>
      <c r="G205" s="459">
        <v>42697</v>
      </c>
      <c r="H205" s="82">
        <v>200</v>
      </c>
      <c r="I205" s="79">
        <v>16.79</v>
      </c>
      <c r="J205" s="44">
        <v>7.0000000000000007E-2</v>
      </c>
      <c r="K205" s="44">
        <f t="shared" si="13"/>
        <v>3357.93</v>
      </c>
    </row>
    <row r="206" spans="1:14" x14ac:dyDescent="0.25">
      <c r="B206" s="506">
        <v>42650</v>
      </c>
      <c r="C206" s="7">
        <v>300</v>
      </c>
      <c r="D206" s="79">
        <v>15.75</v>
      </c>
      <c r="E206" s="44">
        <v>0</v>
      </c>
      <c r="F206" s="44">
        <f t="shared" si="20"/>
        <v>4725</v>
      </c>
      <c r="G206" s="459">
        <v>42697</v>
      </c>
      <c r="H206" s="82">
        <v>500</v>
      </c>
      <c r="I206" s="79">
        <v>16.59</v>
      </c>
      <c r="J206" s="44">
        <v>0.18</v>
      </c>
      <c r="K206" s="44">
        <f t="shared" si="13"/>
        <v>8294.82</v>
      </c>
    </row>
    <row r="207" spans="1:14" x14ac:dyDescent="0.25">
      <c r="B207" s="506">
        <v>42650</v>
      </c>
      <c r="C207" s="7">
        <v>300</v>
      </c>
      <c r="D207" s="79">
        <v>15.58</v>
      </c>
      <c r="E207" s="44">
        <v>0</v>
      </c>
      <c r="F207" s="44">
        <f t="shared" si="20"/>
        <v>4674</v>
      </c>
      <c r="G207" s="459">
        <v>42704</v>
      </c>
      <c r="H207" s="82">
        <v>1000</v>
      </c>
      <c r="I207" s="79">
        <v>16.420000000000002</v>
      </c>
      <c r="J207" s="44">
        <v>0.36</v>
      </c>
      <c r="K207" s="44">
        <f t="shared" si="13"/>
        <v>16419.64</v>
      </c>
    </row>
    <row r="208" spans="1:14" x14ac:dyDescent="0.25">
      <c r="B208" s="506">
        <v>42653</v>
      </c>
      <c r="C208" s="7">
        <v>394</v>
      </c>
      <c r="D208" s="79">
        <v>15.72</v>
      </c>
      <c r="E208" s="44">
        <v>0</v>
      </c>
      <c r="F208" s="44">
        <f t="shared" si="20"/>
        <v>6193.68</v>
      </c>
      <c r="G208" s="459">
        <v>42704</v>
      </c>
      <c r="H208" s="82">
        <v>300</v>
      </c>
      <c r="I208" s="79">
        <v>16.78</v>
      </c>
      <c r="J208" s="44">
        <v>1.61</v>
      </c>
      <c r="K208" s="44">
        <f t="shared" si="13"/>
        <v>5032.3900000000003</v>
      </c>
    </row>
    <row r="209" spans="1:16" x14ac:dyDescent="0.25">
      <c r="B209" s="506">
        <v>42653</v>
      </c>
      <c r="C209" s="7">
        <v>6</v>
      </c>
      <c r="D209" s="79">
        <v>15.72</v>
      </c>
      <c r="E209" s="44">
        <v>0</v>
      </c>
      <c r="F209" s="44">
        <f t="shared" si="20"/>
        <v>94.320000000000007</v>
      </c>
      <c r="G209" s="459">
        <v>42704</v>
      </c>
      <c r="H209" s="82">
        <v>1000</v>
      </c>
      <c r="I209" s="79">
        <v>17.079999999999998</v>
      </c>
      <c r="J209" s="44">
        <v>0.37</v>
      </c>
      <c r="K209" s="44">
        <f t="shared" si="13"/>
        <v>17079.63</v>
      </c>
    </row>
    <row r="210" spans="1:16" ht="15" customHeight="1" x14ac:dyDescent="0.25">
      <c r="B210" s="506">
        <v>42655</v>
      </c>
      <c r="C210" s="7">
        <v>22</v>
      </c>
      <c r="D210" s="79">
        <v>15.48</v>
      </c>
      <c r="E210" s="44">
        <v>0</v>
      </c>
      <c r="F210" s="44">
        <f t="shared" ref="F210" si="21">C210*D210+E210</f>
        <v>340.56</v>
      </c>
      <c r="G210" s="459">
        <v>42704</v>
      </c>
      <c r="H210" s="82">
        <v>1000</v>
      </c>
      <c r="I210" s="79">
        <v>17.32</v>
      </c>
      <c r="J210" s="44">
        <v>0.38</v>
      </c>
      <c r="K210" s="44">
        <f t="shared" si="13"/>
        <v>17319.62</v>
      </c>
    </row>
    <row r="211" spans="1:16" ht="15" customHeight="1" x14ac:dyDescent="0.25">
      <c r="B211" s="506">
        <v>42655</v>
      </c>
      <c r="C211" s="7">
        <v>300</v>
      </c>
      <c r="D211" s="79">
        <v>15.48</v>
      </c>
      <c r="E211" s="44">
        <v>0</v>
      </c>
      <c r="F211" s="44">
        <f t="shared" ref="F211" si="22">C211*D211+E211</f>
        <v>4644</v>
      </c>
      <c r="G211" s="459">
        <v>42704</v>
      </c>
      <c r="H211" s="82">
        <v>500</v>
      </c>
      <c r="I211" s="79">
        <v>17.64</v>
      </c>
      <c r="J211" s="44">
        <v>0.19</v>
      </c>
      <c r="K211" s="44">
        <f t="shared" si="13"/>
        <v>8819.81</v>
      </c>
    </row>
    <row r="212" spans="1:16" x14ac:dyDescent="0.25">
      <c r="A212" s="586"/>
      <c r="B212" s="506">
        <v>42668</v>
      </c>
      <c r="C212" s="7">
        <v>500</v>
      </c>
      <c r="D212" s="79">
        <v>14.26</v>
      </c>
      <c r="E212" s="44">
        <v>-2.5</v>
      </c>
      <c r="F212" s="44">
        <f t="shared" ref="F212:F221" si="23">C212*D212+E212</f>
        <v>7127.5</v>
      </c>
      <c r="G212" s="459">
        <v>42705</v>
      </c>
      <c r="H212" s="82">
        <v>528</v>
      </c>
      <c r="I212" s="79">
        <v>18.7</v>
      </c>
      <c r="J212" s="44">
        <v>0.22</v>
      </c>
      <c r="K212" s="44">
        <f t="shared" si="13"/>
        <v>9873.380000000001</v>
      </c>
    </row>
    <row r="213" spans="1:16" x14ac:dyDescent="0.25">
      <c r="A213" s="586"/>
      <c r="B213" s="506">
        <v>42668</v>
      </c>
      <c r="C213" s="7">
        <v>500</v>
      </c>
      <c r="D213" s="79">
        <v>14.16</v>
      </c>
      <c r="E213" s="44">
        <v>0</v>
      </c>
      <c r="F213" s="44">
        <f t="shared" si="23"/>
        <v>7080</v>
      </c>
      <c r="G213" s="459">
        <v>42711</v>
      </c>
      <c r="H213" s="82">
        <v>500</v>
      </c>
      <c r="I213" s="79">
        <v>18.329999999999998</v>
      </c>
      <c r="J213" s="44">
        <v>0.2</v>
      </c>
      <c r="K213" s="44">
        <f t="shared" si="13"/>
        <v>9164.7999999999993</v>
      </c>
    </row>
    <row r="214" spans="1:16" x14ac:dyDescent="0.25">
      <c r="A214" s="586"/>
      <c r="B214" s="506">
        <v>42670</v>
      </c>
      <c r="C214" s="7">
        <v>500</v>
      </c>
      <c r="D214" s="79">
        <v>14.18</v>
      </c>
      <c r="E214" s="44">
        <v>0</v>
      </c>
      <c r="F214" s="44">
        <f t="shared" si="23"/>
        <v>7090</v>
      </c>
      <c r="G214" s="459">
        <v>42713</v>
      </c>
      <c r="H214" s="82">
        <v>500</v>
      </c>
      <c r="I214" s="79">
        <v>18.28</v>
      </c>
      <c r="J214" s="44">
        <v>0.2</v>
      </c>
      <c r="K214" s="44">
        <f t="shared" si="13"/>
        <v>9139.7999999999993</v>
      </c>
    </row>
    <row r="215" spans="1:16" x14ac:dyDescent="0.25">
      <c r="A215" s="586"/>
      <c r="B215" s="506">
        <v>42670</v>
      </c>
      <c r="C215" s="7">
        <v>500</v>
      </c>
      <c r="D215" s="79">
        <v>14.05</v>
      </c>
      <c r="E215" s="44">
        <v>0</v>
      </c>
      <c r="F215" s="44">
        <f t="shared" si="23"/>
        <v>7025</v>
      </c>
      <c r="G215" s="459">
        <v>42718</v>
      </c>
      <c r="H215" s="82">
        <v>200</v>
      </c>
      <c r="I215" s="79">
        <v>18.78</v>
      </c>
      <c r="J215" s="44">
        <v>0.08</v>
      </c>
      <c r="K215" s="44">
        <f t="shared" si="13"/>
        <v>3755.92</v>
      </c>
    </row>
    <row r="216" spans="1:16" x14ac:dyDescent="0.25">
      <c r="A216" s="586"/>
      <c r="B216" s="506">
        <v>42670</v>
      </c>
      <c r="C216" s="7">
        <v>500</v>
      </c>
      <c r="D216" s="79">
        <v>13.88</v>
      </c>
      <c r="E216" s="44">
        <v>0</v>
      </c>
      <c r="F216" s="44">
        <f t="shared" si="23"/>
        <v>6940</v>
      </c>
      <c r="G216" s="459">
        <v>42734</v>
      </c>
      <c r="H216" s="82">
        <v>1000</v>
      </c>
      <c r="I216" s="79">
        <v>17.72</v>
      </c>
      <c r="J216" s="44">
        <v>0.39</v>
      </c>
      <c r="K216" s="44">
        <f t="shared" si="13"/>
        <v>17719.61</v>
      </c>
    </row>
    <row r="217" spans="1:16" x14ac:dyDescent="0.25">
      <c r="A217" s="4"/>
      <c r="B217" s="506">
        <v>42671</v>
      </c>
      <c r="C217" s="7">
        <v>1000</v>
      </c>
      <c r="D217" s="79">
        <v>14.15</v>
      </c>
      <c r="E217" s="44">
        <v>0</v>
      </c>
      <c r="F217" s="44">
        <f t="shared" si="23"/>
        <v>14150</v>
      </c>
      <c r="G217" s="459">
        <v>42739</v>
      </c>
      <c r="H217" s="82">
        <v>500</v>
      </c>
      <c r="I217" s="79">
        <v>18.079999999999998</v>
      </c>
      <c r="J217" s="44">
        <v>0.2</v>
      </c>
      <c r="K217" s="44">
        <f t="shared" si="13"/>
        <v>9039.7999999999993</v>
      </c>
    </row>
    <row r="218" spans="1:16" x14ac:dyDescent="0.25">
      <c r="A218" s="4"/>
      <c r="B218" s="506">
        <v>42674</v>
      </c>
      <c r="C218" s="7">
        <v>300</v>
      </c>
      <c r="D218" s="79">
        <v>13.28</v>
      </c>
      <c r="E218" s="44">
        <v>-1.5</v>
      </c>
      <c r="F218" s="44">
        <f t="shared" si="23"/>
        <v>3982.5</v>
      </c>
      <c r="G218" s="459">
        <v>42748</v>
      </c>
      <c r="H218" s="82">
        <v>500</v>
      </c>
      <c r="I218" s="79">
        <v>17.48</v>
      </c>
      <c r="J218" s="44">
        <v>0.19</v>
      </c>
      <c r="K218" s="44">
        <f t="shared" si="13"/>
        <v>8739.81</v>
      </c>
      <c r="P218" s="72"/>
    </row>
    <row r="219" spans="1:16" x14ac:dyDescent="0.25">
      <c r="A219" s="4"/>
      <c r="B219" s="506">
        <v>42674</v>
      </c>
      <c r="C219" s="7">
        <v>200</v>
      </c>
      <c r="D219" s="79">
        <v>13.15</v>
      </c>
      <c r="E219" s="44">
        <v>0.02</v>
      </c>
      <c r="F219" s="44">
        <f t="shared" si="23"/>
        <v>2630.02</v>
      </c>
      <c r="G219" s="459">
        <v>42761</v>
      </c>
      <c r="H219" s="82">
        <v>1000</v>
      </c>
      <c r="I219" s="79">
        <v>17.899999999999999</v>
      </c>
      <c r="J219" s="44">
        <v>0.39</v>
      </c>
      <c r="K219" s="44">
        <f t="shared" si="13"/>
        <v>17899.61</v>
      </c>
      <c r="P219" s="72"/>
    </row>
    <row r="220" spans="1:16" x14ac:dyDescent="0.25">
      <c r="A220" s="4"/>
      <c r="B220" s="506">
        <v>42676</v>
      </c>
      <c r="C220" s="7">
        <v>200</v>
      </c>
      <c r="D220" s="79">
        <v>12.89</v>
      </c>
      <c r="E220" s="44">
        <v>0</v>
      </c>
      <c r="F220" s="44">
        <f t="shared" si="23"/>
        <v>2578</v>
      </c>
      <c r="G220" s="459">
        <v>42766</v>
      </c>
      <c r="H220" s="82">
        <v>300</v>
      </c>
      <c r="I220" s="79">
        <v>16.649999999999999</v>
      </c>
      <c r="J220" s="44">
        <v>0.11</v>
      </c>
      <c r="K220" s="44">
        <f t="shared" si="13"/>
        <v>4994.8900000000003</v>
      </c>
    </row>
    <row r="221" spans="1:16" x14ac:dyDescent="0.25">
      <c r="A221" s="4"/>
      <c r="B221" s="506">
        <v>42678</v>
      </c>
      <c r="C221" s="7">
        <v>500</v>
      </c>
      <c r="D221" s="79">
        <v>13.69</v>
      </c>
      <c r="E221" s="44">
        <v>0</v>
      </c>
      <c r="F221" s="44">
        <f t="shared" si="23"/>
        <v>6845</v>
      </c>
      <c r="G221" s="459">
        <v>42767</v>
      </c>
      <c r="H221" s="82">
        <v>612</v>
      </c>
      <c r="I221" s="79">
        <v>17.03</v>
      </c>
      <c r="J221" s="44">
        <v>0.23</v>
      </c>
      <c r="K221" s="44">
        <f t="shared" si="13"/>
        <v>10422.130000000001</v>
      </c>
    </row>
    <row r="222" spans="1:16" x14ac:dyDescent="0.25">
      <c r="A222" s="4"/>
      <c r="B222" s="506">
        <v>42678</v>
      </c>
      <c r="C222" s="7">
        <v>500</v>
      </c>
      <c r="D222" s="79">
        <v>13.69</v>
      </c>
      <c r="E222" s="44">
        <v>0</v>
      </c>
      <c r="F222" s="44">
        <f t="shared" ref="F222" si="24">C222*D222+E222</f>
        <v>6845</v>
      </c>
      <c r="G222" s="459">
        <v>42767</v>
      </c>
      <c r="H222" s="82">
        <v>288</v>
      </c>
      <c r="I222" s="79">
        <v>17.12</v>
      </c>
      <c r="J222" s="44">
        <v>0.11</v>
      </c>
      <c r="K222" s="44">
        <f t="shared" si="13"/>
        <v>4930.4500000000007</v>
      </c>
    </row>
    <row r="223" spans="1:16" x14ac:dyDescent="0.25">
      <c r="A223" s="4"/>
      <c r="B223" s="506">
        <v>42691</v>
      </c>
      <c r="C223" s="7">
        <v>150</v>
      </c>
      <c r="D223" s="79">
        <v>15.48</v>
      </c>
      <c r="E223" s="44">
        <v>0</v>
      </c>
      <c r="F223" s="44">
        <f t="shared" ref="F223:F252" si="25">C223*D223+E223</f>
        <v>2322</v>
      </c>
      <c r="G223" s="459">
        <v>42767</v>
      </c>
      <c r="H223" s="82">
        <v>700</v>
      </c>
      <c r="I223" s="79">
        <v>16.57</v>
      </c>
      <c r="J223" s="44">
        <v>0.25</v>
      </c>
      <c r="K223" s="44">
        <f t="shared" si="13"/>
        <v>11598.75</v>
      </c>
    </row>
    <row r="224" spans="1:16" x14ac:dyDescent="0.25">
      <c r="A224" s="4"/>
      <c r="B224" s="506">
        <v>42691</v>
      </c>
      <c r="C224" s="7">
        <v>300</v>
      </c>
      <c r="D224" s="79">
        <v>15.48</v>
      </c>
      <c r="E224" s="44">
        <v>0</v>
      </c>
      <c r="F224" s="44">
        <f t="shared" si="25"/>
        <v>4644</v>
      </c>
      <c r="G224" s="459">
        <v>42768</v>
      </c>
      <c r="H224" s="82">
        <v>200</v>
      </c>
      <c r="I224" s="79">
        <v>16.7</v>
      </c>
      <c r="J224" s="44">
        <v>7.0000000000000007E-2</v>
      </c>
      <c r="K224" s="44">
        <f t="shared" si="13"/>
        <v>3339.93</v>
      </c>
    </row>
    <row r="225" spans="1:17" ht="15" customHeight="1" x14ac:dyDescent="0.25">
      <c r="A225" s="4"/>
      <c r="B225" s="506">
        <v>42696</v>
      </c>
      <c r="C225" s="7">
        <v>1000</v>
      </c>
      <c r="D225" s="79">
        <v>16.12</v>
      </c>
      <c r="E225" s="44">
        <v>0</v>
      </c>
      <c r="F225" s="44">
        <f t="shared" si="25"/>
        <v>16120.000000000002</v>
      </c>
      <c r="G225" s="459">
        <v>42768</v>
      </c>
      <c r="H225" s="82">
        <v>500</v>
      </c>
      <c r="I225" s="79">
        <v>16.600000000000001</v>
      </c>
      <c r="J225" s="44">
        <v>-1.82</v>
      </c>
      <c r="K225" s="44">
        <f t="shared" si="13"/>
        <v>8301.82</v>
      </c>
    </row>
    <row r="226" spans="1:17" ht="18.75" customHeight="1" x14ac:dyDescent="0.25">
      <c r="A226" s="4"/>
      <c r="B226" s="509">
        <v>42699</v>
      </c>
      <c r="C226" s="7">
        <v>200</v>
      </c>
      <c r="D226" s="79">
        <v>16.28</v>
      </c>
      <c r="E226" s="44">
        <v>0</v>
      </c>
      <c r="F226" s="44">
        <f t="shared" si="25"/>
        <v>3256</v>
      </c>
      <c r="G226" s="459">
        <v>42768</v>
      </c>
      <c r="H226" s="82">
        <v>500</v>
      </c>
      <c r="I226" s="79">
        <v>16.75</v>
      </c>
      <c r="J226" s="44">
        <v>0.18</v>
      </c>
      <c r="K226" s="44">
        <f t="shared" si="13"/>
        <v>8374.82</v>
      </c>
    </row>
    <row r="227" spans="1:17" x14ac:dyDescent="0.25">
      <c r="A227" s="586"/>
      <c r="B227" s="506">
        <v>42699</v>
      </c>
      <c r="C227" s="7">
        <v>500</v>
      </c>
      <c r="D227" s="79">
        <v>16.16</v>
      </c>
      <c r="E227" s="44">
        <v>0</v>
      </c>
      <c r="F227" s="44">
        <f t="shared" si="25"/>
        <v>8080</v>
      </c>
      <c r="G227" s="1">
        <v>42769</v>
      </c>
      <c r="H227" s="72">
        <v>400</v>
      </c>
      <c r="I227" s="80">
        <v>16.95</v>
      </c>
      <c r="J227" s="2">
        <v>0.15</v>
      </c>
      <c r="K227" s="2">
        <f t="shared" si="13"/>
        <v>6779.85</v>
      </c>
    </row>
    <row r="228" spans="1:17" x14ac:dyDescent="0.25">
      <c r="A228" s="586"/>
      <c r="B228" s="509">
        <v>42702</v>
      </c>
      <c r="C228" s="7">
        <v>500</v>
      </c>
      <c r="D228" s="79">
        <v>16.059999999999999</v>
      </c>
      <c r="E228" s="44">
        <v>0</v>
      </c>
      <c r="F228" s="44">
        <f t="shared" si="25"/>
        <v>8029.9999999999991</v>
      </c>
      <c r="G228" s="1">
        <v>42769</v>
      </c>
      <c r="H228" s="72">
        <v>300</v>
      </c>
      <c r="I228" s="80">
        <v>17.32</v>
      </c>
      <c r="J228" s="2">
        <v>0.11</v>
      </c>
      <c r="K228" s="2">
        <f t="shared" si="13"/>
        <v>5195.8900000000003</v>
      </c>
    </row>
    <row r="229" spans="1:17" x14ac:dyDescent="0.25">
      <c r="A229" s="586"/>
      <c r="B229" s="509">
        <v>42702</v>
      </c>
      <c r="C229" s="7">
        <v>200</v>
      </c>
      <c r="D229" s="79">
        <v>15.8</v>
      </c>
      <c r="E229" s="44">
        <v>0</v>
      </c>
      <c r="F229" s="44">
        <f t="shared" si="25"/>
        <v>3160</v>
      </c>
    </row>
    <row r="230" spans="1:17" x14ac:dyDescent="0.25">
      <c r="A230" s="586"/>
      <c r="B230" s="506">
        <v>42702</v>
      </c>
      <c r="C230" s="4">
        <v>300</v>
      </c>
      <c r="D230" s="240">
        <v>15.65</v>
      </c>
      <c r="E230" s="3">
        <v>0</v>
      </c>
      <c r="F230" s="3">
        <f t="shared" si="25"/>
        <v>4695</v>
      </c>
      <c r="P230" s="1"/>
    </row>
    <row r="231" spans="1:17" x14ac:dyDescent="0.25">
      <c r="B231" s="506">
        <v>42703</v>
      </c>
      <c r="C231" s="4">
        <v>300</v>
      </c>
      <c r="D231" s="240">
        <v>14.78</v>
      </c>
      <c r="E231" s="3">
        <v>0</v>
      </c>
      <c r="F231" s="3">
        <f t="shared" si="25"/>
        <v>4434</v>
      </c>
      <c r="Q231" s="72"/>
    </row>
    <row r="232" spans="1:17" x14ac:dyDescent="0.25">
      <c r="B232" s="506">
        <v>42705</v>
      </c>
      <c r="C232" s="7">
        <v>350</v>
      </c>
      <c r="D232" s="79">
        <v>17.600000000000001</v>
      </c>
      <c r="E232" s="44">
        <v>0</v>
      </c>
      <c r="F232" s="44">
        <f t="shared" si="25"/>
        <v>6160.0000000000009</v>
      </c>
      <c r="P232" s="1"/>
    </row>
    <row r="233" spans="1:17" x14ac:dyDescent="0.25">
      <c r="B233" s="506">
        <v>42711</v>
      </c>
      <c r="C233" s="7">
        <v>500</v>
      </c>
      <c r="D233" s="79">
        <v>18.12</v>
      </c>
      <c r="E233" s="44">
        <v>0</v>
      </c>
      <c r="F233" s="44">
        <f t="shared" si="25"/>
        <v>9060</v>
      </c>
      <c r="P233" s="1"/>
      <c r="Q233" s="72"/>
    </row>
    <row r="234" spans="1:17" x14ac:dyDescent="0.25">
      <c r="B234" s="506">
        <v>42713</v>
      </c>
      <c r="C234" s="4">
        <v>500</v>
      </c>
      <c r="D234" s="240">
        <v>18.12</v>
      </c>
      <c r="E234" s="3">
        <v>0</v>
      </c>
      <c r="F234" s="3">
        <f t="shared" si="25"/>
        <v>9060</v>
      </c>
      <c r="P234" s="1"/>
    </row>
    <row r="235" spans="1:17" x14ac:dyDescent="0.25">
      <c r="B235" s="506">
        <v>42718</v>
      </c>
      <c r="C235" s="7">
        <v>200</v>
      </c>
      <c r="D235" s="79">
        <v>18.73</v>
      </c>
      <c r="E235" s="44">
        <v>-1</v>
      </c>
      <c r="F235" s="44">
        <f t="shared" si="25"/>
        <v>3745</v>
      </c>
      <c r="N235" s="30"/>
      <c r="P235" s="1"/>
      <c r="Q235" s="72"/>
    </row>
    <row r="236" spans="1:17" x14ac:dyDescent="0.25">
      <c r="B236" s="506">
        <v>42733</v>
      </c>
      <c r="C236" s="7">
        <v>1000</v>
      </c>
      <c r="D236" s="79">
        <v>17.64</v>
      </c>
      <c r="E236" s="44">
        <v>-1.5</v>
      </c>
      <c r="F236" s="44">
        <f t="shared" si="25"/>
        <v>17638.5</v>
      </c>
      <c r="Q236" s="72"/>
    </row>
    <row r="237" spans="1:17" x14ac:dyDescent="0.25">
      <c r="B237" s="506">
        <v>42734</v>
      </c>
      <c r="C237" s="7">
        <v>1000</v>
      </c>
      <c r="D237" s="79">
        <v>17.329999999999998</v>
      </c>
      <c r="E237" s="44">
        <v>0</v>
      </c>
      <c r="F237" s="44">
        <f t="shared" si="25"/>
        <v>17330</v>
      </c>
      <c r="P237" s="1"/>
    </row>
    <row r="238" spans="1:17" x14ac:dyDescent="0.25">
      <c r="B238" s="510">
        <v>42741</v>
      </c>
      <c r="C238" s="4">
        <v>500</v>
      </c>
      <c r="D238" s="240">
        <v>17.88</v>
      </c>
      <c r="E238" s="3">
        <v>0</v>
      </c>
      <c r="F238" s="3">
        <f t="shared" si="25"/>
        <v>8940</v>
      </c>
    </row>
    <row r="239" spans="1:17" x14ac:dyDescent="0.25">
      <c r="B239" s="510">
        <v>42748</v>
      </c>
      <c r="C239" s="4">
        <v>500</v>
      </c>
      <c r="D239" s="240">
        <v>17.260000000000002</v>
      </c>
      <c r="E239" s="3">
        <v>0</v>
      </c>
      <c r="F239" s="3">
        <f t="shared" si="25"/>
        <v>8630</v>
      </c>
    </row>
    <row r="240" spans="1:17" x14ac:dyDescent="0.25">
      <c r="B240" s="510">
        <v>42761</v>
      </c>
      <c r="C240" s="4">
        <v>500</v>
      </c>
      <c r="D240" s="240">
        <v>17.79</v>
      </c>
      <c r="E240" s="3">
        <v>0</v>
      </c>
      <c r="F240" s="3">
        <f t="shared" si="25"/>
        <v>8895</v>
      </c>
    </row>
    <row r="241" spans="1:13" x14ac:dyDescent="0.25">
      <c r="B241" s="510">
        <v>42761</v>
      </c>
      <c r="C241" s="4">
        <v>500</v>
      </c>
      <c r="D241" s="240">
        <v>17.78</v>
      </c>
      <c r="E241" s="3">
        <v>-2.5</v>
      </c>
      <c r="F241" s="3">
        <f t="shared" si="25"/>
        <v>8887.5</v>
      </c>
    </row>
    <row r="242" spans="1:13" x14ac:dyDescent="0.25">
      <c r="A242" s="639" t="s">
        <v>489</v>
      </c>
      <c r="B242" s="510">
        <v>42762</v>
      </c>
      <c r="C242" s="7">
        <v>100</v>
      </c>
      <c r="D242" s="79">
        <v>17.28</v>
      </c>
      <c r="E242" s="44">
        <v>0</v>
      </c>
      <c r="F242" s="44">
        <f t="shared" si="25"/>
        <v>1728</v>
      </c>
    </row>
    <row r="243" spans="1:13" x14ac:dyDescent="0.25">
      <c r="A243" s="639"/>
      <c r="B243" s="510">
        <v>42765</v>
      </c>
      <c r="C243" s="7">
        <v>100</v>
      </c>
      <c r="D243" s="79">
        <v>16.8</v>
      </c>
      <c r="E243" s="44">
        <v>0</v>
      </c>
      <c r="F243" s="44">
        <f t="shared" si="25"/>
        <v>1680</v>
      </c>
    </row>
    <row r="244" spans="1:13" x14ac:dyDescent="0.25">
      <c r="A244" s="639"/>
      <c r="B244" s="510">
        <v>42765</v>
      </c>
      <c r="C244" s="4">
        <v>500</v>
      </c>
      <c r="D244" s="80">
        <v>16.649999999999999</v>
      </c>
      <c r="E244" s="2">
        <v>0</v>
      </c>
      <c r="F244" s="2">
        <f t="shared" si="25"/>
        <v>8325</v>
      </c>
    </row>
    <row r="245" spans="1:13" x14ac:dyDescent="0.25">
      <c r="A245" s="639"/>
      <c r="B245" s="510">
        <v>42765</v>
      </c>
      <c r="C245" s="4">
        <v>200</v>
      </c>
      <c r="D245" s="80">
        <v>16.48</v>
      </c>
      <c r="E245" s="2">
        <v>0</v>
      </c>
      <c r="F245" s="2">
        <f t="shared" si="25"/>
        <v>3296</v>
      </c>
    </row>
    <row r="246" spans="1:13" x14ac:dyDescent="0.25">
      <c r="B246" s="510">
        <v>42766</v>
      </c>
      <c r="C246" s="4">
        <v>100</v>
      </c>
      <c r="D246" s="80">
        <v>16.59</v>
      </c>
      <c r="E246" s="2">
        <v>0</v>
      </c>
      <c r="F246" s="2">
        <f t="shared" si="25"/>
        <v>1659</v>
      </c>
    </row>
    <row r="247" spans="1:13" x14ac:dyDescent="0.25">
      <c r="B247" s="510">
        <v>42766</v>
      </c>
      <c r="C247" s="4">
        <v>200</v>
      </c>
      <c r="D247" s="80">
        <v>16.32</v>
      </c>
      <c r="E247" s="2">
        <v>0</v>
      </c>
      <c r="F247" s="2">
        <f t="shared" si="25"/>
        <v>3264</v>
      </c>
    </row>
    <row r="248" spans="1:13" x14ac:dyDescent="0.25">
      <c r="B248" s="510">
        <v>42767</v>
      </c>
      <c r="C248" s="4">
        <v>500</v>
      </c>
      <c r="D248" s="80">
        <v>16.559999999999999</v>
      </c>
      <c r="E248" s="2">
        <v>-0.5</v>
      </c>
      <c r="F248" s="2">
        <f t="shared" si="25"/>
        <v>8279.5</v>
      </c>
    </row>
    <row r="249" spans="1:13" x14ac:dyDescent="0.25">
      <c r="B249" s="510">
        <v>42767</v>
      </c>
      <c r="C249" s="4">
        <v>500</v>
      </c>
      <c r="D249" s="80">
        <v>16.29</v>
      </c>
      <c r="E249" s="2">
        <v>0</v>
      </c>
      <c r="F249" s="2">
        <f t="shared" si="25"/>
        <v>8145</v>
      </c>
    </row>
    <row r="250" spans="1:13" x14ac:dyDescent="0.25">
      <c r="B250" s="510">
        <v>42767</v>
      </c>
      <c r="C250" s="4">
        <v>200</v>
      </c>
      <c r="D250" s="80">
        <v>16.399999999999999</v>
      </c>
      <c r="E250" s="2">
        <v>0</v>
      </c>
      <c r="F250" s="2">
        <f t="shared" si="25"/>
        <v>3279.9999999999995</v>
      </c>
    </row>
    <row r="251" spans="1:13" x14ac:dyDescent="0.25">
      <c r="B251" s="510">
        <v>42768</v>
      </c>
      <c r="C251" s="4">
        <v>200</v>
      </c>
      <c r="D251" s="80">
        <v>16.54</v>
      </c>
      <c r="E251" s="2">
        <v>0.4</v>
      </c>
      <c r="F251" s="2">
        <f t="shared" si="25"/>
        <v>3308.4</v>
      </c>
    </row>
    <row r="252" spans="1:13" x14ac:dyDescent="0.25">
      <c r="B252" s="510">
        <v>42768</v>
      </c>
      <c r="C252" s="4">
        <v>500</v>
      </c>
      <c r="D252" s="80">
        <v>16.32</v>
      </c>
      <c r="E252" s="2">
        <v>0</v>
      </c>
      <c r="F252" s="2">
        <f t="shared" si="25"/>
        <v>8160</v>
      </c>
    </row>
    <row r="256" spans="1:13" x14ac:dyDescent="0.25">
      <c r="A256" s="32" t="s">
        <v>81</v>
      </c>
      <c r="B256" s="511"/>
      <c r="C256" s="73">
        <f>SUM(C2:C255)</f>
        <v>137912</v>
      </c>
      <c r="D256" s="18"/>
      <c r="E256" s="18"/>
      <c r="F256" s="18">
        <f>SUM(F2:F255)</f>
        <v>1968358.2389999998</v>
      </c>
      <c r="G256" s="14"/>
      <c r="H256" s="73">
        <f>SUM(H2:H255)</f>
        <v>132612</v>
      </c>
      <c r="I256" s="81"/>
      <c r="J256" s="18"/>
      <c r="K256" s="18">
        <f>SUM(K2:K255)</f>
        <v>1891370.6500000018</v>
      </c>
      <c r="L256" s="14"/>
      <c r="M256" s="18">
        <f>SUM(M2:M12)</f>
        <v>2752.2000000000003</v>
      </c>
    </row>
    <row r="257" spans="1:13" ht="15.75" thickBot="1" x14ac:dyDescent="0.3">
      <c r="A257" s="356" t="s">
        <v>198</v>
      </c>
      <c r="B257" s="512"/>
      <c r="C257" s="358">
        <f>SumByColor($A$257, C2:C255)</f>
        <v>131912</v>
      </c>
      <c r="D257" s="358"/>
      <c r="E257" s="358"/>
      <c r="F257" s="359">
        <f>SumByColor($A$257, F2:F255)</f>
        <v>1867104</v>
      </c>
      <c r="G257" s="358"/>
      <c r="H257" s="358">
        <f>SumByColor($A$257, H2:H255)</f>
        <v>131912</v>
      </c>
      <c r="I257" s="358"/>
      <c r="J257" s="359"/>
      <c r="K257" s="359">
        <f>SumByColor($A$257, K2:K255)</f>
        <v>1879418</v>
      </c>
      <c r="L257" s="358"/>
      <c r="M257" s="359">
        <f>SumByColor($A$257, M2:M255)</f>
        <v>2752</v>
      </c>
    </row>
    <row r="259" spans="1:13" x14ac:dyDescent="0.25">
      <c r="B259" s="513" t="s">
        <v>114</v>
      </c>
      <c r="C259" s="191" t="s">
        <v>147</v>
      </c>
      <c r="D259" s="199" t="s">
        <v>146</v>
      </c>
      <c r="E259" s="194" t="s">
        <v>148</v>
      </c>
      <c r="F259" s="195" t="s">
        <v>65</v>
      </c>
      <c r="G259" s="229" t="s">
        <v>152</v>
      </c>
      <c r="H259" s="195" t="s">
        <v>88</v>
      </c>
      <c r="I259" s="229" t="s">
        <v>155</v>
      </c>
    </row>
    <row r="260" spans="1:13" x14ac:dyDescent="0.25">
      <c r="B260" s="157">
        <v>42305</v>
      </c>
      <c r="C260" s="10">
        <v>2000</v>
      </c>
      <c r="D260" s="242">
        <v>34.06</v>
      </c>
      <c r="E260" s="40">
        <v>17.68</v>
      </c>
      <c r="F260" s="40">
        <v>-32767.45</v>
      </c>
      <c r="G260" s="40">
        <f t="shared" ref="G260:G266" si="26">IF(C260=0, 0,D260*C260)</f>
        <v>68120</v>
      </c>
      <c r="H260" s="232">
        <f t="shared" ref="H260:H266" si="27">IF(C260=0, D260, (E260-D260)/D260)</f>
        <v>-0.48091603053435117</v>
      </c>
      <c r="I260" s="40"/>
    </row>
    <row r="261" spans="1:13" x14ac:dyDescent="0.25">
      <c r="B261" s="157">
        <v>42307</v>
      </c>
      <c r="C261" s="10">
        <v>0</v>
      </c>
      <c r="D261" s="242" t="s">
        <v>129</v>
      </c>
      <c r="E261" s="40">
        <v>17.55</v>
      </c>
      <c r="F261" s="40">
        <v>-30722.2</v>
      </c>
      <c r="G261" s="40">
        <f t="shared" si="26"/>
        <v>0</v>
      </c>
      <c r="H261" s="232" t="str">
        <f t="shared" si="27"/>
        <v>N/A</v>
      </c>
      <c r="I261" s="40"/>
    </row>
    <row r="262" spans="1:13" x14ac:dyDescent="0.25">
      <c r="B262" s="157">
        <v>42310</v>
      </c>
      <c r="C262" s="10">
        <v>0</v>
      </c>
      <c r="D262" s="242" t="s">
        <v>129</v>
      </c>
      <c r="E262" s="40">
        <v>19.010000000000002</v>
      </c>
      <c r="F262" s="40">
        <v>-30693.25</v>
      </c>
      <c r="G262" s="40">
        <f t="shared" si="26"/>
        <v>0</v>
      </c>
      <c r="H262" s="232" t="str">
        <f t="shared" si="27"/>
        <v>N/A</v>
      </c>
      <c r="I262" s="40"/>
    </row>
    <row r="263" spans="1:13" x14ac:dyDescent="0.25">
      <c r="B263" s="157">
        <v>42314</v>
      </c>
      <c r="C263" s="10">
        <v>2500</v>
      </c>
      <c r="D263" s="242">
        <v>30.24</v>
      </c>
      <c r="E263" s="40">
        <v>18.29</v>
      </c>
      <c r="F263" s="40">
        <v>-29878.25</v>
      </c>
      <c r="G263" s="40">
        <f t="shared" si="26"/>
        <v>75600</v>
      </c>
      <c r="H263" s="232">
        <f t="shared" si="27"/>
        <v>-0.39517195767195767</v>
      </c>
      <c r="I263" s="40"/>
    </row>
    <row r="264" spans="1:13" x14ac:dyDescent="0.25">
      <c r="B264" s="157">
        <v>42318</v>
      </c>
      <c r="C264" s="10">
        <v>0</v>
      </c>
      <c r="D264" s="242" t="s">
        <v>129</v>
      </c>
      <c r="E264" s="40">
        <v>18.78</v>
      </c>
      <c r="F264" s="40">
        <v>-28604.09</v>
      </c>
      <c r="G264" s="40">
        <f t="shared" si="26"/>
        <v>0</v>
      </c>
      <c r="H264" s="232" t="str">
        <f t="shared" si="27"/>
        <v>N/A</v>
      </c>
      <c r="I264" s="40"/>
    </row>
    <row r="265" spans="1:13" x14ac:dyDescent="0.25">
      <c r="B265" s="157">
        <v>42328</v>
      </c>
      <c r="C265" s="10">
        <v>3078</v>
      </c>
      <c r="D265" s="242">
        <v>26.76</v>
      </c>
      <c r="E265" s="40">
        <v>17.440000000000001</v>
      </c>
      <c r="F265" s="40">
        <v>-28696.448999999906</v>
      </c>
      <c r="G265" s="40">
        <f t="shared" si="26"/>
        <v>82367.28</v>
      </c>
      <c r="H265" s="232">
        <f t="shared" si="27"/>
        <v>-0.34828101644245141</v>
      </c>
      <c r="I265" s="40"/>
    </row>
    <row r="266" spans="1:13" x14ac:dyDescent="0.25">
      <c r="B266" s="157">
        <v>42331</v>
      </c>
      <c r="C266" s="10">
        <v>0</v>
      </c>
      <c r="D266" s="242" t="s">
        <v>129</v>
      </c>
      <c r="E266" s="40">
        <v>17.53</v>
      </c>
      <c r="F266" s="40">
        <v>-28051.068999999901</v>
      </c>
      <c r="G266" s="40">
        <f t="shared" si="26"/>
        <v>0</v>
      </c>
      <c r="H266" s="232" t="str">
        <f t="shared" si="27"/>
        <v>N/A</v>
      </c>
      <c r="I266" s="40"/>
    </row>
    <row r="267" spans="1:13" x14ac:dyDescent="0.25">
      <c r="B267" s="157">
        <v>42335</v>
      </c>
      <c r="C267" s="10">
        <v>3078</v>
      </c>
      <c r="D267" s="242">
        <v>26.85</v>
      </c>
      <c r="E267" s="40">
        <v>17.73</v>
      </c>
      <c r="F267" s="40">
        <f>C267*(E267-D267)</f>
        <v>-28071.360000000004</v>
      </c>
      <c r="G267" s="40">
        <f>D267*C267</f>
        <v>82644.3</v>
      </c>
      <c r="H267" s="231">
        <f>(E267-D267)/D267</f>
        <v>-0.33966480446927377</v>
      </c>
      <c r="I267" s="40"/>
    </row>
    <row r="268" spans="1:13" x14ac:dyDescent="0.25">
      <c r="B268" s="157">
        <v>42335</v>
      </c>
      <c r="C268" s="10">
        <v>3578</v>
      </c>
      <c r="D268" s="242">
        <v>25.55</v>
      </c>
      <c r="E268" s="40">
        <v>17.440000000000001</v>
      </c>
      <c r="F268" s="40">
        <f t="shared" ref="F268:F299" si="28">C268*(E268-D268)</f>
        <v>-29017.579999999998</v>
      </c>
      <c r="G268" s="40">
        <f t="shared" ref="G268:G297" si="29">D268*C268</f>
        <v>91417.900000000009</v>
      </c>
      <c r="H268" s="231">
        <f t="shared" ref="H268:H297" si="30">(E268-D268)/D268</f>
        <v>-0.31741682974559682</v>
      </c>
      <c r="I268" s="40"/>
    </row>
    <row r="269" spans="1:13" x14ac:dyDescent="0.25">
      <c r="B269" s="157">
        <v>42340</v>
      </c>
      <c r="C269" s="10">
        <v>4178</v>
      </c>
      <c r="D269" s="242">
        <v>24.29</v>
      </c>
      <c r="E269" s="40">
        <v>16.670000000000002</v>
      </c>
      <c r="F269" s="40">
        <f t="shared" si="28"/>
        <v>-31836.35999999999</v>
      </c>
      <c r="G269" s="40">
        <f t="shared" si="29"/>
        <v>101483.62</v>
      </c>
      <c r="H269" s="231">
        <f t="shared" si="30"/>
        <v>-0.31370934540963352</v>
      </c>
      <c r="I269" s="40"/>
    </row>
    <row r="270" spans="1:13" x14ac:dyDescent="0.25">
      <c r="B270" s="157">
        <v>42342</v>
      </c>
      <c r="C270" s="10">
        <v>4678</v>
      </c>
      <c r="D270" s="242">
        <v>23.39</v>
      </c>
      <c r="E270" s="40">
        <v>16.12</v>
      </c>
      <c r="F270" s="40">
        <f t="shared" si="28"/>
        <v>-34009.06</v>
      </c>
      <c r="G270" s="40">
        <f t="shared" si="29"/>
        <v>109418.42</v>
      </c>
      <c r="H270" s="231">
        <f t="shared" si="30"/>
        <v>-0.31081658828559211</v>
      </c>
      <c r="I270" s="40"/>
    </row>
    <row r="271" spans="1:13" x14ac:dyDescent="0.25">
      <c r="B271" s="157">
        <v>42342</v>
      </c>
      <c r="C271" s="10">
        <v>4178</v>
      </c>
      <c r="D271" s="242">
        <v>24.26</v>
      </c>
      <c r="E271" s="40">
        <v>16.12</v>
      </c>
      <c r="F271" s="40">
        <f t="shared" si="28"/>
        <v>-34008.920000000006</v>
      </c>
      <c r="G271" s="40">
        <f t="shared" si="29"/>
        <v>101358.28000000001</v>
      </c>
      <c r="H271" s="231">
        <f t="shared" si="30"/>
        <v>-0.33553173948887055</v>
      </c>
      <c r="I271" s="40"/>
    </row>
    <row r="272" spans="1:13" x14ac:dyDescent="0.25">
      <c r="B272" s="157">
        <v>42345</v>
      </c>
      <c r="C272" s="10">
        <v>4678</v>
      </c>
      <c r="D272" s="242">
        <v>23.24</v>
      </c>
      <c r="E272" s="40">
        <v>14.78</v>
      </c>
      <c r="F272" s="40">
        <f t="shared" si="28"/>
        <v>-39575.879999999997</v>
      </c>
      <c r="G272" s="40">
        <f t="shared" si="29"/>
        <v>108716.71999999999</v>
      </c>
      <c r="H272" s="231">
        <f t="shared" si="30"/>
        <v>-0.36402753872633387</v>
      </c>
      <c r="I272" s="40"/>
    </row>
    <row r="273" spans="2:9" x14ac:dyDescent="0.25">
      <c r="B273" s="157">
        <v>42347</v>
      </c>
      <c r="C273" s="10">
        <v>4778</v>
      </c>
      <c r="D273" s="242">
        <v>23.06</v>
      </c>
      <c r="E273" s="40">
        <v>14.92</v>
      </c>
      <c r="F273" s="40">
        <f t="shared" si="28"/>
        <v>-38892.919999999991</v>
      </c>
      <c r="G273" s="40">
        <f t="shared" si="29"/>
        <v>110180.68</v>
      </c>
      <c r="H273" s="231">
        <f t="shared" si="30"/>
        <v>-0.3529921942758022</v>
      </c>
      <c r="I273" s="40"/>
    </row>
    <row r="274" spans="2:9" x14ac:dyDescent="0.25">
      <c r="B274" s="157">
        <v>42348</v>
      </c>
      <c r="C274" s="10">
        <v>4178</v>
      </c>
      <c r="D274" s="242">
        <v>24.23</v>
      </c>
      <c r="E274" s="40">
        <v>14.74</v>
      </c>
      <c r="F274" s="40">
        <f t="shared" si="28"/>
        <v>-39649.22</v>
      </c>
      <c r="G274" s="40">
        <f t="shared" si="29"/>
        <v>101232.94</v>
      </c>
      <c r="H274" s="231">
        <f t="shared" si="30"/>
        <v>-0.39166322740404458</v>
      </c>
      <c r="I274" s="40"/>
    </row>
    <row r="275" spans="2:9" x14ac:dyDescent="0.25">
      <c r="B275" s="157">
        <v>42349</v>
      </c>
      <c r="C275" s="10">
        <v>3678</v>
      </c>
      <c r="D275" s="242">
        <v>25.57</v>
      </c>
      <c r="E275" s="40">
        <v>14.34</v>
      </c>
      <c r="F275" s="40">
        <f t="shared" si="28"/>
        <v>-41303.94</v>
      </c>
      <c r="G275" s="40">
        <f t="shared" si="29"/>
        <v>94046.46</v>
      </c>
      <c r="H275" s="231">
        <f t="shared" si="30"/>
        <v>-0.43918654673445445</v>
      </c>
      <c r="I275" s="40"/>
    </row>
    <row r="276" spans="2:9" x14ac:dyDescent="0.25">
      <c r="B276" s="157">
        <v>42352</v>
      </c>
      <c r="C276" s="10">
        <v>4178</v>
      </c>
      <c r="D276" s="242">
        <v>24.18</v>
      </c>
      <c r="E276" s="40">
        <v>13.96</v>
      </c>
      <c r="F276" s="40">
        <f t="shared" si="28"/>
        <v>-42699.159999999996</v>
      </c>
      <c r="G276" s="40">
        <f t="shared" si="29"/>
        <v>101024.04</v>
      </c>
      <c r="H276" s="231">
        <f t="shared" si="30"/>
        <v>-0.42266335814722905</v>
      </c>
      <c r="I276" s="40"/>
    </row>
    <row r="277" spans="2:9" x14ac:dyDescent="0.25">
      <c r="B277" s="157">
        <v>42355</v>
      </c>
      <c r="C277" s="10">
        <v>4678</v>
      </c>
      <c r="D277" s="242">
        <v>22.98</v>
      </c>
      <c r="E277" s="40">
        <v>12.78</v>
      </c>
      <c r="F277" s="40">
        <f t="shared" si="28"/>
        <v>-47715.600000000006</v>
      </c>
      <c r="G277" s="40">
        <f t="shared" si="29"/>
        <v>107500.44</v>
      </c>
      <c r="H277" s="231">
        <f t="shared" si="30"/>
        <v>-0.44386422976501311</v>
      </c>
      <c r="I277" s="40"/>
    </row>
    <row r="278" spans="2:9" x14ac:dyDescent="0.25">
      <c r="B278" s="157">
        <v>42356</v>
      </c>
      <c r="C278" s="10">
        <v>5178</v>
      </c>
      <c r="D278" s="242">
        <v>21.99</v>
      </c>
      <c r="E278" s="40">
        <v>12.95</v>
      </c>
      <c r="F278" s="40">
        <f t="shared" si="28"/>
        <v>-46809.119999999995</v>
      </c>
      <c r="G278" s="40">
        <f t="shared" si="29"/>
        <v>113864.21999999999</v>
      </c>
      <c r="H278" s="231">
        <f t="shared" si="30"/>
        <v>-0.41109595270577537</v>
      </c>
      <c r="I278" s="40"/>
    </row>
    <row r="279" spans="2:9" x14ac:dyDescent="0.25">
      <c r="B279" s="157">
        <v>42356</v>
      </c>
      <c r="C279" s="10">
        <v>6178</v>
      </c>
      <c r="D279" s="242">
        <v>20.48</v>
      </c>
      <c r="E279" s="40">
        <v>12.76</v>
      </c>
      <c r="F279" s="40">
        <f t="shared" si="28"/>
        <v>-47694.16</v>
      </c>
      <c r="G279" s="40">
        <f t="shared" si="29"/>
        <v>126525.44</v>
      </c>
      <c r="H279" s="231">
        <f t="shared" si="30"/>
        <v>-0.376953125</v>
      </c>
      <c r="I279" s="40"/>
    </row>
    <row r="280" spans="2:9" x14ac:dyDescent="0.25">
      <c r="B280" s="157">
        <v>42356</v>
      </c>
      <c r="C280" s="10">
        <v>6400</v>
      </c>
      <c r="D280" s="242">
        <v>20.2</v>
      </c>
      <c r="E280" s="40">
        <v>12.68</v>
      </c>
      <c r="F280" s="40">
        <f t="shared" si="28"/>
        <v>-48128</v>
      </c>
      <c r="G280" s="40">
        <f t="shared" si="29"/>
        <v>129280</v>
      </c>
      <c r="H280" s="231">
        <f t="shared" si="30"/>
        <v>-0.37227722772277227</v>
      </c>
      <c r="I280" s="40"/>
    </row>
    <row r="281" spans="2:9" x14ac:dyDescent="0.25">
      <c r="B281" s="157">
        <v>42359</v>
      </c>
      <c r="C281" s="10">
        <v>5178</v>
      </c>
      <c r="D281" s="242">
        <v>21.96</v>
      </c>
      <c r="E281" s="40">
        <v>12.66</v>
      </c>
      <c r="F281" s="40">
        <f t="shared" si="28"/>
        <v>-48155.4</v>
      </c>
      <c r="G281" s="40">
        <f t="shared" si="29"/>
        <v>113708.88</v>
      </c>
      <c r="H281" s="231">
        <f t="shared" si="30"/>
        <v>-0.42349726775956287</v>
      </c>
      <c r="I281" s="40"/>
    </row>
    <row r="282" spans="2:9" x14ac:dyDescent="0.25">
      <c r="B282" s="157">
        <v>42361</v>
      </c>
      <c r="C282" s="10">
        <v>4178</v>
      </c>
      <c r="D282" s="242">
        <v>24.07</v>
      </c>
      <c r="E282" s="40">
        <v>13.96</v>
      </c>
      <c r="F282" s="40">
        <f t="shared" si="28"/>
        <v>-42239.579999999994</v>
      </c>
      <c r="G282" s="40">
        <f t="shared" si="29"/>
        <v>100564.46</v>
      </c>
      <c r="H282" s="231">
        <f t="shared" si="30"/>
        <v>-0.42002492729538843</v>
      </c>
      <c r="I282" s="40"/>
    </row>
    <row r="283" spans="2:9" x14ac:dyDescent="0.25">
      <c r="B283" s="157">
        <v>42361</v>
      </c>
      <c r="C283" s="10">
        <v>4178</v>
      </c>
      <c r="D283" s="242">
        <v>24.03</v>
      </c>
      <c r="E283" s="40">
        <v>13.96</v>
      </c>
      <c r="F283" s="40">
        <f t="shared" si="28"/>
        <v>-42072.46</v>
      </c>
      <c r="G283" s="40">
        <f t="shared" si="29"/>
        <v>100397.34000000001</v>
      </c>
      <c r="H283" s="231">
        <f t="shared" si="30"/>
        <v>-0.41905950894714938</v>
      </c>
      <c r="I283" s="40"/>
    </row>
    <row r="284" spans="2:9" x14ac:dyDescent="0.25">
      <c r="B284" s="157">
        <v>42366</v>
      </c>
      <c r="C284" s="282">
        <v>6678</v>
      </c>
      <c r="D284" s="338">
        <v>19.91</v>
      </c>
      <c r="E284" s="40">
        <v>13.09</v>
      </c>
      <c r="F284" s="40">
        <f t="shared" si="28"/>
        <v>-45543.96</v>
      </c>
      <c r="G284" s="40">
        <f t="shared" si="29"/>
        <v>132958.98000000001</v>
      </c>
      <c r="H284" s="231">
        <f t="shared" si="30"/>
        <v>-0.34254143646408841</v>
      </c>
      <c r="I284" s="40"/>
    </row>
    <row r="285" spans="2:9" x14ac:dyDescent="0.25">
      <c r="B285" s="157">
        <v>42367</v>
      </c>
      <c r="C285" s="282">
        <v>8678</v>
      </c>
      <c r="D285" s="338">
        <v>18.32</v>
      </c>
      <c r="E285" s="40">
        <v>13.03</v>
      </c>
      <c r="F285" s="40">
        <f t="shared" si="28"/>
        <v>-45906.62000000001</v>
      </c>
      <c r="G285" s="40">
        <f t="shared" si="29"/>
        <v>158980.96</v>
      </c>
      <c r="H285" s="231">
        <f t="shared" si="30"/>
        <v>-0.28875545851528389</v>
      </c>
      <c r="I285" s="40"/>
    </row>
    <row r="286" spans="2:9" x14ac:dyDescent="0.25">
      <c r="B286" s="157">
        <v>42368</v>
      </c>
      <c r="C286" s="10">
        <v>9678</v>
      </c>
      <c r="D286" s="242">
        <v>17.73</v>
      </c>
      <c r="E286" s="40">
        <v>12.38</v>
      </c>
      <c r="F286" s="40">
        <f t="shared" si="28"/>
        <v>-51777.299999999996</v>
      </c>
      <c r="G286" s="40">
        <f t="shared" si="29"/>
        <v>171590.94</v>
      </c>
      <c r="H286" s="232">
        <f t="shared" si="30"/>
        <v>-0.30174844895657077</v>
      </c>
      <c r="I286" s="40"/>
    </row>
    <row r="287" spans="2:9" x14ac:dyDescent="0.25">
      <c r="B287" s="157">
        <v>42369</v>
      </c>
      <c r="C287" s="10">
        <v>8678</v>
      </c>
      <c r="D287" s="242">
        <v>18.312999999999999</v>
      </c>
      <c r="E287" s="40">
        <v>12.59</v>
      </c>
      <c r="F287" s="40">
        <f t="shared" si="28"/>
        <v>-49664.193999999989</v>
      </c>
      <c r="G287" s="40">
        <f t="shared" si="29"/>
        <v>158920.21399999998</v>
      </c>
      <c r="H287" s="232">
        <f t="shared" si="30"/>
        <v>-0.3125102386282968</v>
      </c>
      <c r="I287" s="40"/>
    </row>
    <row r="288" spans="2:9" x14ac:dyDescent="0.25">
      <c r="B288" s="157">
        <v>42374</v>
      </c>
      <c r="C288" s="10">
        <v>7678</v>
      </c>
      <c r="D288" s="242">
        <v>19.010000000000002</v>
      </c>
      <c r="E288" s="40">
        <v>12.76</v>
      </c>
      <c r="F288" s="40">
        <f t="shared" si="28"/>
        <v>-47987.500000000015</v>
      </c>
      <c r="G288" s="40">
        <f t="shared" si="29"/>
        <v>145958.78</v>
      </c>
      <c r="H288" s="232">
        <f t="shared" si="30"/>
        <v>-0.32877432930036832</v>
      </c>
      <c r="I288" s="40"/>
    </row>
    <row r="289" spans="2:9" x14ac:dyDescent="0.25">
      <c r="B289" s="157">
        <v>42375</v>
      </c>
      <c r="C289" s="10">
        <v>8678</v>
      </c>
      <c r="D289" s="242">
        <v>18.257000000000001</v>
      </c>
      <c r="E289" s="40">
        <v>12.76</v>
      </c>
      <c r="F289" s="40">
        <f t="shared" si="28"/>
        <v>-47702.966000000015</v>
      </c>
      <c r="G289" s="40">
        <f t="shared" si="29"/>
        <v>158434.24600000001</v>
      </c>
      <c r="H289" s="232">
        <f t="shared" si="30"/>
        <v>-0.30108999287944355</v>
      </c>
      <c r="I289" s="40"/>
    </row>
    <row r="290" spans="2:9" x14ac:dyDescent="0.25">
      <c r="B290" s="157">
        <v>42375</v>
      </c>
      <c r="C290" s="10">
        <v>9678</v>
      </c>
      <c r="D290" s="242">
        <v>17.579999999999998</v>
      </c>
      <c r="E290" s="40">
        <v>11.28</v>
      </c>
      <c r="F290" s="40">
        <f t="shared" si="28"/>
        <v>-60971.399999999987</v>
      </c>
      <c r="G290" s="40">
        <f t="shared" si="29"/>
        <v>170139.24</v>
      </c>
      <c r="H290" s="232">
        <f t="shared" si="30"/>
        <v>-0.35836177474402725</v>
      </c>
      <c r="I290" s="40"/>
    </row>
    <row r="291" spans="2:9" x14ac:dyDescent="0.25">
      <c r="B291" s="157">
        <v>42398</v>
      </c>
      <c r="C291" s="10">
        <v>9278</v>
      </c>
      <c r="D291" s="242">
        <v>17.93</v>
      </c>
      <c r="E291" s="40">
        <v>9.56</v>
      </c>
      <c r="F291" s="40">
        <f t="shared" si="28"/>
        <v>-77656.859999999986</v>
      </c>
      <c r="G291" s="40">
        <f t="shared" si="29"/>
        <v>166354.54</v>
      </c>
      <c r="H291" s="232">
        <f t="shared" si="30"/>
        <v>-0.46681539319576126</v>
      </c>
      <c r="I291" s="40"/>
    </row>
    <row r="292" spans="2:9" x14ac:dyDescent="0.25">
      <c r="B292" s="157">
        <v>42402</v>
      </c>
      <c r="C292" s="10">
        <v>9678</v>
      </c>
      <c r="D292" s="242">
        <v>17.559999999999999</v>
      </c>
      <c r="E292" s="40">
        <v>8.74</v>
      </c>
      <c r="F292" s="40">
        <f t="shared" si="28"/>
        <v>-85359.959999999992</v>
      </c>
      <c r="G292" s="40">
        <f t="shared" si="29"/>
        <v>169945.68</v>
      </c>
      <c r="H292" s="232">
        <f t="shared" si="30"/>
        <v>-0.50227790432801822</v>
      </c>
      <c r="I292" s="40"/>
    </row>
    <row r="293" spans="2:9" x14ac:dyDescent="0.25">
      <c r="B293" s="157">
        <v>42411</v>
      </c>
      <c r="C293" s="10">
        <v>9678</v>
      </c>
      <c r="D293" s="242">
        <v>17.553999999999998</v>
      </c>
      <c r="E293" s="40">
        <v>7.13</v>
      </c>
      <c r="F293" s="40">
        <f t="shared" si="28"/>
        <v>-100883.47199999999</v>
      </c>
      <c r="G293" s="40">
        <f t="shared" si="29"/>
        <v>169887.61199999999</v>
      </c>
      <c r="H293" s="231">
        <f t="shared" si="30"/>
        <v>-0.59382476928335426</v>
      </c>
      <c r="I293" s="40"/>
    </row>
    <row r="294" spans="2:9" x14ac:dyDescent="0.25">
      <c r="B294" s="157">
        <v>42412</v>
      </c>
      <c r="C294" s="10">
        <v>9678</v>
      </c>
      <c r="D294" s="242">
        <v>17.55</v>
      </c>
      <c r="E294" s="40">
        <v>7.46</v>
      </c>
      <c r="F294" s="40">
        <f t="shared" si="28"/>
        <v>-97651.02</v>
      </c>
      <c r="G294" s="40">
        <f t="shared" si="29"/>
        <v>169848.9</v>
      </c>
      <c r="H294" s="231">
        <f t="shared" si="30"/>
        <v>-0.57492877492877492</v>
      </c>
      <c r="I294" s="40"/>
    </row>
    <row r="295" spans="2:9" x14ac:dyDescent="0.25">
      <c r="B295" s="157">
        <v>42416</v>
      </c>
      <c r="C295" s="10">
        <v>9178</v>
      </c>
      <c r="D295" s="242">
        <v>18.084</v>
      </c>
      <c r="E295" s="40">
        <v>7.49</v>
      </c>
      <c r="F295" s="40">
        <f t="shared" si="28"/>
        <v>-97231.731999999989</v>
      </c>
      <c r="G295" s="40">
        <f t="shared" si="29"/>
        <v>165974.95199999999</v>
      </c>
      <c r="H295" s="231">
        <f t="shared" si="30"/>
        <v>-0.58582172085821715</v>
      </c>
      <c r="I295" s="40"/>
    </row>
    <row r="296" spans="2:9" x14ac:dyDescent="0.25">
      <c r="B296" s="157">
        <v>42416</v>
      </c>
      <c r="C296" s="10">
        <v>9678</v>
      </c>
      <c r="D296" s="242">
        <v>17.536999999999999</v>
      </c>
      <c r="E296" s="40">
        <v>7.49</v>
      </c>
      <c r="F296" s="40">
        <f t="shared" si="28"/>
        <v>-97234.865999999995</v>
      </c>
      <c r="G296" s="40">
        <f t="shared" si="29"/>
        <v>169723.08599999998</v>
      </c>
      <c r="H296" s="231">
        <f t="shared" si="30"/>
        <v>-0.57290300507498426</v>
      </c>
      <c r="I296" s="40"/>
    </row>
    <row r="297" spans="2:9" x14ac:dyDescent="0.25">
      <c r="B297" s="157">
        <v>42418</v>
      </c>
      <c r="C297" s="10">
        <v>13478</v>
      </c>
      <c r="D297" s="242">
        <v>14.673999999999999</v>
      </c>
      <c r="E297" s="40">
        <v>6.93</v>
      </c>
      <c r="F297" s="40">
        <f t="shared" si="28"/>
        <v>-104373.632</v>
      </c>
      <c r="G297" s="40">
        <f t="shared" si="29"/>
        <v>197776.17199999999</v>
      </c>
      <c r="H297" s="231">
        <f t="shared" si="30"/>
        <v>-0.52773613193403301</v>
      </c>
      <c r="I297" s="40"/>
    </row>
    <row r="298" spans="2:9" x14ac:dyDescent="0.25">
      <c r="B298" s="157">
        <v>42422</v>
      </c>
      <c r="C298" s="10">
        <v>10978</v>
      </c>
      <c r="D298" s="242">
        <v>16.314</v>
      </c>
      <c r="E298" s="40">
        <v>7.49</v>
      </c>
      <c r="F298" s="40">
        <f t="shared" si="28"/>
        <v>-96869.872000000003</v>
      </c>
      <c r="G298" s="40">
        <f>IF(C298=0, 0,D298*C298)</f>
        <v>179095.092</v>
      </c>
      <c r="H298" s="231">
        <f>IF(C298=0, D298, (E298-D298)/D298)</f>
        <v>-0.54088512933676591</v>
      </c>
      <c r="I298" s="40"/>
    </row>
    <row r="299" spans="2:9" x14ac:dyDescent="0.25">
      <c r="B299" s="157">
        <v>42422</v>
      </c>
      <c r="C299" s="10">
        <v>9978</v>
      </c>
      <c r="D299" s="242">
        <v>17.199000000000002</v>
      </c>
      <c r="E299" s="40">
        <v>7.49</v>
      </c>
      <c r="F299" s="40">
        <f t="shared" si="28"/>
        <v>-96876.402000000016</v>
      </c>
      <c r="G299" s="40">
        <f>IF(C299=0, 0,D299*C299)</f>
        <v>171611.622</v>
      </c>
      <c r="H299" s="231">
        <f>IF(C299=0, D299, (E299-D299)/D299)</f>
        <v>-0.56450956450956458</v>
      </c>
      <c r="I299" s="40"/>
    </row>
    <row r="300" spans="2:9" x14ac:dyDescent="0.25">
      <c r="B300" s="157">
        <v>42426</v>
      </c>
      <c r="C300" s="10">
        <v>9678</v>
      </c>
      <c r="D300" s="242">
        <v>17.489000000000001</v>
      </c>
      <c r="E300" s="40">
        <v>7.49</v>
      </c>
      <c r="F300" s="40">
        <f t="shared" ref="F300:F308" si="31">C300*(E300-D300)</f>
        <v>-96770.322</v>
      </c>
      <c r="G300" s="40">
        <f>IF(C300=0, 0,D300*C300)</f>
        <v>169258.54200000002</v>
      </c>
      <c r="H300" s="231">
        <f>IF(C300=0, D300, (E300-D300)/D300)</f>
        <v>-0.57173080221853734</v>
      </c>
      <c r="I300" s="40"/>
    </row>
    <row r="301" spans="2:9" x14ac:dyDescent="0.25">
      <c r="B301" s="157">
        <v>42426</v>
      </c>
      <c r="C301" s="10">
        <v>9178</v>
      </c>
      <c r="D301" s="242">
        <v>18.02</v>
      </c>
      <c r="E301" s="40">
        <v>7.76</v>
      </c>
      <c r="F301" s="40">
        <f t="shared" si="31"/>
        <v>-94166.28</v>
      </c>
      <c r="G301" s="40">
        <f t="shared" ref="G301:G308" si="32">IF(C301=0, 0,D301*C301)</f>
        <v>165387.56</v>
      </c>
      <c r="H301" s="231">
        <f t="shared" ref="H301:H308" si="33">IF(C301=0, D301, (E301-D301)/D301)</f>
        <v>-0.5693673695893452</v>
      </c>
      <c r="I301" s="40"/>
    </row>
    <row r="302" spans="2:9" x14ac:dyDescent="0.25">
      <c r="B302" s="157">
        <v>42426</v>
      </c>
      <c r="C302" s="10">
        <v>8178</v>
      </c>
      <c r="D302" s="242">
        <v>19.245999999999999</v>
      </c>
      <c r="E302" s="40">
        <v>8</v>
      </c>
      <c r="F302" s="40">
        <f t="shared" si="31"/>
        <v>-91969.787999999986</v>
      </c>
      <c r="G302" s="40">
        <f t="shared" si="32"/>
        <v>157393.788</v>
      </c>
      <c r="H302" s="231">
        <f t="shared" si="33"/>
        <v>-0.58432921126467829</v>
      </c>
      <c r="I302" s="40"/>
    </row>
    <row r="303" spans="2:9" x14ac:dyDescent="0.25">
      <c r="B303" s="157">
        <v>42426</v>
      </c>
      <c r="C303" s="10">
        <v>6678</v>
      </c>
      <c r="D303" s="242">
        <v>21.75</v>
      </c>
      <c r="E303" s="40">
        <v>8.1</v>
      </c>
      <c r="F303" s="40">
        <f t="shared" si="31"/>
        <v>-91154.7</v>
      </c>
      <c r="G303" s="40">
        <f t="shared" si="32"/>
        <v>145246.5</v>
      </c>
      <c r="H303" s="231">
        <f t="shared" si="33"/>
        <v>-0.62758620689655176</v>
      </c>
      <c r="I303" s="40"/>
    </row>
    <row r="304" spans="2:9" x14ac:dyDescent="0.25">
      <c r="B304" s="157">
        <v>42426</v>
      </c>
      <c r="C304" s="10">
        <v>8678</v>
      </c>
      <c r="D304" s="242">
        <v>18.568999999999999</v>
      </c>
      <c r="E304" s="40">
        <v>7.94</v>
      </c>
      <c r="F304" s="40">
        <f t="shared" si="31"/>
        <v>-92238.461999999985</v>
      </c>
      <c r="G304" s="40">
        <f t="shared" si="32"/>
        <v>161141.78199999998</v>
      </c>
      <c r="H304" s="231">
        <f t="shared" si="33"/>
        <v>-0.57240562227368186</v>
      </c>
      <c r="I304" s="40"/>
    </row>
    <row r="305" spans="2:9" x14ac:dyDescent="0.25">
      <c r="B305" s="157">
        <v>42429</v>
      </c>
      <c r="C305" s="10">
        <v>7678</v>
      </c>
      <c r="D305" s="242">
        <v>19.876000000000001</v>
      </c>
      <c r="E305" s="40">
        <v>8.2100000000000009</v>
      </c>
      <c r="F305" s="40">
        <f t="shared" si="31"/>
        <v>-89571.54800000001</v>
      </c>
      <c r="G305" s="40">
        <f t="shared" si="32"/>
        <v>152607.92800000001</v>
      </c>
      <c r="H305" s="231">
        <f t="shared" si="33"/>
        <v>-0.58693902193600322</v>
      </c>
      <c r="I305" s="40"/>
    </row>
    <row r="306" spans="2:9" x14ac:dyDescent="0.25">
      <c r="B306" s="157">
        <v>42429</v>
      </c>
      <c r="C306" s="10">
        <v>9678</v>
      </c>
      <c r="D306" s="242">
        <v>17.463000000000001</v>
      </c>
      <c r="E306" s="40">
        <v>8.2100000000000009</v>
      </c>
      <c r="F306" s="40">
        <f t="shared" si="31"/>
        <v>-89550.534</v>
      </c>
      <c r="G306" s="40">
        <f t="shared" si="32"/>
        <v>169006.91400000002</v>
      </c>
      <c r="H306" s="231">
        <f t="shared" si="33"/>
        <v>-0.5298631392086125</v>
      </c>
      <c r="I306" s="40"/>
    </row>
    <row r="307" spans="2:9" x14ac:dyDescent="0.25">
      <c r="B307" s="157">
        <v>42429</v>
      </c>
      <c r="C307" s="10">
        <v>9178</v>
      </c>
      <c r="D307" s="242">
        <v>17.981000000000002</v>
      </c>
      <c r="E307" s="40">
        <v>8.2100000000000009</v>
      </c>
      <c r="F307" s="40">
        <f t="shared" si="31"/>
        <v>-89678.238000000012</v>
      </c>
      <c r="G307" s="40">
        <f t="shared" si="32"/>
        <v>165029.61800000002</v>
      </c>
      <c r="H307" s="231">
        <f t="shared" si="33"/>
        <v>-0.5434069295367332</v>
      </c>
      <c r="I307" s="40"/>
    </row>
    <row r="308" spans="2:9" x14ac:dyDescent="0.25">
      <c r="B308" s="157">
        <v>42429</v>
      </c>
      <c r="C308" s="10">
        <v>9678</v>
      </c>
      <c r="D308" s="242">
        <v>17.459</v>
      </c>
      <c r="E308" s="40">
        <v>8.2100000000000009</v>
      </c>
      <c r="F308" s="40">
        <f t="shared" si="31"/>
        <v>-89511.821999999986</v>
      </c>
      <c r="G308" s="40">
        <f t="shared" si="32"/>
        <v>168968.20199999999</v>
      </c>
      <c r="H308" s="231">
        <f t="shared" si="33"/>
        <v>-0.5297554270004009</v>
      </c>
      <c r="I308" s="40"/>
    </row>
    <row r="309" spans="2:9" x14ac:dyDescent="0.25">
      <c r="B309" s="157">
        <v>42429</v>
      </c>
      <c r="C309" s="10">
        <v>9178</v>
      </c>
      <c r="D309" s="242">
        <v>17.975999999999999</v>
      </c>
      <c r="E309" s="40">
        <v>8.2100000000000009</v>
      </c>
      <c r="F309" s="40">
        <f t="shared" ref="F309:F320" si="34">C309*(E309-D309)</f>
        <v>-89632.347999999984</v>
      </c>
      <c r="G309" s="40">
        <f t="shared" ref="G309:G320" si="35">IF(C309=0, 0,D309*C309)</f>
        <v>164983.728</v>
      </c>
      <c r="H309" s="231">
        <f t="shared" ref="H309:H360" si="36">IF(C309=0, D309, (E309-D309)/D309)</f>
        <v>-0.54327992879394738</v>
      </c>
      <c r="I309" s="40" t="s">
        <v>190</v>
      </c>
    </row>
    <row r="310" spans="2:9" x14ac:dyDescent="0.25">
      <c r="B310" s="157">
        <v>42430</v>
      </c>
      <c r="C310" s="282">
        <v>10178</v>
      </c>
      <c r="D310" s="338">
        <v>16.974</v>
      </c>
      <c r="E310" s="40">
        <v>7.8</v>
      </c>
      <c r="F310" s="40">
        <f t="shared" si="34"/>
        <v>-93372.971999999994</v>
      </c>
      <c r="G310" s="40">
        <f t="shared" si="35"/>
        <v>172761.372</v>
      </c>
      <c r="H310" s="231">
        <f t="shared" si="36"/>
        <v>-0.54047366560622123</v>
      </c>
      <c r="I310" s="40"/>
    </row>
    <row r="311" spans="2:9" x14ac:dyDescent="0.25">
      <c r="B311" s="157">
        <v>42430</v>
      </c>
      <c r="C311" s="282">
        <v>9678</v>
      </c>
      <c r="D311" s="338">
        <v>17.440000000000001</v>
      </c>
      <c r="E311" s="40">
        <v>7.96</v>
      </c>
      <c r="F311" s="40">
        <f t="shared" si="34"/>
        <v>-91747.44</v>
      </c>
      <c r="G311" s="40">
        <f t="shared" si="35"/>
        <v>168784.32</v>
      </c>
      <c r="H311" s="231">
        <f t="shared" si="36"/>
        <v>-0.54357798165137616</v>
      </c>
      <c r="I311" s="40"/>
    </row>
    <row r="312" spans="2:9" x14ac:dyDescent="0.25">
      <c r="B312" s="157">
        <v>42431</v>
      </c>
      <c r="C312" s="10">
        <v>8678</v>
      </c>
      <c r="D312" s="242">
        <v>18.405999999999999</v>
      </c>
      <c r="E312" s="40">
        <v>9.1</v>
      </c>
      <c r="F312" s="40">
        <f t="shared" si="34"/>
        <v>-80757.467999999993</v>
      </c>
      <c r="G312" s="40">
        <f t="shared" si="35"/>
        <v>159727.26799999998</v>
      </c>
      <c r="H312" s="232">
        <f t="shared" si="36"/>
        <v>-0.50559600130392257</v>
      </c>
      <c r="I312" s="40"/>
    </row>
    <row r="313" spans="2:9" x14ac:dyDescent="0.25">
      <c r="B313" s="157">
        <v>42432</v>
      </c>
      <c r="C313" s="10">
        <v>9278</v>
      </c>
      <c r="D313" s="242">
        <v>17.771999999999998</v>
      </c>
      <c r="E313" s="40">
        <v>9.9700000000000006</v>
      </c>
      <c r="F313" s="40">
        <f t="shared" si="34"/>
        <v>-72386.955999999976</v>
      </c>
      <c r="G313" s="40">
        <f t="shared" si="35"/>
        <v>164888.61599999998</v>
      </c>
      <c r="H313" s="232">
        <f t="shared" si="36"/>
        <v>-0.43900517668242173</v>
      </c>
      <c r="I313" s="40"/>
    </row>
    <row r="314" spans="2:9" x14ac:dyDescent="0.25">
      <c r="B314" s="157">
        <v>42433</v>
      </c>
      <c r="C314" s="10">
        <v>9278</v>
      </c>
      <c r="D314" s="242">
        <v>17.771999999999998</v>
      </c>
      <c r="E314" s="40">
        <v>11</v>
      </c>
      <c r="F314" s="40">
        <f t="shared" si="34"/>
        <v>-62830.615999999987</v>
      </c>
      <c r="G314" s="40">
        <f t="shared" si="35"/>
        <v>164888.61599999998</v>
      </c>
      <c r="H314" s="232">
        <f t="shared" si="36"/>
        <v>-0.38104884087328378</v>
      </c>
      <c r="I314" s="40"/>
    </row>
    <row r="315" spans="2:9" x14ac:dyDescent="0.25">
      <c r="B315" s="157">
        <v>42439</v>
      </c>
      <c r="C315" s="10">
        <v>9278</v>
      </c>
      <c r="D315" s="242">
        <v>17.718</v>
      </c>
      <c r="E315" s="40">
        <v>10.59</v>
      </c>
      <c r="F315" s="40">
        <f t="shared" si="34"/>
        <v>-66133.584000000003</v>
      </c>
      <c r="G315" s="40">
        <f t="shared" si="35"/>
        <v>164387.60399999999</v>
      </c>
      <c r="H315" s="232">
        <f t="shared" si="36"/>
        <v>-0.40230274297324753</v>
      </c>
      <c r="I315" s="40" t="s">
        <v>189</v>
      </c>
    </row>
    <row r="316" spans="2:9" x14ac:dyDescent="0.25">
      <c r="B316" s="157">
        <v>42440</v>
      </c>
      <c r="C316" s="10">
        <v>9278</v>
      </c>
      <c r="D316" s="242">
        <v>17.712</v>
      </c>
      <c r="E316" s="40">
        <v>11.12</v>
      </c>
      <c r="F316" s="40">
        <f t="shared" si="34"/>
        <v>-61160.576000000008</v>
      </c>
      <c r="G316" s="40">
        <f t="shared" si="35"/>
        <v>164331.93599999999</v>
      </c>
      <c r="H316" s="232">
        <f t="shared" si="36"/>
        <v>-0.37217705510388438</v>
      </c>
      <c r="I316" s="40"/>
    </row>
    <row r="317" spans="2:9" x14ac:dyDescent="0.25">
      <c r="B317" s="157">
        <v>42446</v>
      </c>
      <c r="C317" s="10">
        <v>9278</v>
      </c>
      <c r="D317" s="242">
        <v>17.704999999999998</v>
      </c>
      <c r="E317" s="40">
        <v>11.45</v>
      </c>
      <c r="F317" s="40">
        <f t="shared" si="34"/>
        <v>-58033.889999999992</v>
      </c>
      <c r="G317" s="40">
        <f t="shared" si="35"/>
        <v>164266.99</v>
      </c>
      <c r="H317" s="232">
        <f t="shared" si="36"/>
        <v>-0.353290031064671</v>
      </c>
      <c r="I317" s="40"/>
    </row>
    <row r="318" spans="2:9" x14ac:dyDescent="0.25">
      <c r="B318" s="157">
        <v>42447</v>
      </c>
      <c r="C318" s="10">
        <v>7928</v>
      </c>
      <c r="D318" s="242">
        <v>18.734999999999999</v>
      </c>
      <c r="E318" s="40">
        <v>11.63</v>
      </c>
      <c r="F318" s="40">
        <f t="shared" si="34"/>
        <v>-56328.439999999988</v>
      </c>
      <c r="G318" s="40">
        <f t="shared" si="35"/>
        <v>148531.07999999999</v>
      </c>
      <c r="H318" s="232">
        <f t="shared" si="36"/>
        <v>-0.37923672271150249</v>
      </c>
      <c r="I318" s="40"/>
    </row>
    <row r="319" spans="2:9" x14ac:dyDescent="0.25">
      <c r="B319" s="157">
        <v>42450</v>
      </c>
      <c r="C319" s="10">
        <v>9278</v>
      </c>
      <c r="D319" s="242">
        <v>17.670000000000002</v>
      </c>
      <c r="E319" s="40">
        <v>11.43</v>
      </c>
      <c r="F319" s="40">
        <f t="shared" si="34"/>
        <v>-57894.720000000016</v>
      </c>
      <c r="G319" s="40">
        <f t="shared" si="35"/>
        <v>163942.26</v>
      </c>
      <c r="H319" s="231">
        <f t="shared" si="36"/>
        <v>-0.35314091680814946</v>
      </c>
      <c r="I319" s="40"/>
    </row>
    <row r="320" spans="2:9" x14ac:dyDescent="0.25">
      <c r="B320" s="157">
        <v>42451</v>
      </c>
      <c r="C320" s="10">
        <v>9628</v>
      </c>
      <c r="D320" s="242">
        <v>17.428000000000001</v>
      </c>
      <c r="E320" s="40">
        <v>11.31</v>
      </c>
      <c r="F320" s="40">
        <f t="shared" si="34"/>
        <v>-58904.104000000007</v>
      </c>
      <c r="G320" s="40">
        <f t="shared" si="35"/>
        <v>167796.78400000001</v>
      </c>
      <c r="H320" s="231">
        <f t="shared" si="36"/>
        <v>-0.35104429653431263</v>
      </c>
      <c r="I320" s="40"/>
    </row>
    <row r="321" spans="2:9" x14ac:dyDescent="0.25">
      <c r="B321" s="157">
        <v>42453</v>
      </c>
      <c r="C321" s="10">
        <v>13278</v>
      </c>
      <c r="D321" s="242">
        <v>15.5565</v>
      </c>
      <c r="E321" s="40">
        <v>10.29</v>
      </c>
      <c r="F321" s="40">
        <f t="shared" ref="F321:F360" si="37">C321*(E321-D321)</f>
        <v>-69928.587000000014</v>
      </c>
      <c r="G321" s="40">
        <f t="shared" ref="G321:G360" si="38">IF(C321=0, 0,D321*C321)</f>
        <v>206559.20699999999</v>
      </c>
      <c r="H321" s="231">
        <f t="shared" si="36"/>
        <v>-0.33854016006171056</v>
      </c>
      <c r="I321" s="40"/>
    </row>
    <row r="322" spans="2:9" x14ac:dyDescent="0.25">
      <c r="B322" s="157">
        <v>42459</v>
      </c>
      <c r="C322" s="10">
        <v>11278</v>
      </c>
      <c r="D322" s="242">
        <v>16.408899999999999</v>
      </c>
      <c r="E322" s="40">
        <v>10.53</v>
      </c>
      <c r="F322" s="40">
        <f t="shared" si="37"/>
        <v>-66302.234199999992</v>
      </c>
      <c r="G322" s="40">
        <f t="shared" si="38"/>
        <v>185059.5742</v>
      </c>
      <c r="H322" s="231">
        <f t="shared" si="36"/>
        <v>-0.35827508242478168</v>
      </c>
      <c r="I322" s="40"/>
    </row>
    <row r="323" spans="2:9" x14ac:dyDescent="0.25">
      <c r="B323" s="157">
        <v>42460</v>
      </c>
      <c r="C323" s="10">
        <v>9678</v>
      </c>
      <c r="D323" s="242">
        <v>17.311699999999998</v>
      </c>
      <c r="E323" s="40">
        <v>11.14</v>
      </c>
      <c r="F323" s="40">
        <f t="shared" si="37"/>
        <v>-59729.712599999977</v>
      </c>
      <c r="G323" s="40">
        <f t="shared" si="38"/>
        <v>167542.63259999998</v>
      </c>
      <c r="H323" s="231">
        <f t="shared" si="36"/>
        <v>-0.35650456049954643</v>
      </c>
      <c r="I323" s="40"/>
    </row>
    <row r="324" spans="2:9" x14ac:dyDescent="0.25">
      <c r="B324" s="157">
        <v>42461</v>
      </c>
      <c r="C324" s="10">
        <v>11678</v>
      </c>
      <c r="D324" s="242">
        <v>16.116</v>
      </c>
      <c r="E324" s="40">
        <v>10.53</v>
      </c>
      <c r="F324" s="40">
        <f t="shared" si="37"/>
        <v>-65233.308000000005</v>
      </c>
      <c r="G324" s="40">
        <f t="shared" si="38"/>
        <v>188202.64799999999</v>
      </c>
      <c r="H324" s="231">
        <f t="shared" si="36"/>
        <v>-0.34661206254653765</v>
      </c>
      <c r="I324" s="40"/>
    </row>
    <row r="325" spans="2:9" x14ac:dyDescent="0.25">
      <c r="B325" s="157">
        <v>42461</v>
      </c>
      <c r="C325" s="10">
        <v>9678</v>
      </c>
      <c r="D325" s="242">
        <v>17.266200000000001</v>
      </c>
      <c r="E325" s="40">
        <v>10.56</v>
      </c>
      <c r="F325" s="40">
        <f t="shared" si="37"/>
        <v>-64902.603600000009</v>
      </c>
      <c r="G325" s="40">
        <f t="shared" si="38"/>
        <v>167102.28360000002</v>
      </c>
      <c r="H325" s="231">
        <f t="shared" si="36"/>
        <v>-0.388400458699656</v>
      </c>
      <c r="I325" s="40"/>
    </row>
    <row r="326" spans="2:9" x14ac:dyDescent="0.25">
      <c r="B326" s="157">
        <v>42464</v>
      </c>
      <c r="C326" s="10">
        <v>9778</v>
      </c>
      <c r="D326" s="242">
        <v>17.196100000000001</v>
      </c>
      <c r="E326" s="40">
        <v>10.4</v>
      </c>
      <c r="F326" s="40">
        <f t="shared" si="37"/>
        <v>-66452.265800000008</v>
      </c>
      <c r="G326" s="40">
        <f t="shared" si="38"/>
        <v>168143.46580000001</v>
      </c>
      <c r="H326" s="231">
        <f t="shared" si="36"/>
        <v>-0.3952117049796175</v>
      </c>
      <c r="I326" s="40"/>
    </row>
    <row r="327" spans="2:9" x14ac:dyDescent="0.25">
      <c r="B327" s="157">
        <v>42465</v>
      </c>
      <c r="C327" s="10">
        <v>9678</v>
      </c>
      <c r="D327" s="242">
        <v>17.262699999999999</v>
      </c>
      <c r="E327" s="40">
        <v>10.63</v>
      </c>
      <c r="F327" s="40">
        <f t="shared" si="37"/>
        <v>-64191.270599999982</v>
      </c>
      <c r="G327" s="40">
        <f t="shared" si="38"/>
        <v>167068.4106</v>
      </c>
      <c r="H327" s="231">
        <f t="shared" si="36"/>
        <v>-0.38422147172806098</v>
      </c>
      <c r="I327" s="40"/>
    </row>
    <row r="328" spans="2:9" x14ac:dyDescent="0.25">
      <c r="B328" s="157">
        <v>42469</v>
      </c>
      <c r="C328" s="10">
        <v>8678</v>
      </c>
      <c r="D328" s="242">
        <v>17.895700000000001</v>
      </c>
      <c r="E328" s="40">
        <v>11.78</v>
      </c>
      <c r="F328" s="40">
        <f t="shared" si="37"/>
        <v>-53072.044600000016</v>
      </c>
      <c r="G328" s="40">
        <f t="shared" si="38"/>
        <v>155298.88460000002</v>
      </c>
      <c r="H328" s="231">
        <f t="shared" si="36"/>
        <v>-0.34174131215878684</v>
      </c>
      <c r="I328" s="40"/>
    </row>
    <row r="329" spans="2:9" x14ac:dyDescent="0.25">
      <c r="B329" s="157">
        <v>42471</v>
      </c>
      <c r="C329" s="10">
        <v>9678</v>
      </c>
      <c r="D329" s="242">
        <v>17.2514</v>
      </c>
      <c r="E329" s="40">
        <v>11.67</v>
      </c>
      <c r="F329" s="40">
        <f t="shared" si="37"/>
        <v>-54016.789200000007</v>
      </c>
      <c r="G329" s="40">
        <f t="shared" si="38"/>
        <v>166959.04920000001</v>
      </c>
      <c r="H329" s="231">
        <f t="shared" si="36"/>
        <v>-0.32353316252593994</v>
      </c>
      <c r="I329" s="40"/>
    </row>
    <row r="330" spans="2:9" x14ac:dyDescent="0.25">
      <c r="B330" s="157">
        <v>42472</v>
      </c>
      <c r="C330" s="10">
        <v>8288</v>
      </c>
      <c r="D330" s="242">
        <v>17.96</v>
      </c>
      <c r="E330" s="40">
        <v>13.05</v>
      </c>
      <c r="F330" s="40">
        <f t="shared" si="37"/>
        <v>-40694.080000000002</v>
      </c>
      <c r="G330" s="40">
        <f t="shared" si="38"/>
        <v>148852.48000000001</v>
      </c>
      <c r="H330" s="231">
        <f t="shared" si="36"/>
        <v>-0.27338530066815142</v>
      </c>
      <c r="I330" s="40"/>
    </row>
    <row r="331" spans="2:9" x14ac:dyDescent="0.25">
      <c r="B331" s="157">
        <v>42473</v>
      </c>
      <c r="C331" s="10">
        <v>9258</v>
      </c>
      <c r="D331" s="242">
        <v>17.415800000000001</v>
      </c>
      <c r="E331" s="40">
        <v>12.92</v>
      </c>
      <c r="F331" s="40">
        <f t="shared" si="37"/>
        <v>-41622.116400000006</v>
      </c>
      <c r="G331" s="40">
        <f t="shared" si="38"/>
        <v>161235.47640000001</v>
      </c>
      <c r="H331" s="231">
        <f t="shared" si="36"/>
        <v>-0.2581449029042594</v>
      </c>
      <c r="I331" s="40"/>
    </row>
    <row r="332" spans="2:9" x14ac:dyDescent="0.25">
      <c r="B332" s="157">
        <v>42474</v>
      </c>
      <c r="C332" s="10">
        <v>9678</v>
      </c>
      <c r="D332" s="242">
        <v>17.2135</v>
      </c>
      <c r="E332" s="40">
        <v>13.11</v>
      </c>
      <c r="F332" s="40">
        <f t="shared" si="37"/>
        <v>-39713.673000000003</v>
      </c>
      <c r="G332" s="40">
        <f t="shared" si="38"/>
        <v>166592.253</v>
      </c>
      <c r="H332" s="231">
        <f t="shared" si="36"/>
        <v>-0.23838847416272113</v>
      </c>
      <c r="I332" s="40"/>
    </row>
    <row r="333" spans="2:9" x14ac:dyDescent="0.25">
      <c r="B333" s="157">
        <v>42474</v>
      </c>
      <c r="C333" s="10">
        <v>9178</v>
      </c>
      <c r="D333" s="242">
        <v>17.433299999999999</v>
      </c>
      <c r="E333" s="40">
        <v>13.11</v>
      </c>
      <c r="F333" s="40">
        <f t="shared" si="37"/>
        <v>-39679.2474</v>
      </c>
      <c r="G333" s="40">
        <f t="shared" si="38"/>
        <v>160002.82739999998</v>
      </c>
      <c r="H333" s="231">
        <f t="shared" si="36"/>
        <v>-0.24799091394056202</v>
      </c>
      <c r="I333" s="40"/>
    </row>
    <row r="334" spans="2:9" x14ac:dyDescent="0.25">
      <c r="B334" s="157">
        <v>42475</v>
      </c>
      <c r="C334" s="10">
        <v>9678</v>
      </c>
      <c r="D334" s="242">
        <v>17.205100000000002</v>
      </c>
      <c r="E334" s="40">
        <v>13.01</v>
      </c>
      <c r="F334" s="40">
        <f t="shared" si="37"/>
        <v>-40600.177800000019</v>
      </c>
      <c r="G334" s="40">
        <f t="shared" si="38"/>
        <v>166510.9578</v>
      </c>
      <c r="H334" s="231">
        <f t="shared" si="36"/>
        <v>-0.24382886469709572</v>
      </c>
      <c r="I334" s="40"/>
    </row>
    <row r="335" spans="2:9" x14ac:dyDescent="0.25">
      <c r="B335" s="157">
        <v>42478</v>
      </c>
      <c r="C335" s="10">
        <v>9178</v>
      </c>
      <c r="D335" s="242">
        <v>17.412400000000002</v>
      </c>
      <c r="E335" s="40">
        <v>13.36</v>
      </c>
      <c r="F335" s="40">
        <f t="shared" si="37"/>
        <v>-37192.92720000002</v>
      </c>
      <c r="G335" s="40">
        <f t="shared" si="38"/>
        <v>159811.00720000002</v>
      </c>
      <c r="H335" s="231">
        <f t="shared" si="36"/>
        <v>-0.232730697663734</v>
      </c>
      <c r="I335" s="40"/>
    </row>
    <row r="336" spans="2:9" x14ac:dyDescent="0.25">
      <c r="B336" s="157">
        <v>42484</v>
      </c>
      <c r="C336" s="282">
        <v>9178</v>
      </c>
      <c r="D336" s="338">
        <v>17.412400000000002</v>
      </c>
      <c r="E336" s="40">
        <v>14.34</v>
      </c>
      <c r="F336" s="40">
        <f t="shared" si="37"/>
        <v>-28198.487200000018</v>
      </c>
      <c r="G336" s="40">
        <f t="shared" si="38"/>
        <v>159811.00720000002</v>
      </c>
      <c r="H336" s="231">
        <f t="shared" si="36"/>
        <v>-0.17644896740254082</v>
      </c>
      <c r="I336" s="40"/>
    </row>
    <row r="337" spans="2:9" x14ac:dyDescent="0.25">
      <c r="B337" s="157">
        <v>42485</v>
      </c>
      <c r="C337" s="282">
        <v>9678</v>
      </c>
      <c r="D337" s="338">
        <v>17.233499999999999</v>
      </c>
      <c r="E337" s="40">
        <v>13.83</v>
      </c>
      <c r="F337" s="40">
        <f t="shared" si="37"/>
        <v>-32939.072999999997</v>
      </c>
      <c r="G337" s="40">
        <f t="shared" si="38"/>
        <v>166785.81299999999</v>
      </c>
      <c r="H337" s="231">
        <f t="shared" si="36"/>
        <v>-0.19749325441726867</v>
      </c>
      <c r="I337" s="40"/>
    </row>
    <row r="338" spans="2:9" x14ac:dyDescent="0.25">
      <c r="B338" s="157">
        <v>42486</v>
      </c>
      <c r="C338" s="10">
        <v>9178</v>
      </c>
      <c r="D338" s="242">
        <v>17.390599999999999</v>
      </c>
      <c r="E338" s="40">
        <v>14.44</v>
      </c>
      <c r="F338" s="40">
        <f t="shared" si="37"/>
        <v>-27080.606799999998</v>
      </c>
      <c r="G338" s="40">
        <f t="shared" si="38"/>
        <v>159610.92679999999</v>
      </c>
      <c r="H338" s="232">
        <f t="shared" si="36"/>
        <v>-0.16966637148804525</v>
      </c>
      <c r="I338" s="40"/>
    </row>
    <row r="339" spans="2:9" x14ac:dyDescent="0.25">
      <c r="B339" s="157">
        <v>42487</v>
      </c>
      <c r="C339" s="10">
        <v>9178</v>
      </c>
      <c r="D339" s="242">
        <v>17.376300000000001</v>
      </c>
      <c r="E339" s="40">
        <v>14.84</v>
      </c>
      <c r="F339" s="40">
        <f t="shared" si="37"/>
        <v>-23278.161400000005</v>
      </c>
      <c r="G339" s="40">
        <f t="shared" si="38"/>
        <v>159479.6814</v>
      </c>
      <c r="H339" s="232">
        <f t="shared" si="36"/>
        <v>-0.14596317973331496</v>
      </c>
      <c r="I339" s="40"/>
    </row>
    <row r="340" spans="2:9" x14ac:dyDescent="0.25">
      <c r="B340" s="157">
        <v>42488</v>
      </c>
      <c r="C340" s="10">
        <v>9678</v>
      </c>
      <c r="D340" s="242">
        <v>17.2287</v>
      </c>
      <c r="E340" s="40">
        <v>14.35</v>
      </c>
      <c r="F340" s="40">
        <f t="shared" si="37"/>
        <v>-27860.058600000004</v>
      </c>
      <c r="G340" s="40">
        <f t="shared" si="38"/>
        <v>166739.35860000001</v>
      </c>
      <c r="H340" s="232">
        <f t="shared" si="36"/>
        <v>-0.16708747612994598</v>
      </c>
      <c r="I340" s="40"/>
    </row>
    <row r="341" spans="2:9" x14ac:dyDescent="0.25">
      <c r="B341" s="157">
        <v>42489</v>
      </c>
      <c r="C341" s="10">
        <v>9678</v>
      </c>
      <c r="D341" s="242">
        <v>17.179200000000002</v>
      </c>
      <c r="E341" s="40">
        <v>14.09</v>
      </c>
      <c r="F341" s="40">
        <f t="shared" si="37"/>
        <v>-29897.277600000016</v>
      </c>
      <c r="G341" s="40">
        <f t="shared" si="38"/>
        <v>166260.29760000002</v>
      </c>
      <c r="H341" s="232">
        <f t="shared" si="36"/>
        <v>-0.17982211045916</v>
      </c>
      <c r="I341" s="40"/>
    </row>
    <row r="342" spans="2:9" x14ac:dyDescent="0.25">
      <c r="B342" s="157">
        <v>42492</v>
      </c>
      <c r="C342" s="10">
        <v>9678</v>
      </c>
      <c r="D342" s="242">
        <v>17.136399999999998</v>
      </c>
      <c r="E342" s="40">
        <v>13.55</v>
      </c>
      <c r="F342" s="40">
        <f t="shared" si="37"/>
        <v>-34709.179199999977</v>
      </c>
      <c r="G342" s="40">
        <f t="shared" si="38"/>
        <v>165846.07919999998</v>
      </c>
      <c r="H342" s="232">
        <f t="shared" si="36"/>
        <v>-0.20928549753740563</v>
      </c>
      <c r="I342" s="40"/>
    </row>
    <row r="343" spans="2:9" x14ac:dyDescent="0.25">
      <c r="B343" s="157">
        <v>42493</v>
      </c>
      <c r="C343" s="10">
        <v>9678</v>
      </c>
      <c r="D343" s="242">
        <v>17.1221</v>
      </c>
      <c r="E343" s="40">
        <v>12.79</v>
      </c>
      <c r="F343" s="40">
        <f t="shared" si="37"/>
        <v>-41926.063800000004</v>
      </c>
      <c r="G343" s="40">
        <f t="shared" si="38"/>
        <v>165707.6838</v>
      </c>
      <c r="H343" s="232">
        <f t="shared" si="36"/>
        <v>-0.25301218892542388</v>
      </c>
      <c r="I343" s="40"/>
    </row>
    <row r="344" spans="2:9" x14ac:dyDescent="0.25">
      <c r="B344" s="157">
        <v>42494</v>
      </c>
      <c r="C344" s="10">
        <v>11678</v>
      </c>
      <c r="D344" s="242">
        <v>16.316800000000001</v>
      </c>
      <c r="E344" s="40">
        <v>12.17</v>
      </c>
      <c r="F344" s="40">
        <f t="shared" si="37"/>
        <v>-48426.330400000006</v>
      </c>
      <c r="G344" s="40">
        <f t="shared" si="38"/>
        <v>190547.59040000002</v>
      </c>
      <c r="H344" s="232">
        <f t="shared" si="36"/>
        <v>-0.25414296920964896</v>
      </c>
      <c r="I344" s="40"/>
    </row>
    <row r="345" spans="2:9" x14ac:dyDescent="0.25">
      <c r="B345" s="157">
        <v>42495</v>
      </c>
      <c r="C345" s="10">
        <v>9678</v>
      </c>
      <c r="D345" s="242">
        <v>17.0684</v>
      </c>
      <c r="E345" s="40">
        <v>12.07</v>
      </c>
      <c r="F345" s="40">
        <f t="shared" si="37"/>
        <v>-48374.515200000002</v>
      </c>
      <c r="G345" s="40">
        <f t="shared" si="38"/>
        <v>165187.97520000002</v>
      </c>
      <c r="H345" s="231">
        <f t="shared" si="36"/>
        <v>-0.29284525790349419</v>
      </c>
      <c r="I345" s="40"/>
    </row>
    <row r="346" spans="2:9" x14ac:dyDescent="0.25">
      <c r="B346" s="157">
        <v>42499</v>
      </c>
      <c r="C346" s="10">
        <v>10678</v>
      </c>
      <c r="D346" s="242">
        <v>16.537600000000001</v>
      </c>
      <c r="E346" s="40">
        <v>11.44</v>
      </c>
      <c r="F346" s="40">
        <f t="shared" si="37"/>
        <v>-54432.172800000015</v>
      </c>
      <c r="G346" s="40">
        <f t="shared" si="38"/>
        <v>176588.49280000001</v>
      </c>
      <c r="H346" s="231">
        <f t="shared" si="36"/>
        <v>-0.30824303405572762</v>
      </c>
      <c r="I346" s="40"/>
    </row>
    <row r="347" spans="2:9" x14ac:dyDescent="0.25">
      <c r="B347" s="157">
        <v>42500</v>
      </c>
      <c r="C347" s="10">
        <v>9678</v>
      </c>
      <c r="D347" s="242">
        <v>17.042100000000001</v>
      </c>
      <c r="E347" s="40">
        <v>11.94</v>
      </c>
      <c r="F347" s="40">
        <f t="shared" si="37"/>
        <v>-49378.123800000016</v>
      </c>
      <c r="G347" s="40">
        <f t="shared" si="38"/>
        <v>164933.44380000001</v>
      </c>
      <c r="H347" s="231">
        <f t="shared" si="36"/>
        <v>-0.2993821184009014</v>
      </c>
      <c r="I347" s="40"/>
    </row>
    <row r="348" spans="2:9" x14ac:dyDescent="0.25">
      <c r="B348" s="157">
        <v>42502</v>
      </c>
      <c r="C348" s="10">
        <v>10678</v>
      </c>
      <c r="D348" s="242">
        <v>16.601800000000001</v>
      </c>
      <c r="E348" s="40">
        <v>12.33</v>
      </c>
      <c r="F348" s="40">
        <f t="shared" si="37"/>
        <v>-45614.280400000011</v>
      </c>
      <c r="G348" s="40">
        <f t="shared" si="38"/>
        <v>177274.02040000001</v>
      </c>
      <c r="H348" s="231">
        <f t="shared" si="36"/>
        <v>-0.25730944837306802</v>
      </c>
      <c r="I348" s="40"/>
    </row>
    <row r="349" spans="2:9" x14ac:dyDescent="0.25">
      <c r="B349" s="157">
        <v>42502</v>
      </c>
      <c r="C349" s="10">
        <v>9678</v>
      </c>
      <c r="D349" s="242">
        <v>17.0334</v>
      </c>
      <c r="E349" s="40">
        <v>12.33</v>
      </c>
      <c r="F349" s="40">
        <f t="shared" si="37"/>
        <v>-45519.5052</v>
      </c>
      <c r="G349" s="40">
        <f t="shared" si="38"/>
        <v>164849.2452</v>
      </c>
      <c r="H349" s="231">
        <f t="shared" si="36"/>
        <v>-0.27612807777660364</v>
      </c>
      <c r="I349" s="40"/>
    </row>
    <row r="350" spans="2:9" x14ac:dyDescent="0.25">
      <c r="B350" s="157">
        <v>42503</v>
      </c>
      <c r="C350" s="10">
        <v>9678</v>
      </c>
      <c r="D350" s="242">
        <v>17.029299999999999</v>
      </c>
      <c r="E350" s="40">
        <v>12.3</v>
      </c>
      <c r="F350" s="40">
        <f t="shared" si="37"/>
        <v>-45770.165399999983</v>
      </c>
      <c r="G350" s="40">
        <f t="shared" si="38"/>
        <v>164809.56539999999</v>
      </c>
      <c r="H350" s="231">
        <f t="shared" si="36"/>
        <v>-0.27771546687180321</v>
      </c>
      <c r="I350" s="40"/>
    </row>
    <row r="351" spans="2:9" x14ac:dyDescent="0.25">
      <c r="B351" s="157">
        <v>42506</v>
      </c>
      <c r="C351" s="10">
        <v>9678</v>
      </c>
      <c r="D351" s="242">
        <v>17.027699999999999</v>
      </c>
      <c r="E351" s="40">
        <v>12.78</v>
      </c>
      <c r="F351" s="40">
        <f t="shared" si="37"/>
        <v>-41109.240599999997</v>
      </c>
      <c r="G351" s="40">
        <f t="shared" si="38"/>
        <v>164794.08059999999</v>
      </c>
      <c r="H351" s="231">
        <f t="shared" si="36"/>
        <v>-0.24945823569830336</v>
      </c>
      <c r="I351" s="40"/>
    </row>
    <row r="352" spans="2:9" x14ac:dyDescent="0.25">
      <c r="B352" s="157">
        <v>42513</v>
      </c>
      <c r="C352" s="10">
        <v>9178</v>
      </c>
      <c r="D352" s="242">
        <v>17.244399999999999</v>
      </c>
      <c r="E352" s="40">
        <v>13.19</v>
      </c>
      <c r="F352" s="40">
        <f t="shared" si="37"/>
        <v>-37211.283199999991</v>
      </c>
      <c r="G352" s="40">
        <f t="shared" si="38"/>
        <v>158269.10319999998</v>
      </c>
      <c r="H352" s="231">
        <f t="shared" si="36"/>
        <v>-0.23511400802579385</v>
      </c>
      <c r="I352" s="40"/>
    </row>
    <row r="353" spans="2:9" x14ac:dyDescent="0.25">
      <c r="B353" s="157">
        <v>42514</v>
      </c>
      <c r="C353" s="10">
        <v>9678</v>
      </c>
      <c r="D353" s="242">
        <v>17.026</v>
      </c>
      <c r="E353" s="40">
        <v>13.02</v>
      </c>
      <c r="F353" s="40">
        <f t="shared" si="37"/>
        <v>-38770.067999999999</v>
      </c>
      <c r="G353" s="40">
        <f t="shared" si="38"/>
        <v>164777.628</v>
      </c>
      <c r="H353" s="231">
        <f t="shared" si="36"/>
        <v>-0.23528720779983556</v>
      </c>
      <c r="I353" s="40"/>
    </row>
    <row r="354" spans="2:9" x14ac:dyDescent="0.25">
      <c r="B354" s="157">
        <v>42515</v>
      </c>
      <c r="C354" s="10">
        <v>9178</v>
      </c>
      <c r="D354" s="242">
        <v>17.206800000000001</v>
      </c>
      <c r="E354" s="40">
        <v>13.54</v>
      </c>
      <c r="F354" s="40">
        <f t="shared" si="37"/>
        <v>-33653.890400000018</v>
      </c>
      <c r="G354" s="40">
        <f t="shared" si="38"/>
        <v>157924.0104</v>
      </c>
      <c r="H354" s="231">
        <f t="shared" si="36"/>
        <v>-0.21310179696399109</v>
      </c>
      <c r="I354" s="40"/>
    </row>
    <row r="355" spans="2:9" x14ac:dyDescent="0.25">
      <c r="B355" s="157">
        <v>42516</v>
      </c>
      <c r="C355" s="10">
        <v>9678</v>
      </c>
      <c r="D355" s="242">
        <v>17.003799999999998</v>
      </c>
      <c r="E355" s="40">
        <v>13.17</v>
      </c>
      <c r="F355" s="40">
        <f t="shared" si="37"/>
        <v>-37103.516399999986</v>
      </c>
      <c r="G355" s="40">
        <f t="shared" si="38"/>
        <v>164562.77639999997</v>
      </c>
      <c r="H355" s="231">
        <f t="shared" si="36"/>
        <v>-0.22546724849739463</v>
      </c>
      <c r="I355" s="40"/>
    </row>
    <row r="356" spans="2:9" x14ac:dyDescent="0.25">
      <c r="B356" s="157">
        <v>42517</v>
      </c>
      <c r="C356" s="10">
        <v>9678</v>
      </c>
      <c r="D356" s="242">
        <v>16.999700000000001</v>
      </c>
      <c r="E356" s="40">
        <v>12.9</v>
      </c>
      <c r="F356" s="40">
        <f t="shared" si="37"/>
        <v>-39676.8966</v>
      </c>
      <c r="G356" s="40">
        <f t="shared" si="38"/>
        <v>164523.09660000002</v>
      </c>
      <c r="H356" s="231">
        <f t="shared" si="36"/>
        <v>-0.2411630793484591</v>
      </c>
      <c r="I356" s="40"/>
    </row>
    <row r="357" spans="2:9" x14ac:dyDescent="0.25">
      <c r="B357" s="157">
        <v>42525</v>
      </c>
      <c r="C357" s="10">
        <v>9678</v>
      </c>
      <c r="D357" s="242">
        <v>16.9956</v>
      </c>
      <c r="E357" s="40">
        <v>13.32</v>
      </c>
      <c r="F357" s="40">
        <f t="shared" si="37"/>
        <v>-35572.456799999993</v>
      </c>
      <c r="G357" s="40">
        <f t="shared" si="38"/>
        <v>164483.41680000001</v>
      </c>
      <c r="H357" s="231">
        <f t="shared" si="36"/>
        <v>-0.21626773988561743</v>
      </c>
      <c r="I357" s="40"/>
    </row>
    <row r="358" spans="2:9" x14ac:dyDescent="0.25">
      <c r="B358" s="157">
        <v>42527</v>
      </c>
      <c r="C358" s="10">
        <v>8178</v>
      </c>
      <c r="D358" s="242">
        <v>17.568999999999999</v>
      </c>
      <c r="E358" s="40">
        <v>13.96</v>
      </c>
      <c r="F358" s="40">
        <f t="shared" si="37"/>
        <v>-29514.401999999984</v>
      </c>
      <c r="G358" s="40">
        <f t="shared" si="38"/>
        <v>143679.28200000001</v>
      </c>
      <c r="H358" s="231">
        <f t="shared" si="36"/>
        <v>-0.20541863509590746</v>
      </c>
      <c r="I358" s="40"/>
    </row>
    <row r="359" spans="2:9" x14ac:dyDescent="0.25">
      <c r="B359" s="157">
        <v>42528</v>
      </c>
      <c r="C359" s="10">
        <v>7678</v>
      </c>
      <c r="D359" s="242">
        <v>17.759599999999999</v>
      </c>
      <c r="E359" s="40">
        <v>14.62</v>
      </c>
      <c r="F359" s="40">
        <f t="shared" si="37"/>
        <v>-24105.848799999996</v>
      </c>
      <c r="G359" s="40">
        <f t="shared" si="38"/>
        <v>136358.20879999999</v>
      </c>
      <c r="H359" s="231">
        <f t="shared" si="36"/>
        <v>-0.17678326088425414</v>
      </c>
      <c r="I359" s="40"/>
    </row>
    <row r="360" spans="2:9" x14ac:dyDescent="0.25">
      <c r="B360" s="157">
        <v>42529</v>
      </c>
      <c r="C360" s="10">
        <v>8178</v>
      </c>
      <c r="D360" s="242">
        <v>17.5654</v>
      </c>
      <c r="E360" s="40">
        <v>14.53</v>
      </c>
      <c r="F360" s="40">
        <f t="shared" si="37"/>
        <v>-24823.50120000001</v>
      </c>
      <c r="G360" s="40">
        <f t="shared" si="38"/>
        <v>143649.8412</v>
      </c>
      <c r="H360" s="231">
        <f t="shared" si="36"/>
        <v>-0.17280562924840887</v>
      </c>
      <c r="I360" s="40"/>
    </row>
    <row r="361" spans="2:9" x14ac:dyDescent="0.25">
      <c r="B361" s="157">
        <v>42531</v>
      </c>
      <c r="C361" s="10">
        <v>8978</v>
      </c>
      <c r="D361" s="242">
        <v>17.1751</v>
      </c>
      <c r="E361" s="40">
        <v>13.42</v>
      </c>
      <c r="F361" s="40">
        <f t="shared" ref="F361:F369" si="39">C361*(E361-D361)</f>
        <v>-33713.287800000006</v>
      </c>
      <c r="G361" s="40">
        <f t="shared" ref="G361:G369" si="40">IF(C361=0, 0,D361*C361)</f>
        <v>154198.0478</v>
      </c>
      <c r="H361" s="231">
        <f t="shared" ref="H361:H369" si="41">IF(C361=0, D361, (E361-D361)/D361)</f>
        <v>-0.21863628159370255</v>
      </c>
      <c r="I361" s="40"/>
    </row>
    <row r="362" spans="2:9" x14ac:dyDescent="0.25">
      <c r="B362" s="157">
        <v>42531</v>
      </c>
      <c r="C362" s="282">
        <v>9278</v>
      </c>
      <c r="D362" s="338">
        <v>17.1052</v>
      </c>
      <c r="E362" s="40">
        <v>13.42</v>
      </c>
      <c r="F362" s="40">
        <f t="shared" si="39"/>
        <v>-34191.285600000003</v>
      </c>
      <c r="G362" s="40">
        <f t="shared" si="40"/>
        <v>158702.04560000001</v>
      </c>
      <c r="H362" s="231">
        <f t="shared" si="41"/>
        <v>-0.21544325702125669</v>
      </c>
      <c r="I362" s="40"/>
    </row>
    <row r="363" spans="2:9" x14ac:dyDescent="0.25">
      <c r="B363" s="157">
        <v>42532</v>
      </c>
      <c r="C363" s="10">
        <v>9278</v>
      </c>
      <c r="D363" s="242">
        <v>17.053000000000001</v>
      </c>
      <c r="E363" s="40">
        <v>13.42</v>
      </c>
      <c r="F363" s="40">
        <f t="shared" si="39"/>
        <v>-33706.974000000009</v>
      </c>
      <c r="G363" s="40">
        <f t="shared" si="40"/>
        <v>158217.734</v>
      </c>
      <c r="H363" s="231">
        <f t="shared" si="41"/>
        <v>-0.21304169354365804</v>
      </c>
      <c r="I363" s="40" t="s">
        <v>186</v>
      </c>
    </row>
    <row r="364" spans="2:9" x14ac:dyDescent="0.25">
      <c r="B364" s="157">
        <v>42535</v>
      </c>
      <c r="C364" s="10">
        <v>9678</v>
      </c>
      <c r="D364" s="242">
        <v>16.879300000000001</v>
      </c>
      <c r="E364" s="40">
        <v>13.23</v>
      </c>
      <c r="F364" s="40">
        <f t="shared" si="39"/>
        <v>-35317.9254</v>
      </c>
      <c r="G364" s="40">
        <f t="shared" si="40"/>
        <v>163357.86540000001</v>
      </c>
      <c r="H364" s="231">
        <f t="shared" si="41"/>
        <v>-0.21619972392220058</v>
      </c>
      <c r="I364" s="40" t="s">
        <v>224</v>
      </c>
    </row>
    <row r="365" spans="2:9" x14ac:dyDescent="0.25">
      <c r="B365" s="157">
        <v>42536</v>
      </c>
      <c r="C365" s="10">
        <v>9278</v>
      </c>
      <c r="D365" s="242">
        <v>17.027999999999999</v>
      </c>
      <c r="E365" s="40">
        <v>13.06</v>
      </c>
      <c r="F365" s="40">
        <f t="shared" si="39"/>
        <v>-36815.103999999985</v>
      </c>
      <c r="G365" s="40">
        <f t="shared" si="40"/>
        <v>157985.78399999999</v>
      </c>
      <c r="H365" s="231">
        <f t="shared" si="41"/>
        <v>-0.23302795395818643</v>
      </c>
      <c r="I365" s="40"/>
    </row>
    <row r="366" spans="2:9" x14ac:dyDescent="0.25">
      <c r="B366" s="157">
        <v>42537</v>
      </c>
      <c r="C366" s="282">
        <v>9278</v>
      </c>
      <c r="D366" s="338">
        <v>17.0168</v>
      </c>
      <c r="E366" s="40">
        <v>12.67</v>
      </c>
      <c r="F366" s="40">
        <f t="shared" si="39"/>
        <v>-40329.610399999998</v>
      </c>
      <c r="G366" s="40">
        <f t="shared" si="40"/>
        <v>157881.87039999999</v>
      </c>
      <c r="H366" s="231">
        <f t="shared" si="41"/>
        <v>-0.25544168116214566</v>
      </c>
      <c r="I366" s="40"/>
    </row>
    <row r="367" spans="2:9" x14ac:dyDescent="0.25">
      <c r="B367" s="157">
        <v>42538</v>
      </c>
      <c r="C367" s="282">
        <v>9278</v>
      </c>
      <c r="D367" s="338">
        <v>17.0061</v>
      </c>
      <c r="E367" s="40">
        <v>13.16</v>
      </c>
      <c r="F367" s="40">
        <f t="shared" si="39"/>
        <v>-35684.1158</v>
      </c>
      <c r="G367" s="40">
        <f t="shared" si="40"/>
        <v>157782.59580000001</v>
      </c>
      <c r="H367" s="231">
        <f t="shared" si="41"/>
        <v>-0.2261600249322302</v>
      </c>
      <c r="I367" s="40"/>
    </row>
    <row r="368" spans="2:9" x14ac:dyDescent="0.25">
      <c r="B368" s="157">
        <v>42541</v>
      </c>
      <c r="C368" s="10">
        <v>7678</v>
      </c>
      <c r="D368" s="242">
        <v>17.568000000000001</v>
      </c>
      <c r="E368" s="40">
        <v>14.48</v>
      </c>
      <c r="F368" s="40">
        <f t="shared" si="39"/>
        <v>-23709.664000000008</v>
      </c>
      <c r="G368" s="40">
        <f t="shared" si="40"/>
        <v>134887.10400000002</v>
      </c>
      <c r="H368" s="232">
        <f t="shared" si="41"/>
        <v>-0.17577413479052828</v>
      </c>
      <c r="I368" s="40"/>
    </row>
    <row r="369" spans="2:9" x14ac:dyDescent="0.25">
      <c r="B369" s="157">
        <v>42542</v>
      </c>
      <c r="C369" s="10">
        <v>6800</v>
      </c>
      <c r="D369" s="242">
        <v>17.892099999999999</v>
      </c>
      <c r="E369" s="40">
        <v>15.09</v>
      </c>
      <c r="F369" s="40">
        <f t="shared" si="39"/>
        <v>-19054.279999999995</v>
      </c>
      <c r="G369" s="40">
        <f t="shared" si="40"/>
        <v>121666.28</v>
      </c>
      <c r="H369" s="232">
        <f t="shared" si="41"/>
        <v>-0.15661101827063337</v>
      </c>
      <c r="I369" s="40"/>
    </row>
    <row r="370" spans="2:9" x14ac:dyDescent="0.25">
      <c r="B370" s="157">
        <v>42543</v>
      </c>
      <c r="C370" s="10">
        <v>7300</v>
      </c>
      <c r="D370" s="242">
        <v>17.6769</v>
      </c>
      <c r="E370" s="40">
        <v>14.75</v>
      </c>
      <c r="F370" s="40">
        <f t="shared" ref="F370:F378" si="42">C370*(E370-D370)</f>
        <v>-21366.37</v>
      </c>
      <c r="G370" s="40">
        <f t="shared" ref="G370:G378" si="43">IF(C370=0, 0,D370*C370)</f>
        <v>129041.37</v>
      </c>
      <c r="H370" s="232">
        <f t="shared" ref="H370:H378" si="44">IF(C370=0, D370, (E370-D370)/D370)</f>
        <v>-0.16557767481854849</v>
      </c>
      <c r="I370" s="40"/>
    </row>
    <row r="371" spans="2:9" x14ac:dyDescent="0.25">
      <c r="B371" s="157">
        <v>42544</v>
      </c>
      <c r="C371" s="10">
        <v>6800</v>
      </c>
      <c r="D371" s="242">
        <v>17.856100000000001</v>
      </c>
      <c r="E371" s="40">
        <v>15.27</v>
      </c>
      <c r="F371" s="40">
        <f t="shared" si="42"/>
        <v>-17585.480000000014</v>
      </c>
      <c r="G371" s="40">
        <f t="shared" si="43"/>
        <v>121421.48000000001</v>
      </c>
      <c r="H371" s="232">
        <f t="shared" si="44"/>
        <v>-0.1448300580753917</v>
      </c>
      <c r="I371" s="40"/>
    </row>
    <row r="372" spans="2:9" x14ac:dyDescent="0.25">
      <c r="B372" s="157">
        <v>42545</v>
      </c>
      <c r="C372" s="10">
        <v>7678</v>
      </c>
      <c r="D372" s="242">
        <v>17.462</v>
      </c>
      <c r="E372" s="40">
        <v>14.41</v>
      </c>
      <c r="F372" s="40">
        <f t="shared" si="42"/>
        <v>-23433.255999999998</v>
      </c>
      <c r="G372" s="40">
        <f t="shared" si="43"/>
        <v>134073.236</v>
      </c>
      <c r="H372" s="232">
        <f t="shared" si="44"/>
        <v>-0.17477952124613444</v>
      </c>
      <c r="I372" s="40"/>
    </row>
    <row r="373" spans="2:9" x14ac:dyDescent="0.25">
      <c r="B373" s="157">
        <v>42545</v>
      </c>
      <c r="C373" s="10">
        <v>8013</v>
      </c>
      <c r="D373" s="242">
        <v>17.32</v>
      </c>
      <c r="E373" s="40">
        <v>14.68</v>
      </c>
      <c r="F373" s="40">
        <f t="shared" si="42"/>
        <v>-21154.320000000003</v>
      </c>
      <c r="G373" s="40">
        <f t="shared" si="43"/>
        <v>138785.16</v>
      </c>
      <c r="H373" s="232">
        <f t="shared" si="44"/>
        <v>-0.15242494226327949</v>
      </c>
      <c r="I373" s="40"/>
    </row>
    <row r="374" spans="2:9" x14ac:dyDescent="0.25">
      <c r="B374" s="157">
        <v>42548</v>
      </c>
      <c r="C374" s="10">
        <v>8978</v>
      </c>
      <c r="D374" s="242">
        <v>16.943300000000001</v>
      </c>
      <c r="E374" s="40">
        <v>13.66</v>
      </c>
      <c r="F374" s="40">
        <f t="shared" si="42"/>
        <v>-29477.467400000005</v>
      </c>
      <c r="G374" s="40">
        <f t="shared" si="43"/>
        <v>152116.9474</v>
      </c>
      <c r="H374" s="232">
        <f t="shared" si="44"/>
        <v>-0.19378161279089673</v>
      </c>
      <c r="I374" s="40"/>
    </row>
    <row r="375" spans="2:9" x14ac:dyDescent="0.25">
      <c r="B375" s="157">
        <v>42548</v>
      </c>
      <c r="C375" s="10">
        <v>9278</v>
      </c>
      <c r="D375" s="242">
        <v>16.834599999999998</v>
      </c>
      <c r="E375" s="40">
        <v>13.66</v>
      </c>
      <c r="F375" s="40">
        <f t="shared" si="42"/>
        <v>-29453.938799999982</v>
      </c>
      <c r="G375" s="40">
        <f t="shared" si="43"/>
        <v>156191.41879999998</v>
      </c>
      <c r="H375" s="231">
        <f t="shared" si="44"/>
        <v>-0.18857590913951019</v>
      </c>
      <c r="I375" s="40"/>
    </row>
    <row r="376" spans="2:9" x14ac:dyDescent="0.25">
      <c r="B376" s="157">
        <v>42549</v>
      </c>
      <c r="C376" s="10">
        <v>8178</v>
      </c>
      <c r="D376" s="242">
        <v>17.124400000000001</v>
      </c>
      <c r="E376" s="40">
        <v>14.78</v>
      </c>
      <c r="F376" s="40">
        <f t="shared" si="42"/>
        <v>-19172.503200000017</v>
      </c>
      <c r="G376" s="40">
        <f t="shared" si="43"/>
        <v>140043.3432</v>
      </c>
      <c r="H376" s="231">
        <f t="shared" si="44"/>
        <v>-0.13690406671182651</v>
      </c>
      <c r="I376" s="40">
        <v>17</v>
      </c>
    </row>
    <row r="377" spans="2:9" x14ac:dyDescent="0.25">
      <c r="B377" s="157">
        <v>42552</v>
      </c>
      <c r="C377" s="10">
        <v>7678</v>
      </c>
      <c r="D377" s="242">
        <v>17.2315</v>
      </c>
      <c r="E377" s="40">
        <v>15.48</v>
      </c>
      <c r="F377" s="40">
        <f t="shared" si="42"/>
        <v>-13448.017</v>
      </c>
      <c r="G377" s="40">
        <f t="shared" si="43"/>
        <v>132303.45699999999</v>
      </c>
      <c r="H377" s="231">
        <f t="shared" si="44"/>
        <v>-0.1016452427240809</v>
      </c>
      <c r="I377" s="40">
        <v>17</v>
      </c>
    </row>
    <row r="378" spans="2:9" x14ac:dyDescent="0.25">
      <c r="B378" s="157">
        <v>42552</v>
      </c>
      <c r="C378" s="10">
        <v>7300</v>
      </c>
      <c r="D378" s="242">
        <v>17.313400000000001</v>
      </c>
      <c r="E378" s="40">
        <v>15.65</v>
      </c>
      <c r="F378" s="40">
        <f t="shared" si="42"/>
        <v>-12142.820000000009</v>
      </c>
      <c r="G378" s="40">
        <f t="shared" si="43"/>
        <v>126387.82</v>
      </c>
      <c r="H378" s="231">
        <f t="shared" si="44"/>
        <v>-9.6075871868032903E-2</v>
      </c>
      <c r="I378" s="40"/>
    </row>
    <row r="379" spans="2:9" x14ac:dyDescent="0.25">
      <c r="B379" s="157">
        <v>42552</v>
      </c>
      <c r="C379" s="10">
        <v>6800</v>
      </c>
      <c r="D379" s="242">
        <v>17.446100000000001</v>
      </c>
      <c r="E379" s="40">
        <v>15.7</v>
      </c>
      <c r="F379" s="40">
        <f t="shared" ref="F379:F383" si="45">C379*(E379-D379)</f>
        <v>-11873.480000000014</v>
      </c>
      <c r="G379" s="40">
        <f t="shared" ref="G379:G383" si="46">IF(C379=0, 0,D379*C379)</f>
        <v>118633.48000000001</v>
      </c>
      <c r="H379" s="231">
        <f t="shared" ref="H379:H383" si="47">IF(C379=0, D379, (E379-D379)/D379)</f>
        <v>-0.10008540590733757</v>
      </c>
      <c r="I379" s="40"/>
    </row>
    <row r="380" spans="2:9" x14ac:dyDescent="0.25">
      <c r="B380" s="157">
        <v>42552</v>
      </c>
      <c r="C380" s="10">
        <v>6000</v>
      </c>
      <c r="D380" s="242">
        <v>17.668199999999999</v>
      </c>
      <c r="E380" s="40">
        <v>15.68</v>
      </c>
      <c r="F380" s="40">
        <f t="shared" si="45"/>
        <v>-11929.199999999995</v>
      </c>
      <c r="G380" s="40">
        <f t="shared" si="46"/>
        <v>106009.2</v>
      </c>
      <c r="H380" s="231">
        <f t="shared" si="47"/>
        <v>-0.11252985589929926</v>
      </c>
      <c r="I380" s="40"/>
    </row>
    <row r="381" spans="2:9" x14ac:dyDescent="0.25">
      <c r="B381" s="157">
        <v>42556</v>
      </c>
      <c r="C381" s="10">
        <v>8178</v>
      </c>
      <c r="D381" s="242">
        <v>16.978899999999999</v>
      </c>
      <c r="E381" s="40">
        <v>14.72</v>
      </c>
      <c r="F381" s="40">
        <f t="shared" si="45"/>
        <v>-18473.284199999991</v>
      </c>
      <c r="G381" s="40">
        <f t="shared" si="46"/>
        <v>138853.4442</v>
      </c>
      <c r="H381" s="231">
        <f t="shared" si="47"/>
        <v>-0.13304159869013887</v>
      </c>
      <c r="I381" s="40">
        <v>16.75</v>
      </c>
    </row>
    <row r="382" spans="2:9" x14ac:dyDescent="0.25">
      <c r="B382" s="157">
        <v>42556</v>
      </c>
      <c r="C382" s="10">
        <v>8678</v>
      </c>
      <c r="D382" s="242">
        <v>16.843</v>
      </c>
      <c r="E382" s="40">
        <v>14.72</v>
      </c>
      <c r="F382" s="40">
        <f t="shared" si="45"/>
        <v>-18423.393999999993</v>
      </c>
      <c r="G382" s="40">
        <f t="shared" si="46"/>
        <v>146163.554</v>
      </c>
      <c r="H382" s="231">
        <f t="shared" si="47"/>
        <v>-0.12604642878347083</v>
      </c>
      <c r="I382" s="40"/>
    </row>
    <row r="383" spans="2:9" x14ac:dyDescent="0.25">
      <c r="B383" s="157">
        <v>42557</v>
      </c>
      <c r="C383" s="10">
        <v>8178</v>
      </c>
      <c r="D383" s="242">
        <v>16.960599999999999</v>
      </c>
      <c r="E383" s="40">
        <v>14.84</v>
      </c>
      <c r="F383" s="40">
        <f t="shared" si="45"/>
        <v>-17342.266799999998</v>
      </c>
      <c r="G383" s="40">
        <f t="shared" si="46"/>
        <v>138703.7868</v>
      </c>
      <c r="H383" s="231">
        <f t="shared" si="47"/>
        <v>-0.12503095409360515</v>
      </c>
      <c r="I383" s="40">
        <v>16.75</v>
      </c>
    </row>
    <row r="384" spans="2:9" x14ac:dyDescent="0.25">
      <c r="B384" s="157">
        <v>42557</v>
      </c>
      <c r="C384" s="10">
        <v>8678</v>
      </c>
      <c r="D384" s="242">
        <v>16.835000000000001</v>
      </c>
      <c r="E384" s="40">
        <v>14.84</v>
      </c>
      <c r="F384" s="40">
        <f t="shared" ref="F384" si="48">C384*(E384-D384)</f>
        <v>-17312.610000000008</v>
      </c>
      <c r="G384" s="40">
        <f t="shared" ref="G384" si="49">IF(C384=0, 0,D384*C384)</f>
        <v>146094.13</v>
      </c>
      <c r="H384" s="231">
        <f t="shared" ref="H384" si="50">IF(C384=0, D384, (E384-D384)/D384)</f>
        <v>-0.11850311850311855</v>
      </c>
      <c r="I384" s="40"/>
    </row>
    <row r="385" spans="2:9" x14ac:dyDescent="0.25">
      <c r="B385" s="157">
        <v>42559</v>
      </c>
      <c r="C385" s="10">
        <v>8678</v>
      </c>
      <c r="D385" s="242">
        <v>16.835000000000001</v>
      </c>
      <c r="E385" s="40">
        <v>14.92</v>
      </c>
      <c r="F385" s="40">
        <f t="shared" ref="F385" si="51">C385*(E385-D385)</f>
        <v>-16618.370000000006</v>
      </c>
      <c r="G385" s="40">
        <f t="shared" ref="G385" si="52">IF(C385=0, 0,D385*C385)</f>
        <v>146094.13</v>
      </c>
      <c r="H385" s="231">
        <f t="shared" ref="H385" si="53">IF(C385=0, D385, (E385-D385)/D385)</f>
        <v>-0.1137511137511138</v>
      </c>
      <c r="I385" s="40"/>
    </row>
    <row r="386" spans="2:9" x14ac:dyDescent="0.25">
      <c r="B386" s="157">
        <v>42562</v>
      </c>
      <c r="C386" s="10">
        <v>8678</v>
      </c>
      <c r="D386" s="242">
        <v>16.835000000000001</v>
      </c>
      <c r="E386" s="40">
        <v>14.69</v>
      </c>
      <c r="F386" s="40">
        <f t="shared" ref="F386" si="54">C386*(E386-D386)</f>
        <v>-18614.310000000012</v>
      </c>
      <c r="G386" s="40">
        <f t="shared" ref="G386" si="55">IF(C386=0, 0,D386*C386)</f>
        <v>146094.13</v>
      </c>
      <c r="H386" s="231">
        <f t="shared" ref="H386" si="56">IF(C386=0, D386, (E386-D386)/D386)</f>
        <v>-0.12741312741312749</v>
      </c>
      <c r="I386" s="40"/>
    </row>
    <row r="387" spans="2:9" x14ac:dyDescent="0.25">
      <c r="B387" s="157">
        <v>42563</v>
      </c>
      <c r="C387" s="10">
        <v>8678</v>
      </c>
      <c r="D387" s="242">
        <v>16.835000000000001</v>
      </c>
      <c r="E387" s="40">
        <v>15.6</v>
      </c>
      <c r="F387" s="40">
        <f t="shared" ref="F387:F388" si="57">C387*(E387-D387)</f>
        <v>-10717.330000000011</v>
      </c>
      <c r="G387" s="40">
        <f t="shared" ref="G387:G388" si="58">IF(C387=0, 0,D387*C387)</f>
        <v>146094.13</v>
      </c>
      <c r="H387" s="231">
        <f t="shared" ref="H387:H388" si="59">IF(C387=0, D387, (E387-D387)/D387)</f>
        <v>-7.3359073359073421E-2</v>
      </c>
      <c r="I387" s="40"/>
    </row>
    <row r="388" spans="2:9" x14ac:dyDescent="0.25">
      <c r="B388" s="157">
        <v>42564</v>
      </c>
      <c r="C388" s="10">
        <v>8738</v>
      </c>
      <c r="D388" s="242">
        <v>16.816099999999999</v>
      </c>
      <c r="E388" s="40">
        <v>15.29</v>
      </c>
      <c r="F388" s="40">
        <f t="shared" si="57"/>
        <v>-13335.061799999996</v>
      </c>
      <c r="G388" s="40">
        <f t="shared" si="58"/>
        <v>146939.08179999999</v>
      </c>
      <c r="H388" s="231">
        <f t="shared" si="59"/>
        <v>-9.0752314745987453E-2</v>
      </c>
      <c r="I388" s="40"/>
    </row>
    <row r="389" spans="2:9" x14ac:dyDescent="0.25">
      <c r="B389" s="157">
        <v>42566</v>
      </c>
      <c r="C389" s="10">
        <v>8738</v>
      </c>
      <c r="D389" s="242">
        <v>16.816099999999999</v>
      </c>
      <c r="E389" s="40">
        <v>15.21</v>
      </c>
      <c r="F389" s="40">
        <f t="shared" ref="F389:F391" si="60">C389*(E389-D389)</f>
        <v>-14034.101799999982</v>
      </c>
      <c r="G389" s="40">
        <f t="shared" ref="G389:G391" si="61">IF(C389=0, 0,D389*C389)</f>
        <v>146939.08179999999</v>
      </c>
      <c r="H389" s="231">
        <f t="shared" ref="H389:H391" si="62">IF(C389=0, D389, (E389-D389)/D389)</f>
        <v>-9.5509660384988079E-2</v>
      </c>
      <c r="I389" s="40"/>
    </row>
    <row r="390" spans="2:9" x14ac:dyDescent="0.25">
      <c r="B390" s="157">
        <v>42570</v>
      </c>
      <c r="C390" s="10">
        <v>9138</v>
      </c>
      <c r="D390" s="242">
        <v>16.733499999999999</v>
      </c>
      <c r="E390" s="40">
        <v>14.75</v>
      </c>
      <c r="F390" s="40">
        <f t="shared" si="60"/>
        <v>-18125.222999999994</v>
      </c>
      <c r="G390" s="40">
        <f t="shared" si="61"/>
        <v>152910.723</v>
      </c>
      <c r="H390" s="231">
        <f t="shared" si="62"/>
        <v>-0.1185346759494427</v>
      </c>
      <c r="I390" s="40"/>
    </row>
    <row r="391" spans="2:9" x14ac:dyDescent="0.25">
      <c r="B391" s="157">
        <v>42571</v>
      </c>
      <c r="C391" s="282">
        <v>9138</v>
      </c>
      <c r="D391" s="338">
        <v>16.7227</v>
      </c>
      <c r="E391" s="40">
        <v>14.84</v>
      </c>
      <c r="F391" s="40">
        <f t="shared" si="60"/>
        <v>-17204.112599999997</v>
      </c>
      <c r="G391" s="40">
        <f t="shared" si="61"/>
        <v>152812.03260000001</v>
      </c>
      <c r="H391" s="231">
        <f t="shared" si="62"/>
        <v>-0.11258349429218965</v>
      </c>
      <c r="I391" s="40"/>
    </row>
    <row r="392" spans="2:9" x14ac:dyDescent="0.25">
      <c r="B392" s="157">
        <v>42572</v>
      </c>
      <c r="C392" s="10">
        <v>9138</v>
      </c>
      <c r="D392" s="242">
        <v>16.718900000000001</v>
      </c>
      <c r="E392" s="40">
        <v>14.42</v>
      </c>
      <c r="F392" s="40">
        <f t="shared" ref="F392" si="63">C392*(E392-D392)</f>
        <v>-21007.348200000015</v>
      </c>
      <c r="G392" s="40">
        <f t="shared" ref="G392" si="64">IF(C392=0, 0,D392*C392)</f>
        <v>152777.3082</v>
      </c>
      <c r="H392" s="231">
        <f t="shared" ref="H392" si="65">IF(C392=0, D392, (E392-D392)/D392)</f>
        <v>-0.13750306539305823</v>
      </c>
      <c r="I392" s="40"/>
    </row>
    <row r="393" spans="2:9" x14ac:dyDescent="0.25">
      <c r="B393" s="157">
        <v>42573</v>
      </c>
      <c r="C393" s="10">
        <v>9278</v>
      </c>
      <c r="D393" s="242">
        <v>16.679099999999998</v>
      </c>
      <c r="E393" s="40">
        <v>14.11</v>
      </c>
      <c r="F393" s="40">
        <f t="shared" ref="F393:F394" si="66">C393*(E393-D393)</f>
        <v>-23836.109799999987</v>
      </c>
      <c r="G393" s="40">
        <f t="shared" ref="G393:G394" si="67">IF(C393=0, 0,D393*C393)</f>
        <v>154748.68979999999</v>
      </c>
      <c r="H393" s="231">
        <f t="shared" ref="H393:H394" si="68">IF(C393=0, D393, (E393-D393)/D393)</f>
        <v>-0.15403109280476759</v>
      </c>
      <c r="I393" s="40"/>
    </row>
    <row r="394" spans="2:9" x14ac:dyDescent="0.25">
      <c r="B394" s="157">
        <v>42576</v>
      </c>
      <c r="C394" s="10">
        <v>9478</v>
      </c>
      <c r="D394" s="242">
        <v>16.613099999999999</v>
      </c>
      <c r="E394" s="40">
        <v>13.58</v>
      </c>
      <c r="F394" s="40">
        <f t="shared" si="66"/>
        <v>-28747.721799999992</v>
      </c>
      <c r="G394" s="40">
        <f t="shared" si="67"/>
        <v>157458.96179999999</v>
      </c>
      <c r="H394" s="231">
        <f t="shared" si="68"/>
        <v>-0.18257278894366491</v>
      </c>
      <c r="I394" s="40"/>
    </row>
    <row r="395" spans="2:9" x14ac:dyDescent="0.25">
      <c r="B395" s="157">
        <v>42577</v>
      </c>
      <c r="C395" s="282">
        <v>9278</v>
      </c>
      <c r="D395" s="338">
        <v>16.674199999999999</v>
      </c>
      <c r="E395" s="40">
        <v>13.78</v>
      </c>
      <c r="F395" s="40">
        <f t="shared" ref="F395:F396" si="69">C395*(E395-D395)</f>
        <v>-26852.387599999998</v>
      </c>
      <c r="G395" s="40">
        <f t="shared" ref="G395:G396" si="70">IF(C395=0, 0,D395*C395)</f>
        <v>154703.22759999998</v>
      </c>
      <c r="H395" s="231">
        <f t="shared" ref="H395:H396" si="71">IF(C395=0, D395, (E395-D395)/D395)</f>
        <v>-0.17357354475776948</v>
      </c>
      <c r="I395" s="40">
        <v>16.53</v>
      </c>
    </row>
    <row r="396" spans="2:9" x14ac:dyDescent="0.25">
      <c r="B396" s="157">
        <v>42578</v>
      </c>
      <c r="C396" s="282">
        <v>9478</v>
      </c>
      <c r="D396" s="338">
        <v>16.6004</v>
      </c>
      <c r="E396" s="40">
        <v>13.13</v>
      </c>
      <c r="F396" s="40">
        <f t="shared" si="69"/>
        <v>-32892.451199999996</v>
      </c>
      <c r="G396" s="40">
        <f t="shared" si="70"/>
        <v>157338.5912</v>
      </c>
      <c r="H396" s="231">
        <f t="shared" si="71"/>
        <v>-0.20905520348907253</v>
      </c>
      <c r="I396" s="40"/>
    </row>
    <row r="397" spans="2:9" x14ac:dyDescent="0.25">
      <c r="B397" s="157">
        <v>42580</v>
      </c>
      <c r="C397" s="10">
        <v>9478</v>
      </c>
      <c r="D397" s="242">
        <v>16.599</v>
      </c>
      <c r="E397" s="40">
        <v>13.64</v>
      </c>
      <c r="F397" s="40">
        <f t="shared" ref="F397:F400" si="72">C397*(E397-D397)</f>
        <v>-28045.401999999998</v>
      </c>
      <c r="G397" s="40">
        <f t="shared" ref="G397:G400" si="73">IF(C397=0, 0,D397*C397)</f>
        <v>157325.32200000001</v>
      </c>
      <c r="H397" s="232">
        <f t="shared" ref="H397:H400" si="74">IF(C397=0, D397, (E397-D397)/D397)</f>
        <v>-0.17826375082836313</v>
      </c>
      <c r="I397" s="40"/>
    </row>
    <row r="398" spans="2:9" x14ac:dyDescent="0.25">
      <c r="B398" s="157">
        <v>42580</v>
      </c>
      <c r="C398" s="10">
        <v>9278</v>
      </c>
      <c r="D398" s="242">
        <v>16.664000000000001</v>
      </c>
      <c r="E398" s="40">
        <v>13.64</v>
      </c>
      <c r="F398" s="40">
        <f t="shared" si="72"/>
        <v>-28056.67200000001</v>
      </c>
      <c r="G398" s="40">
        <f t="shared" si="73"/>
        <v>154608.592</v>
      </c>
      <c r="H398" s="232">
        <f t="shared" si="74"/>
        <v>-0.18146903504560732</v>
      </c>
      <c r="I398" s="40">
        <v>16.53</v>
      </c>
    </row>
    <row r="399" spans="2:9" x14ac:dyDescent="0.25">
      <c r="B399" s="157">
        <v>42583</v>
      </c>
      <c r="C399" s="10">
        <v>9478</v>
      </c>
      <c r="D399" s="242">
        <v>16.5871</v>
      </c>
      <c r="E399" s="40">
        <v>12.92</v>
      </c>
      <c r="F399" s="40">
        <f t="shared" si="72"/>
        <v>-34756.773799999995</v>
      </c>
      <c r="G399" s="40">
        <f t="shared" si="73"/>
        <v>157212.5338</v>
      </c>
      <c r="H399" s="232">
        <f t="shared" si="74"/>
        <v>-0.22108144280796521</v>
      </c>
      <c r="I399" s="40"/>
    </row>
    <row r="400" spans="2:9" x14ac:dyDescent="0.25">
      <c r="B400" s="157">
        <v>42584</v>
      </c>
      <c r="C400" s="10">
        <v>9678</v>
      </c>
      <c r="D400" s="242">
        <v>16.5063</v>
      </c>
      <c r="E400" s="40">
        <v>12.9</v>
      </c>
      <c r="F400" s="40">
        <f t="shared" si="72"/>
        <v>-34901.771399999991</v>
      </c>
      <c r="G400" s="40">
        <f t="shared" si="73"/>
        <v>159747.97140000001</v>
      </c>
      <c r="H400" s="232">
        <f t="shared" si="74"/>
        <v>-0.21848021664455386</v>
      </c>
      <c r="I400" s="40"/>
    </row>
    <row r="401" spans="2:9" x14ac:dyDescent="0.25">
      <c r="B401" s="157">
        <v>42585</v>
      </c>
      <c r="C401" s="10">
        <v>10078</v>
      </c>
      <c r="D401" s="242">
        <v>16.5063</v>
      </c>
      <c r="E401" s="40">
        <v>12.9</v>
      </c>
      <c r="F401" s="40">
        <f t="shared" ref="F401:F416" si="75">C401*(E401-D401)</f>
        <v>-36344.291399999995</v>
      </c>
      <c r="G401" s="40">
        <f t="shared" ref="G401:G416" si="76">IF(C401=0, 0,D401*C401)</f>
        <v>166350.4914</v>
      </c>
      <c r="H401" s="232">
        <f t="shared" ref="H401:H416" si="77">IF(C401=0, D401, (E401-D401)/D401)</f>
        <v>-0.21848021664455386</v>
      </c>
      <c r="I401" s="40"/>
    </row>
    <row r="402" spans="2:9" x14ac:dyDescent="0.25">
      <c r="B402" s="157">
        <v>42586</v>
      </c>
      <c r="C402" s="10">
        <v>9678</v>
      </c>
      <c r="D402" s="242">
        <v>16.489799999999999</v>
      </c>
      <c r="E402" s="40">
        <v>13.41</v>
      </c>
      <c r="F402" s="40">
        <f t="shared" si="75"/>
        <v>-29806.304399999986</v>
      </c>
      <c r="G402" s="40">
        <f t="shared" si="76"/>
        <v>159588.28439999997</v>
      </c>
      <c r="H402" s="232">
        <f t="shared" si="77"/>
        <v>-0.1867700032747516</v>
      </c>
      <c r="I402" s="40"/>
    </row>
    <row r="403" spans="2:9" x14ac:dyDescent="0.25">
      <c r="B403" s="157">
        <v>42586</v>
      </c>
      <c r="C403" s="10">
        <v>9278</v>
      </c>
      <c r="D403" s="242">
        <v>16.609200000000001</v>
      </c>
      <c r="E403" s="40">
        <v>13.66</v>
      </c>
      <c r="F403" s="40">
        <f t="shared" si="75"/>
        <v>-27362.67760000001</v>
      </c>
      <c r="G403" s="40">
        <f t="shared" si="76"/>
        <v>154100.15760000001</v>
      </c>
      <c r="H403" s="232">
        <f t="shared" si="77"/>
        <v>-0.17756424150470829</v>
      </c>
      <c r="I403" s="40">
        <v>16.53</v>
      </c>
    </row>
    <row r="404" spans="2:9" x14ac:dyDescent="0.25">
      <c r="B404" s="157">
        <v>42586</v>
      </c>
      <c r="C404" s="10">
        <v>9138</v>
      </c>
      <c r="D404" s="242">
        <v>16.6511</v>
      </c>
      <c r="E404" s="40">
        <v>13.87</v>
      </c>
      <c r="F404" s="40">
        <f t="shared" si="75"/>
        <v>-25413.691800000004</v>
      </c>
      <c r="G404" s="40">
        <f t="shared" si="76"/>
        <v>152157.7518</v>
      </c>
      <c r="H404" s="231">
        <f t="shared" si="77"/>
        <v>-0.1670219985466426</v>
      </c>
      <c r="I404" s="40"/>
    </row>
    <row r="405" spans="2:9" x14ac:dyDescent="0.25">
      <c r="B405" s="157">
        <v>42593</v>
      </c>
      <c r="C405" s="10">
        <v>8678</v>
      </c>
      <c r="D405" s="242">
        <v>16.760300000000001</v>
      </c>
      <c r="E405" s="40">
        <v>14.61</v>
      </c>
      <c r="F405" s="40">
        <f t="shared" si="75"/>
        <v>-18660.303400000012</v>
      </c>
      <c r="G405" s="40">
        <f t="shared" si="76"/>
        <v>145445.88340000002</v>
      </c>
      <c r="H405" s="231">
        <f t="shared" si="77"/>
        <v>-0.12829722618330228</v>
      </c>
      <c r="I405" s="40"/>
    </row>
    <row r="406" spans="2:9" x14ac:dyDescent="0.25">
      <c r="B406" s="157">
        <v>42597</v>
      </c>
      <c r="C406" s="10">
        <v>8678</v>
      </c>
      <c r="D406" s="242">
        <v>16.7471</v>
      </c>
      <c r="E406" s="40">
        <v>14.9</v>
      </c>
      <c r="F406" s="40">
        <f t="shared" si="75"/>
        <v>-16029.133799999994</v>
      </c>
      <c r="G406" s="40">
        <f t="shared" si="76"/>
        <v>145331.33379999999</v>
      </c>
      <c r="H406" s="231">
        <f t="shared" si="77"/>
        <v>-0.11029372249523794</v>
      </c>
      <c r="I406" s="40"/>
    </row>
    <row r="407" spans="2:9" x14ac:dyDescent="0.25">
      <c r="B407" s="157">
        <v>42598</v>
      </c>
      <c r="C407" s="10">
        <v>8178</v>
      </c>
      <c r="D407" s="242">
        <v>16.8429</v>
      </c>
      <c r="E407" s="40">
        <v>15.17</v>
      </c>
      <c r="F407" s="40">
        <f t="shared" si="75"/>
        <v>-13680.976200000003</v>
      </c>
      <c r="G407" s="40">
        <f t="shared" si="76"/>
        <v>137741.23620000001</v>
      </c>
      <c r="H407" s="231">
        <f t="shared" si="77"/>
        <v>-9.9323750660515728E-2</v>
      </c>
      <c r="I407" s="40">
        <v>16.75</v>
      </c>
    </row>
    <row r="408" spans="2:9" x14ac:dyDescent="0.25">
      <c r="B408" s="157">
        <v>42599</v>
      </c>
      <c r="C408" s="10">
        <v>7178</v>
      </c>
      <c r="D408" s="242">
        <v>17.009899999999998</v>
      </c>
      <c r="E408" s="40">
        <v>15.7</v>
      </c>
      <c r="F408" s="40">
        <f t="shared" si="75"/>
        <v>-9402.4621999999927</v>
      </c>
      <c r="G408" s="40">
        <f t="shared" si="76"/>
        <v>122097.06219999999</v>
      </c>
      <c r="H408" s="231">
        <f t="shared" si="77"/>
        <v>-7.7008095285686515E-2</v>
      </c>
      <c r="I408" s="40"/>
    </row>
    <row r="409" spans="2:9" x14ac:dyDescent="0.25">
      <c r="B409" s="157">
        <v>42600</v>
      </c>
      <c r="C409" s="10">
        <v>5500</v>
      </c>
      <c r="D409" s="242">
        <v>17.185600000000001</v>
      </c>
      <c r="E409" s="40">
        <v>16.68</v>
      </c>
      <c r="F409" s="40">
        <f t="shared" si="75"/>
        <v>-2780.8000000000065</v>
      </c>
      <c r="G409" s="40">
        <f t="shared" si="76"/>
        <v>94520.8</v>
      </c>
      <c r="H409" s="231">
        <f t="shared" si="77"/>
        <v>-2.9419979517735846E-2</v>
      </c>
      <c r="I409" s="40"/>
    </row>
    <row r="410" spans="2:9" x14ac:dyDescent="0.25">
      <c r="B410" s="157">
        <v>42601</v>
      </c>
      <c r="C410" s="7">
        <v>5000</v>
      </c>
      <c r="D410" s="443">
        <v>17.222200000000001</v>
      </c>
      <c r="E410" s="40">
        <v>16.8</v>
      </c>
      <c r="F410" s="40">
        <f t="shared" si="75"/>
        <v>-2111.0000000000005</v>
      </c>
      <c r="G410" s="40">
        <f t="shared" si="76"/>
        <v>86111</v>
      </c>
      <c r="H410" s="231">
        <f t="shared" si="77"/>
        <v>-2.4514870341768188E-2</v>
      </c>
      <c r="I410" s="40"/>
    </row>
    <row r="411" spans="2:9" x14ac:dyDescent="0.25">
      <c r="B411" s="157">
        <v>42604</v>
      </c>
      <c r="C411" s="10">
        <v>6000</v>
      </c>
      <c r="D411" s="242">
        <v>16.9651</v>
      </c>
      <c r="E411" s="40">
        <v>15.64</v>
      </c>
      <c r="F411" s="40">
        <f t="shared" si="75"/>
        <v>-7950.599999999994</v>
      </c>
      <c r="G411" s="40">
        <f t="shared" si="76"/>
        <v>101790.59999999999</v>
      </c>
      <c r="H411" s="231">
        <f t="shared" si="77"/>
        <v>-7.8107408739117312E-2</v>
      </c>
      <c r="I411" s="40"/>
    </row>
    <row r="412" spans="2:9" x14ac:dyDescent="0.25">
      <c r="B412" s="157">
        <v>42604</v>
      </c>
      <c r="C412" s="10">
        <v>6500</v>
      </c>
      <c r="D412" s="242">
        <v>16.850899999999999</v>
      </c>
      <c r="E412" s="40">
        <v>15.64</v>
      </c>
      <c r="F412" s="40">
        <f t="shared" si="75"/>
        <v>-7870.8499999999922</v>
      </c>
      <c r="G412" s="40">
        <f t="shared" si="76"/>
        <v>109530.84999999999</v>
      </c>
      <c r="H412" s="231">
        <f t="shared" si="77"/>
        <v>-7.1859663282079822E-2</v>
      </c>
      <c r="I412" s="40"/>
    </row>
    <row r="413" spans="2:9" x14ac:dyDescent="0.25">
      <c r="B413" s="157">
        <v>42605</v>
      </c>
      <c r="C413" s="10">
        <v>6000</v>
      </c>
      <c r="D413" s="242">
        <v>16.923500000000001</v>
      </c>
      <c r="E413" s="40">
        <v>16.43</v>
      </c>
      <c r="F413" s="40">
        <f t="shared" si="75"/>
        <v>-2961.0000000000055</v>
      </c>
      <c r="G413" s="40">
        <f t="shared" si="76"/>
        <v>101541</v>
      </c>
      <c r="H413" s="231">
        <f t="shared" si="77"/>
        <v>-2.9160634620498178E-2</v>
      </c>
      <c r="I413" s="40"/>
    </row>
    <row r="414" spans="2:9" x14ac:dyDescent="0.25">
      <c r="B414" s="157">
        <v>42605</v>
      </c>
      <c r="C414" s="10">
        <v>5500</v>
      </c>
      <c r="D414" s="242">
        <v>16.9848</v>
      </c>
      <c r="E414" s="40">
        <v>16.43</v>
      </c>
      <c r="F414" s="40">
        <f t="shared" si="75"/>
        <v>-3051.400000000001</v>
      </c>
      <c r="G414" s="40">
        <f t="shared" si="76"/>
        <v>93416.4</v>
      </c>
      <c r="H414" s="231">
        <f t="shared" si="77"/>
        <v>-3.266450002355048E-2</v>
      </c>
      <c r="I414" s="40"/>
    </row>
    <row r="415" spans="2:9" x14ac:dyDescent="0.25">
      <c r="B415" s="157">
        <v>42605</v>
      </c>
      <c r="C415" s="10">
        <v>5000</v>
      </c>
      <c r="D415" s="242">
        <v>17.035299999999999</v>
      </c>
      <c r="E415" s="40">
        <v>16.43</v>
      </c>
      <c r="F415" s="40">
        <f t="shared" si="75"/>
        <v>-3026.4999999999986</v>
      </c>
      <c r="G415" s="40">
        <f t="shared" si="76"/>
        <v>85176.5</v>
      </c>
      <c r="H415" s="231">
        <f t="shared" si="77"/>
        <v>-3.5532100990296606E-2</v>
      </c>
      <c r="I415" s="40"/>
    </row>
    <row r="416" spans="2:9" x14ac:dyDescent="0.25">
      <c r="B416" s="157">
        <v>42606</v>
      </c>
      <c r="C416" s="10">
        <v>5178</v>
      </c>
      <c r="D416" s="242">
        <v>17.0017</v>
      </c>
      <c r="E416" s="40">
        <v>16.059999999999999</v>
      </c>
      <c r="F416" s="40">
        <f t="shared" si="75"/>
        <v>-4876.1226000000042</v>
      </c>
      <c r="G416" s="40">
        <f t="shared" si="76"/>
        <v>88034.802599999995</v>
      </c>
      <c r="H416" s="231">
        <f t="shared" si="77"/>
        <v>-5.5388578789179958E-2</v>
      </c>
      <c r="I416" s="40"/>
    </row>
    <row r="417" spans="2:9" x14ac:dyDescent="0.25">
      <c r="B417" s="157">
        <v>42607</v>
      </c>
      <c r="C417" s="10">
        <v>5178</v>
      </c>
      <c r="D417" s="242">
        <v>17.0017</v>
      </c>
      <c r="E417" s="40">
        <v>16.010000000000002</v>
      </c>
      <c r="F417" s="40">
        <f t="shared" ref="F417:F418" si="78">C417*(E417-D417)</f>
        <v>-5135.0225999999902</v>
      </c>
      <c r="G417" s="40">
        <f t="shared" ref="G417:G418" si="79">IF(C417=0, 0,D417*C417)</f>
        <v>88034.802599999995</v>
      </c>
      <c r="H417" s="231">
        <f t="shared" ref="H417:H418" si="80">IF(C417=0, D417, (E417-D417)/D417)</f>
        <v>-5.8329461171529789E-2</v>
      </c>
      <c r="I417" s="40"/>
    </row>
    <row r="418" spans="2:9" x14ac:dyDescent="0.25">
      <c r="B418" s="157">
        <v>42608</v>
      </c>
      <c r="C418" s="10">
        <v>6178</v>
      </c>
      <c r="D418" s="242">
        <v>16.825800000000001</v>
      </c>
      <c r="E418" s="40">
        <v>15.95</v>
      </c>
      <c r="F418" s="40">
        <f t="shared" si="78"/>
        <v>-5410.6924000000108</v>
      </c>
      <c r="G418" s="40">
        <f t="shared" si="79"/>
        <v>103949.79240000001</v>
      </c>
      <c r="H418" s="231">
        <f t="shared" si="80"/>
        <v>-5.2051016890727435E-2</v>
      </c>
      <c r="I418" s="40"/>
    </row>
    <row r="419" spans="2:9" x14ac:dyDescent="0.25">
      <c r="B419" s="157">
        <v>42611</v>
      </c>
      <c r="C419" s="10">
        <v>6178</v>
      </c>
      <c r="D419" s="242">
        <v>16.825800000000001</v>
      </c>
      <c r="E419" s="40">
        <v>15.99</v>
      </c>
      <c r="F419" s="40">
        <f t="shared" ref="F419:F424" si="81">C419*(E419-D419)</f>
        <v>-5163.5724000000046</v>
      </c>
      <c r="G419" s="40">
        <f t="shared" ref="G419:G424" si="82">IF(C419=0, 0,D419*C419)</f>
        <v>103949.79240000001</v>
      </c>
      <c r="H419" s="231">
        <f t="shared" ref="H419:H424" si="83">IF(C419=0, D419, (E419-D419)/D419)</f>
        <v>-4.9673715365688452E-2</v>
      </c>
      <c r="I419" s="40"/>
    </row>
    <row r="420" spans="2:9" x14ac:dyDescent="0.25">
      <c r="B420" s="157">
        <v>42612</v>
      </c>
      <c r="C420" s="10">
        <v>6678</v>
      </c>
      <c r="D420" s="242">
        <v>16.739999999999998</v>
      </c>
      <c r="E420" s="40">
        <v>15.55</v>
      </c>
      <c r="F420" s="236">
        <f t="shared" si="81"/>
        <v>-7946.8199999999852</v>
      </c>
      <c r="G420" s="40">
        <f t="shared" si="82"/>
        <v>111789.71999999999</v>
      </c>
      <c r="H420" s="232">
        <f t="shared" si="83"/>
        <v>-7.1087216248506446E-2</v>
      </c>
      <c r="I420" s="339"/>
    </row>
    <row r="421" spans="2:9" x14ac:dyDescent="0.25">
      <c r="B421" s="157">
        <v>42612</v>
      </c>
      <c r="C421" s="10">
        <v>7178</v>
      </c>
      <c r="D421" s="242">
        <v>16.6571</v>
      </c>
      <c r="E421" s="40">
        <v>15.55</v>
      </c>
      <c r="F421" s="40">
        <f t="shared" si="81"/>
        <v>-7946.7637999999934</v>
      </c>
      <c r="G421" s="40">
        <f t="shared" si="82"/>
        <v>119564.66379999999</v>
      </c>
      <c r="H421" s="231">
        <f t="shared" si="83"/>
        <v>-6.6464150422342369E-2</v>
      </c>
      <c r="I421" s="40"/>
    </row>
    <row r="422" spans="2:9" x14ac:dyDescent="0.25">
      <c r="B422" s="157">
        <v>42613</v>
      </c>
      <c r="C422" s="10">
        <v>7678</v>
      </c>
      <c r="D422" s="242">
        <v>16.565200000000001</v>
      </c>
      <c r="E422" s="40">
        <v>15.02</v>
      </c>
      <c r="F422" s="40">
        <f t="shared" si="81"/>
        <v>-11864.04560000001</v>
      </c>
      <c r="G422" s="40">
        <f t="shared" si="82"/>
        <v>127187.60560000001</v>
      </c>
      <c r="H422" s="231">
        <f t="shared" si="83"/>
        <v>-9.3279887957887692E-2</v>
      </c>
      <c r="I422" s="40" t="s">
        <v>276</v>
      </c>
    </row>
    <row r="423" spans="2:9" x14ac:dyDescent="0.25">
      <c r="B423" s="157">
        <v>42613</v>
      </c>
      <c r="C423" s="10">
        <v>8178</v>
      </c>
      <c r="D423" s="242">
        <v>16.474399999999999</v>
      </c>
      <c r="E423" s="40">
        <v>15.02</v>
      </c>
      <c r="F423" s="40">
        <f t="shared" si="81"/>
        <v>-11894.083199999997</v>
      </c>
      <c r="G423" s="40">
        <f t="shared" si="82"/>
        <v>134727.64319999999</v>
      </c>
      <c r="H423" s="231">
        <f t="shared" si="83"/>
        <v>-8.8282426067110162E-2</v>
      </c>
      <c r="I423" s="40" t="s">
        <v>277</v>
      </c>
    </row>
    <row r="424" spans="2:9" x14ac:dyDescent="0.25">
      <c r="B424" s="157">
        <v>42615</v>
      </c>
      <c r="C424" s="10">
        <v>7678</v>
      </c>
      <c r="D424" s="242">
        <v>16.528099999999998</v>
      </c>
      <c r="E424" s="40">
        <v>15.49</v>
      </c>
      <c r="F424" s="40">
        <f t="shared" si="81"/>
        <v>-7970.5317999999861</v>
      </c>
      <c r="G424" s="40">
        <f t="shared" si="82"/>
        <v>126902.75179999998</v>
      </c>
      <c r="H424" s="231">
        <f t="shared" si="83"/>
        <v>-6.2808187268953986E-2</v>
      </c>
      <c r="I424" s="40">
        <v>16.350000000000001</v>
      </c>
    </row>
    <row r="425" spans="2:9" x14ac:dyDescent="0.25">
      <c r="B425" s="157">
        <v>42616</v>
      </c>
      <c r="C425" s="10">
        <v>7678</v>
      </c>
      <c r="D425" s="242">
        <v>16.528099999999998</v>
      </c>
      <c r="E425" s="40">
        <v>15.64</v>
      </c>
      <c r="F425" s="40">
        <f t="shared" ref="F425:F429" si="84">C425*(E425-D425)</f>
        <v>-6818.8317999999836</v>
      </c>
      <c r="G425" s="40">
        <f t="shared" ref="G425:G429" si="85">IF(C425=0, 0,D425*C425)</f>
        <v>126902.75179999998</v>
      </c>
      <c r="H425" s="231">
        <f t="shared" ref="H425:H429" si="86">IF(C425=0, D425, (E425-D425)/D425)</f>
        <v>-5.3732733950060681E-2</v>
      </c>
      <c r="I425" s="40"/>
    </row>
    <row r="426" spans="2:9" x14ac:dyDescent="0.25">
      <c r="B426" s="157">
        <v>42621</v>
      </c>
      <c r="C426" s="10">
        <v>7178</v>
      </c>
      <c r="D426" s="242">
        <v>16.545400000000001</v>
      </c>
      <c r="E426" s="40">
        <v>16.739999999999998</v>
      </c>
      <c r="F426" s="40">
        <f t="shared" si="84"/>
        <v>1396.8387999999832</v>
      </c>
      <c r="G426" s="40">
        <f t="shared" si="85"/>
        <v>118762.8812</v>
      </c>
      <c r="H426" s="231">
        <f t="shared" si="86"/>
        <v>1.1761577235968768E-2</v>
      </c>
      <c r="I426" s="40"/>
    </row>
    <row r="427" spans="2:9" x14ac:dyDescent="0.25">
      <c r="B427" s="157">
        <v>42621</v>
      </c>
      <c r="C427" s="282">
        <v>6678</v>
      </c>
      <c r="D427" s="338">
        <v>16.532299999999999</v>
      </c>
      <c r="E427" s="40">
        <v>16.739999999999998</v>
      </c>
      <c r="F427" s="40">
        <f t="shared" si="84"/>
        <v>1387.0205999999941</v>
      </c>
      <c r="G427" s="40">
        <f t="shared" si="85"/>
        <v>110402.6994</v>
      </c>
      <c r="H427" s="231">
        <f t="shared" si="86"/>
        <v>1.256328520532528E-2</v>
      </c>
      <c r="I427" s="40"/>
    </row>
    <row r="428" spans="2:9" x14ac:dyDescent="0.25">
      <c r="B428" s="157">
        <v>42621</v>
      </c>
      <c r="C428" s="10">
        <v>6458</v>
      </c>
      <c r="D428" s="242">
        <v>16.524263999999999</v>
      </c>
      <c r="E428" s="40">
        <v>16.739999999999998</v>
      </c>
      <c r="F428" s="40">
        <f t="shared" si="84"/>
        <v>1393.2230879999981</v>
      </c>
      <c r="G428" s="40">
        <f t="shared" si="85"/>
        <v>106713.69691199998</v>
      </c>
      <c r="H428" s="231">
        <f t="shared" si="86"/>
        <v>1.3055710075801242E-2</v>
      </c>
      <c r="I428" s="40"/>
    </row>
    <row r="429" spans="2:9" x14ac:dyDescent="0.25">
      <c r="B429" s="157">
        <v>42622</v>
      </c>
      <c r="C429" s="10">
        <v>7178</v>
      </c>
      <c r="D429" s="242">
        <v>16.477945999999999</v>
      </c>
      <c r="E429" s="40">
        <v>15.67</v>
      </c>
      <c r="F429" s="40">
        <f t="shared" si="84"/>
        <v>-5799.4363879999955</v>
      </c>
      <c r="G429" s="40">
        <f t="shared" si="85"/>
        <v>118278.696388</v>
      </c>
      <c r="H429" s="231">
        <f t="shared" si="86"/>
        <v>-4.9031960658203359E-2</v>
      </c>
      <c r="I429" s="40"/>
    </row>
    <row r="430" spans="2:9" x14ac:dyDescent="0.25">
      <c r="B430" s="157">
        <v>42622</v>
      </c>
      <c r="C430" s="10">
        <v>7678</v>
      </c>
      <c r="D430" s="242">
        <v>16.430541999999999</v>
      </c>
      <c r="E430" s="40">
        <v>15.67</v>
      </c>
      <c r="F430" s="40">
        <f t="shared" ref="F430:F436" si="87">C430*(E430-D430)</f>
        <v>-5839.4414759999936</v>
      </c>
      <c r="G430" s="40">
        <f t="shared" ref="G430:G436" si="88">IF(C430=0, 0,D430*C430)</f>
        <v>126153.70147599999</v>
      </c>
      <c r="H430" s="231">
        <f t="shared" ref="H430:H436" si="89">IF(C430=0, D430, (E430-D430)/D430)</f>
        <v>-4.6288308687564853E-2</v>
      </c>
      <c r="I430" s="40">
        <v>16.350000000000001</v>
      </c>
    </row>
    <row r="431" spans="2:9" x14ac:dyDescent="0.25">
      <c r="B431" s="157">
        <v>42625</v>
      </c>
      <c r="C431" s="282">
        <v>7678</v>
      </c>
      <c r="D431" s="338">
        <v>16.412330000000001</v>
      </c>
      <c r="E431" s="40">
        <v>15.47</v>
      </c>
      <c r="F431" s="40">
        <f t="shared" si="87"/>
        <v>-7235.2097400000011</v>
      </c>
      <c r="G431" s="40">
        <f t="shared" si="88"/>
        <v>126013.86974000001</v>
      </c>
      <c r="H431" s="231">
        <f t="shared" si="89"/>
        <v>-5.7415979327737135E-2</v>
      </c>
      <c r="I431" s="40"/>
    </row>
    <row r="432" spans="2:9" x14ac:dyDescent="0.25">
      <c r="B432" s="157">
        <v>42625</v>
      </c>
      <c r="C432" s="282">
        <v>7678</v>
      </c>
      <c r="D432" s="338">
        <v>16.355817999999999</v>
      </c>
      <c r="E432" s="40">
        <v>15.47</v>
      </c>
      <c r="F432" s="40">
        <f t="shared" si="87"/>
        <v>-6801.3106039999893</v>
      </c>
      <c r="G432" s="40">
        <f t="shared" si="88"/>
        <v>125579.970604</v>
      </c>
      <c r="H432" s="231">
        <f t="shared" si="89"/>
        <v>-5.4159198885680847E-2</v>
      </c>
      <c r="I432" s="40" t="s">
        <v>292</v>
      </c>
    </row>
    <row r="433" spans="2:9" x14ac:dyDescent="0.25">
      <c r="B433" s="157">
        <v>42626</v>
      </c>
      <c r="C433" s="10">
        <v>8278</v>
      </c>
      <c r="D433" s="242">
        <v>16.25066</v>
      </c>
      <c r="E433" s="40">
        <v>14.34</v>
      </c>
      <c r="F433" s="40">
        <f t="shared" si="87"/>
        <v>-15816.44348</v>
      </c>
      <c r="G433" s="40">
        <f t="shared" si="88"/>
        <v>134522.96348000001</v>
      </c>
      <c r="H433" s="232">
        <f t="shared" si="89"/>
        <v>-0.11757430159759666</v>
      </c>
      <c r="I433" s="40"/>
    </row>
    <row r="434" spans="2:9" x14ac:dyDescent="0.25">
      <c r="B434" s="157">
        <v>42626</v>
      </c>
      <c r="C434" s="10">
        <v>8678</v>
      </c>
      <c r="D434" s="242">
        <v>16.18149</v>
      </c>
      <c r="E434" s="40">
        <v>14.34</v>
      </c>
      <c r="F434" s="40">
        <f t="shared" si="87"/>
        <v>-15980.450220000002</v>
      </c>
      <c r="G434" s="40">
        <f t="shared" si="88"/>
        <v>140422.97021999999</v>
      </c>
      <c r="H434" s="232">
        <f t="shared" si="89"/>
        <v>-0.11380225183218605</v>
      </c>
      <c r="I434" s="40"/>
    </row>
    <row r="435" spans="2:9" x14ac:dyDescent="0.25">
      <c r="B435" s="157">
        <v>42626</v>
      </c>
      <c r="C435" s="10">
        <v>8978</v>
      </c>
      <c r="D435" s="242">
        <v>16.124635000000001</v>
      </c>
      <c r="E435" s="40">
        <v>14.34</v>
      </c>
      <c r="F435" s="40">
        <f t="shared" si="87"/>
        <v>-16022.453030000013</v>
      </c>
      <c r="G435" s="40">
        <f t="shared" si="88"/>
        <v>144766.97303000002</v>
      </c>
      <c r="H435" s="232">
        <f t="shared" si="89"/>
        <v>-0.11067754401882594</v>
      </c>
      <c r="I435" s="40"/>
    </row>
    <row r="436" spans="2:9" x14ac:dyDescent="0.25">
      <c r="B436" s="157">
        <v>42626</v>
      </c>
      <c r="C436" s="10">
        <v>9278</v>
      </c>
      <c r="D436" s="242">
        <v>16.064019999999999</v>
      </c>
      <c r="E436" s="40">
        <v>14.34</v>
      </c>
      <c r="F436" s="40">
        <f t="shared" si="87"/>
        <v>-15995.457559999995</v>
      </c>
      <c r="G436" s="40">
        <f t="shared" si="88"/>
        <v>149041.97756</v>
      </c>
      <c r="H436" s="232">
        <f t="shared" si="89"/>
        <v>-0.10732182853357998</v>
      </c>
      <c r="I436" s="40" t="s">
        <v>293</v>
      </c>
    </row>
    <row r="437" spans="2:9" x14ac:dyDescent="0.25">
      <c r="B437" s="157">
        <v>42627</v>
      </c>
      <c r="C437" s="10">
        <v>9478</v>
      </c>
      <c r="D437" s="242">
        <v>16.020790999999999</v>
      </c>
      <c r="E437" s="40">
        <v>14.01</v>
      </c>
      <c r="F437" s="40">
        <f t="shared" ref="F437:F438" si="90">C437*(E437-D437)</f>
        <v>-19058.277097999995</v>
      </c>
      <c r="G437" s="40">
        <f t="shared" ref="G437:G438" si="91">IF(C437=0, 0,D437*C437)</f>
        <v>151845.05709799999</v>
      </c>
      <c r="H437" s="232">
        <f t="shared" ref="H437:H438" si="92">IF(C437=0, D437, (E437-D437)/D437)</f>
        <v>-0.1255113433537707</v>
      </c>
      <c r="I437" s="40"/>
    </row>
    <row r="438" spans="2:9" x14ac:dyDescent="0.25">
      <c r="B438" s="157">
        <v>42628</v>
      </c>
      <c r="C438" s="10">
        <v>9478</v>
      </c>
      <c r="D438" s="242">
        <v>16.015726999999998</v>
      </c>
      <c r="E438" s="40">
        <v>14.26</v>
      </c>
      <c r="F438" s="40">
        <f t="shared" si="90"/>
        <v>-16640.780505999985</v>
      </c>
      <c r="G438" s="40">
        <f t="shared" si="91"/>
        <v>151797.06050599998</v>
      </c>
      <c r="H438" s="232">
        <f t="shared" si="92"/>
        <v>-0.1096251827968845</v>
      </c>
      <c r="I438" s="40"/>
    </row>
    <row r="439" spans="2:9" x14ac:dyDescent="0.25">
      <c r="B439" s="157">
        <v>42629</v>
      </c>
      <c r="C439" s="10">
        <v>9478</v>
      </c>
      <c r="D439" s="242">
        <v>16.015726999999998</v>
      </c>
      <c r="E439" s="40">
        <v>14.24</v>
      </c>
      <c r="F439" s="40">
        <f t="shared" ref="F439:F442" si="93">C439*(E439-D439)</f>
        <v>-16830.340505999982</v>
      </c>
      <c r="G439" s="40">
        <f t="shared" ref="G439:G442" si="94">IF(C439=0, 0,D439*C439)</f>
        <v>151797.06050599998</v>
      </c>
      <c r="H439" s="232">
        <f t="shared" ref="H439:H442" si="95">IF(C439=0, D439, (E439-D439)/D439)</f>
        <v>-0.1108739553315312</v>
      </c>
      <c r="I439" s="40"/>
    </row>
    <row r="440" spans="2:9" x14ac:dyDescent="0.25">
      <c r="B440" s="157">
        <v>42632</v>
      </c>
      <c r="C440" s="10">
        <v>9678</v>
      </c>
      <c r="D440" s="242">
        <v>15.975311</v>
      </c>
      <c r="E440" s="40">
        <v>14.09</v>
      </c>
      <c r="F440" s="40">
        <f t="shared" si="93"/>
        <v>-18246.039857999996</v>
      </c>
      <c r="G440" s="40">
        <f t="shared" si="94"/>
        <v>154609.05985799999</v>
      </c>
      <c r="H440" s="231">
        <f t="shared" si="95"/>
        <v>-0.11801404054043141</v>
      </c>
      <c r="I440" s="40"/>
    </row>
    <row r="441" spans="2:9" x14ac:dyDescent="0.25">
      <c r="B441" s="157">
        <v>42633</v>
      </c>
      <c r="C441" s="10">
        <v>9878</v>
      </c>
      <c r="D441" s="242">
        <v>15.937544000000001</v>
      </c>
      <c r="E441" s="40">
        <v>13.87</v>
      </c>
      <c r="F441" s="40">
        <f t="shared" si="93"/>
        <v>-20423.199632000014</v>
      </c>
      <c r="G441" s="40">
        <f t="shared" si="94"/>
        <v>157431.05963200002</v>
      </c>
      <c r="H441" s="231">
        <f t="shared" si="95"/>
        <v>-0.12972789282966068</v>
      </c>
      <c r="I441" s="40"/>
    </row>
    <row r="442" spans="2:9" x14ac:dyDescent="0.25">
      <c r="B442" s="157">
        <v>42633</v>
      </c>
      <c r="C442" s="10">
        <v>10000</v>
      </c>
      <c r="D442" s="242">
        <v>15.915126000000001</v>
      </c>
      <c r="E442" s="40">
        <v>13.87</v>
      </c>
      <c r="F442" s="40">
        <f t="shared" si="93"/>
        <v>-20451.260000000017</v>
      </c>
      <c r="G442" s="40">
        <f t="shared" si="94"/>
        <v>159151.26</v>
      </c>
      <c r="H442" s="231">
        <f t="shared" si="95"/>
        <v>-0.12850203008132022</v>
      </c>
      <c r="I442" s="40"/>
    </row>
    <row r="443" spans="2:9" x14ac:dyDescent="0.25">
      <c r="B443" s="157">
        <v>42634</v>
      </c>
      <c r="C443" s="10">
        <v>9678</v>
      </c>
      <c r="D443" s="242">
        <v>15.969538999999999</v>
      </c>
      <c r="E443" s="40">
        <v>14.65</v>
      </c>
      <c r="F443" s="40">
        <f t="shared" ref="F443:F444" si="96">C443*(E443-D443)</f>
        <v>-12770.498441999989</v>
      </c>
      <c r="G443" s="40">
        <f t="shared" ref="G443:G444" si="97">IF(C443=0, 0,D443*C443)</f>
        <v>154553.19844199999</v>
      </c>
      <c r="H443" s="231">
        <f t="shared" ref="H443:H444" si="98">IF(C443=0, D443, (E443-D443)/D443)</f>
        <v>-8.2628496664806608E-2</v>
      </c>
      <c r="I443" s="40"/>
    </row>
    <row r="444" spans="2:9" x14ac:dyDescent="0.25">
      <c r="B444" s="157">
        <v>42634</v>
      </c>
      <c r="C444" s="10">
        <v>9278</v>
      </c>
      <c r="D444" s="242">
        <v>16.026872999999998</v>
      </c>
      <c r="E444" s="40">
        <v>14.65</v>
      </c>
      <c r="F444" s="40">
        <f t="shared" si="96"/>
        <v>-12774.627693999981</v>
      </c>
      <c r="G444" s="40">
        <f t="shared" si="97"/>
        <v>148697.32769399998</v>
      </c>
      <c r="H444" s="231">
        <f t="shared" si="98"/>
        <v>-8.5910270830747718E-2</v>
      </c>
      <c r="I444" s="40">
        <v>16</v>
      </c>
    </row>
    <row r="445" spans="2:9" x14ac:dyDescent="0.25">
      <c r="B445" s="157">
        <v>42635</v>
      </c>
      <c r="C445" s="10">
        <v>9278</v>
      </c>
      <c r="D445" s="242">
        <v>16.026872999999998</v>
      </c>
      <c r="E445" s="40">
        <v>14.87</v>
      </c>
      <c r="F445" s="40">
        <f t="shared" ref="F445:F456" si="99">C445*(E445-D445)</f>
        <v>-10733.467693999992</v>
      </c>
      <c r="G445" s="40">
        <f t="shared" ref="G445:G456" si="100">IF(C445=0, 0,D445*C445)</f>
        <v>148697.32769399998</v>
      </c>
      <c r="H445" s="231">
        <f t="shared" ref="H445:H456" si="101">IF(C445=0, D445, (E445-D445)/D445)</f>
        <v>-7.2183326092369937E-2</v>
      </c>
      <c r="I445" s="40"/>
    </row>
    <row r="446" spans="2:9" x14ac:dyDescent="0.25">
      <c r="B446" s="157">
        <v>42636</v>
      </c>
      <c r="C446" s="10">
        <v>9478</v>
      </c>
      <c r="D446" s="242">
        <v>15.992122</v>
      </c>
      <c r="E446" s="40">
        <v>14.49</v>
      </c>
      <c r="F446" s="40">
        <f t="shared" si="99"/>
        <v>-14237.112315999999</v>
      </c>
      <c r="G446" s="40">
        <f t="shared" si="100"/>
        <v>151573.33231600001</v>
      </c>
      <c r="H446" s="231">
        <f t="shared" si="101"/>
        <v>-9.39288732289561E-2</v>
      </c>
      <c r="I446" s="40"/>
    </row>
    <row r="447" spans="2:9" x14ac:dyDescent="0.25">
      <c r="B447" s="157">
        <v>42639</v>
      </c>
      <c r="C447" s="10">
        <v>9278</v>
      </c>
      <c r="D447" s="242">
        <v>16.019549999999999</v>
      </c>
      <c r="E447" s="40">
        <v>14.41</v>
      </c>
      <c r="F447" s="40">
        <f t="shared" si="99"/>
        <v>-14933.404899999989</v>
      </c>
      <c r="G447" s="40">
        <f t="shared" si="100"/>
        <v>148629.38489999998</v>
      </c>
      <c r="H447" s="231">
        <f t="shared" si="101"/>
        <v>-0.10047410819904422</v>
      </c>
      <c r="I447" s="40">
        <v>16</v>
      </c>
    </row>
    <row r="448" spans="2:9" x14ac:dyDescent="0.25">
      <c r="B448" s="157">
        <v>42639</v>
      </c>
      <c r="C448" s="10">
        <v>9478</v>
      </c>
      <c r="D448" s="242">
        <v>15.987468</v>
      </c>
      <c r="E448" s="40">
        <v>14.41</v>
      </c>
      <c r="F448" s="40">
        <f t="shared" si="99"/>
        <v>-14951.241703999996</v>
      </c>
      <c r="G448" s="40">
        <f t="shared" si="100"/>
        <v>151529.221704</v>
      </c>
      <c r="H448" s="231">
        <f t="shared" si="101"/>
        <v>-9.8669032519721048E-2</v>
      </c>
      <c r="I448" s="40"/>
    </row>
    <row r="449" spans="2:9" x14ac:dyDescent="0.25">
      <c r="B449" s="157">
        <v>42639</v>
      </c>
      <c r="C449" s="10">
        <v>9678</v>
      </c>
      <c r="D449" s="242">
        <v>15.954266000000001</v>
      </c>
      <c r="E449" s="40">
        <v>14.41</v>
      </c>
      <c r="F449" s="40">
        <f t="shared" si="99"/>
        <v>-14945.406348000004</v>
      </c>
      <c r="G449" s="40">
        <f t="shared" si="100"/>
        <v>154405.386348</v>
      </c>
      <c r="H449" s="231">
        <f t="shared" si="101"/>
        <v>-9.6793296538994669E-2</v>
      </c>
      <c r="I449" s="40"/>
    </row>
    <row r="450" spans="2:9" x14ac:dyDescent="0.25">
      <c r="B450" s="157">
        <v>42640</v>
      </c>
      <c r="C450" s="10">
        <v>10000</v>
      </c>
      <c r="D450" s="242">
        <v>15.890373</v>
      </c>
      <c r="E450" s="40">
        <v>14.06</v>
      </c>
      <c r="F450" s="40">
        <f t="shared" si="99"/>
        <v>-18303.73</v>
      </c>
      <c r="G450" s="40">
        <f t="shared" si="100"/>
        <v>158903.73000000001</v>
      </c>
      <c r="H450" s="231">
        <f t="shared" si="101"/>
        <v>-0.11518754153851517</v>
      </c>
      <c r="I450" s="40"/>
    </row>
    <row r="451" spans="2:9" x14ac:dyDescent="0.25">
      <c r="B451" s="157">
        <v>42641</v>
      </c>
      <c r="C451" s="10">
        <v>9278</v>
      </c>
      <c r="D451" s="242">
        <v>15.968</v>
      </c>
      <c r="E451" s="40">
        <v>15.18</v>
      </c>
      <c r="F451" s="40">
        <f t="shared" si="99"/>
        <v>-7311.0640000000021</v>
      </c>
      <c r="G451" s="40">
        <f t="shared" si="100"/>
        <v>148151.10399999999</v>
      </c>
      <c r="H451" s="231">
        <f t="shared" si="101"/>
        <v>-4.9348697394789594E-2</v>
      </c>
      <c r="I451" s="40" t="s">
        <v>307</v>
      </c>
    </row>
    <row r="452" spans="2:9" x14ac:dyDescent="0.25">
      <c r="B452" s="157">
        <v>42641</v>
      </c>
      <c r="C452" s="10">
        <v>8978</v>
      </c>
      <c r="D452" s="242">
        <v>15.991466000000001</v>
      </c>
      <c r="E452" s="40">
        <v>15.18</v>
      </c>
      <c r="F452" s="40">
        <f t="shared" si="99"/>
        <v>-7285.3417480000098</v>
      </c>
      <c r="G452" s="40">
        <f t="shared" si="100"/>
        <v>143571.38174800001</v>
      </c>
      <c r="H452" s="231">
        <f t="shared" si="101"/>
        <v>-5.0743690415875634E-2</v>
      </c>
      <c r="I452" s="40"/>
    </row>
    <row r="453" spans="2:9" x14ac:dyDescent="0.25">
      <c r="B453" s="157">
        <v>42642</v>
      </c>
      <c r="C453" s="10">
        <v>8678</v>
      </c>
      <c r="D453" s="242">
        <v>16.016100000000002</v>
      </c>
      <c r="E453" s="40">
        <v>15.9</v>
      </c>
      <c r="F453" s="40">
        <f t="shared" si="99"/>
        <v>-1007.5158000000105</v>
      </c>
      <c r="G453" s="40">
        <f t="shared" si="100"/>
        <v>138987.71580000001</v>
      </c>
      <c r="H453" s="231">
        <f t="shared" si="101"/>
        <v>-7.2489557382884214E-3</v>
      </c>
      <c r="I453" s="40"/>
    </row>
    <row r="454" spans="2:9" x14ac:dyDescent="0.25">
      <c r="B454" s="157">
        <v>42642</v>
      </c>
      <c r="C454" s="10">
        <v>7978</v>
      </c>
      <c r="D454" s="242">
        <v>16.036825</v>
      </c>
      <c r="E454" s="40">
        <v>15.9</v>
      </c>
      <c r="F454" s="40">
        <f t="shared" si="99"/>
        <v>-1091.5898499999998</v>
      </c>
      <c r="G454" s="40">
        <f t="shared" si="100"/>
        <v>127941.78985</v>
      </c>
      <c r="H454" s="231">
        <f t="shared" si="101"/>
        <v>-8.5319257396648009E-3</v>
      </c>
      <c r="I454" s="40"/>
    </row>
    <row r="455" spans="2:9" x14ac:dyDescent="0.25">
      <c r="B455" s="157">
        <v>42642</v>
      </c>
      <c r="C455" s="10">
        <v>7764</v>
      </c>
      <c r="D455" s="242">
        <v>16.038399999999999</v>
      </c>
      <c r="E455" s="40">
        <v>15.9</v>
      </c>
      <c r="F455" s="40">
        <f t="shared" si="99"/>
        <v>-1074.5375999999919</v>
      </c>
      <c r="G455" s="40">
        <f t="shared" si="100"/>
        <v>124522.1376</v>
      </c>
      <c r="H455" s="231">
        <f t="shared" si="101"/>
        <v>-8.6292897047086353E-3</v>
      </c>
      <c r="I455" s="40"/>
    </row>
    <row r="456" spans="2:9" x14ac:dyDescent="0.25">
      <c r="B456" s="157">
        <v>42642</v>
      </c>
      <c r="C456" s="10">
        <v>8178</v>
      </c>
      <c r="D456" s="242">
        <v>16.019235999999999</v>
      </c>
      <c r="E456" s="40">
        <v>15.9</v>
      </c>
      <c r="F456" s="40">
        <f t="shared" si="99"/>
        <v>-975.11200799999187</v>
      </c>
      <c r="G456" s="40">
        <f t="shared" si="100"/>
        <v>131005.31200799999</v>
      </c>
      <c r="H456" s="231">
        <f t="shared" si="101"/>
        <v>-7.4433012910228059E-3</v>
      </c>
      <c r="I456" s="40" t="s">
        <v>308</v>
      </c>
    </row>
    <row r="457" spans="2:9" x14ac:dyDescent="0.25">
      <c r="B457" s="157">
        <v>42643</v>
      </c>
      <c r="C457" s="10">
        <v>8178</v>
      </c>
      <c r="D457" s="242">
        <v>16.019235999999999</v>
      </c>
      <c r="E457" s="40">
        <v>15.81</v>
      </c>
      <c r="F457" s="40">
        <f t="shared" ref="F457" si="102">C457*(E457-D457)</f>
        <v>-1711.1320079999907</v>
      </c>
      <c r="G457" s="40">
        <f t="shared" ref="G457" si="103">IF(C457=0, 0,D457*C457)</f>
        <v>131005.31200799999</v>
      </c>
      <c r="H457" s="231">
        <f t="shared" ref="H457" si="104">IF(C457=0, D457, (E457-D457)/D457)</f>
        <v>-1.3061546755413234E-2</v>
      </c>
      <c r="I457" s="40"/>
    </row>
    <row r="458" spans="2:9" x14ac:dyDescent="0.25">
      <c r="B458" s="157">
        <v>42646</v>
      </c>
      <c r="C458" s="10">
        <v>8178</v>
      </c>
      <c r="D458" s="242">
        <v>16.019235999999999</v>
      </c>
      <c r="E458" s="40">
        <v>15.98</v>
      </c>
      <c r="F458" s="40">
        <f t="shared" ref="F458:F467" si="105">C458*(E458-D458)</f>
        <v>-320.8720079999913</v>
      </c>
      <c r="G458" s="40">
        <f t="shared" ref="G458:G467" si="106">IF(C458=0, 0,D458*C458)</f>
        <v>131005.31200799999</v>
      </c>
      <c r="H458" s="231">
        <f t="shared" ref="H458:H467" si="107">IF(C458=0, D458, (E458-D458)/D458)</f>
        <v>-2.4493053226757469E-3</v>
      </c>
      <c r="I458" s="40"/>
    </row>
    <row r="459" spans="2:9" x14ac:dyDescent="0.25">
      <c r="B459" s="157">
        <v>42647</v>
      </c>
      <c r="C459" s="10">
        <v>8678</v>
      </c>
      <c r="D459" s="242">
        <v>16.010061</v>
      </c>
      <c r="E459" s="40">
        <v>15.63</v>
      </c>
      <c r="F459" s="40">
        <f t="shared" si="105"/>
        <v>-3298.169357999996</v>
      </c>
      <c r="G459" s="40">
        <f t="shared" si="106"/>
        <v>138935.309358</v>
      </c>
      <c r="H459" s="231">
        <f t="shared" si="107"/>
        <v>-2.3738885192255015E-2</v>
      </c>
      <c r="I459" s="40"/>
    </row>
    <row r="460" spans="2:9" x14ac:dyDescent="0.25">
      <c r="B460" s="157">
        <v>42647</v>
      </c>
      <c r="C460" s="10">
        <v>9178</v>
      </c>
      <c r="D460" s="242">
        <v>15.988811</v>
      </c>
      <c r="E460" s="40">
        <v>15.63</v>
      </c>
      <c r="F460" s="40">
        <f t="shared" si="105"/>
        <v>-3293.1673579999938</v>
      </c>
      <c r="G460" s="40">
        <f t="shared" si="106"/>
        <v>146745.30735799999</v>
      </c>
      <c r="H460" s="231">
        <f t="shared" si="107"/>
        <v>-2.2441381038277287E-2</v>
      </c>
      <c r="I460" s="40"/>
    </row>
    <row r="461" spans="2:9" x14ac:dyDescent="0.25">
      <c r="B461" s="157">
        <v>42648</v>
      </c>
      <c r="C461" s="10">
        <v>8178</v>
      </c>
      <c r="D461" s="242">
        <v>15.977725</v>
      </c>
      <c r="E461" s="40">
        <v>16.12</v>
      </c>
      <c r="F461" s="40">
        <f t="shared" si="105"/>
        <v>1163.524950000012</v>
      </c>
      <c r="G461" s="40">
        <f t="shared" si="106"/>
        <v>130665.83504999999</v>
      </c>
      <c r="H461" s="231">
        <f t="shared" si="107"/>
        <v>8.904584351026288E-3</v>
      </c>
      <c r="I461" s="40">
        <v>15.75</v>
      </c>
    </row>
    <row r="462" spans="2:9" x14ac:dyDescent="0.25">
      <c r="B462" s="157">
        <v>42648</v>
      </c>
      <c r="C462" s="282">
        <v>7678</v>
      </c>
      <c r="D462" s="338">
        <v>15.951529000000001</v>
      </c>
      <c r="E462" s="40">
        <v>16.12</v>
      </c>
      <c r="F462" s="40">
        <f t="shared" si="105"/>
        <v>1293.5203380000021</v>
      </c>
      <c r="G462" s="40">
        <f t="shared" si="106"/>
        <v>122475.839662</v>
      </c>
      <c r="H462" s="231">
        <f t="shared" si="107"/>
        <v>1.0561432700275958E-2</v>
      </c>
      <c r="I462" s="40" t="s">
        <v>312</v>
      </c>
    </row>
    <row r="463" spans="2:9" x14ac:dyDescent="0.25">
      <c r="B463" s="157">
        <v>42649</v>
      </c>
      <c r="C463" s="10">
        <v>8678</v>
      </c>
      <c r="D463" s="242">
        <v>15.941579000000001</v>
      </c>
      <c r="E463" s="40">
        <v>16.079999999999998</v>
      </c>
      <c r="F463" s="40">
        <f t="shared" si="105"/>
        <v>1201.2174379999781</v>
      </c>
      <c r="G463" s="40">
        <f t="shared" si="106"/>
        <v>138341.022562</v>
      </c>
      <c r="H463" s="231">
        <f t="shared" si="107"/>
        <v>8.683016908174369E-3</v>
      </c>
      <c r="I463" s="40"/>
    </row>
    <row r="464" spans="2:9" x14ac:dyDescent="0.25">
      <c r="B464" s="157">
        <v>42650</v>
      </c>
      <c r="C464" s="10">
        <v>8978</v>
      </c>
      <c r="D464" s="242">
        <v>15.935176999999999</v>
      </c>
      <c r="E464" s="40">
        <v>15.56</v>
      </c>
      <c r="F464" s="40">
        <f t="shared" si="105"/>
        <v>-3368.3391059999908</v>
      </c>
      <c r="G464" s="40">
        <f t="shared" si="106"/>
        <v>143066.01910599999</v>
      </c>
      <c r="H464" s="231">
        <f t="shared" si="107"/>
        <v>-2.354394933925108E-2</v>
      </c>
      <c r="I464" s="40"/>
    </row>
    <row r="465" spans="2:9" x14ac:dyDescent="0.25">
      <c r="B465" s="157">
        <v>42650</v>
      </c>
      <c r="C465" s="10">
        <v>9278</v>
      </c>
      <c r="D465" s="242">
        <v>15.923692000000001</v>
      </c>
      <c r="E465" s="40">
        <v>15.56</v>
      </c>
      <c r="F465" s="40">
        <f t="shared" si="105"/>
        <v>-3374.3343760000034</v>
      </c>
      <c r="G465" s="40">
        <f t="shared" si="106"/>
        <v>147740.01437600001</v>
      </c>
      <c r="H465" s="231">
        <f t="shared" si="107"/>
        <v>-2.2839678134945106E-2</v>
      </c>
      <c r="I465" s="40">
        <v>15.8</v>
      </c>
    </row>
    <row r="466" spans="2:9" x14ac:dyDescent="0.25">
      <c r="B466" s="157">
        <v>42653</v>
      </c>
      <c r="C466" s="282">
        <v>9678</v>
      </c>
      <c r="D466" s="338">
        <v>15.9153</v>
      </c>
      <c r="E466" s="40">
        <v>15.72</v>
      </c>
      <c r="F466" s="40">
        <f t="shared" si="105"/>
        <v>-1890.1133999999961</v>
      </c>
      <c r="G466" s="40">
        <f t="shared" si="106"/>
        <v>154028.27340000001</v>
      </c>
      <c r="H466" s="231">
        <f t="shared" si="107"/>
        <v>-1.2271210721758281E-2</v>
      </c>
      <c r="I466" s="40"/>
    </row>
    <row r="467" spans="2:9" x14ac:dyDescent="0.25">
      <c r="B467" s="157">
        <v>42661</v>
      </c>
      <c r="C467" s="282">
        <v>10000</v>
      </c>
      <c r="D467" s="338">
        <v>15.901258</v>
      </c>
      <c r="E467" s="40">
        <v>14.2</v>
      </c>
      <c r="F467" s="40">
        <f t="shared" si="105"/>
        <v>-17012.580000000009</v>
      </c>
      <c r="G467" s="40">
        <f t="shared" si="106"/>
        <v>159012.58000000002</v>
      </c>
      <c r="H467" s="231">
        <f t="shared" si="107"/>
        <v>-0.10698889358313669</v>
      </c>
      <c r="I467" s="40"/>
    </row>
    <row r="468" spans="2:9" x14ac:dyDescent="0.25">
      <c r="B468" s="157">
        <v>42663</v>
      </c>
      <c r="C468" s="10">
        <v>10000</v>
      </c>
      <c r="D468" s="242">
        <v>15.901258</v>
      </c>
      <c r="E468" s="40">
        <v>14.7</v>
      </c>
      <c r="F468" s="40">
        <f t="shared" ref="F468:F469" si="108">C468*(E468-D468)</f>
        <v>-12012.580000000011</v>
      </c>
      <c r="G468" s="40">
        <f t="shared" ref="G468:G469" si="109">IF(C468=0, 0,D468*C468)</f>
        <v>159012.58000000002</v>
      </c>
      <c r="H468" s="232">
        <f t="shared" ref="H468:H469" si="110">IF(C468=0, D468, (E468-D468)/D468)</f>
        <v>-7.5544840540289399E-2</v>
      </c>
      <c r="I468" s="40"/>
    </row>
    <row r="469" spans="2:9" x14ac:dyDescent="0.25">
      <c r="B469" s="157">
        <v>42668</v>
      </c>
      <c r="C469" s="10">
        <v>11000</v>
      </c>
      <c r="D469" s="242">
        <v>15.74728</v>
      </c>
      <c r="E469" s="40">
        <v>14.18</v>
      </c>
      <c r="F469" s="40">
        <f t="shared" si="108"/>
        <v>-17240.080000000002</v>
      </c>
      <c r="G469" s="40">
        <f t="shared" si="109"/>
        <v>173220.08</v>
      </c>
      <c r="H469" s="232">
        <f t="shared" si="110"/>
        <v>-9.9527029429844413E-2</v>
      </c>
      <c r="I469" s="40"/>
    </row>
    <row r="470" spans="2:9" x14ac:dyDescent="0.25">
      <c r="B470" s="157">
        <v>42670</v>
      </c>
      <c r="C470" s="10">
        <v>11500</v>
      </c>
      <c r="D470" s="242">
        <v>15.679137000000001</v>
      </c>
      <c r="E470" s="40">
        <v>13.95</v>
      </c>
      <c r="F470" s="40">
        <f>C470*(E470-D470)</f>
        <v>-19885.075500000017</v>
      </c>
      <c r="G470" s="40">
        <f>IF(C470=0, 0,D470*C470)</f>
        <v>180310.07550000001</v>
      </c>
      <c r="H470" s="232">
        <f>IF(C470=0, D470, (E470-D470)/D470)</f>
        <v>-0.11028266415428357</v>
      </c>
      <c r="I470" s="40"/>
    </row>
    <row r="471" spans="2:9" x14ac:dyDescent="0.25">
      <c r="B471" s="157">
        <v>42670</v>
      </c>
      <c r="C471" s="10">
        <v>12000</v>
      </c>
      <c r="D471" s="242">
        <v>15.6113</v>
      </c>
      <c r="E471" s="40">
        <v>13.95</v>
      </c>
      <c r="F471" s="40">
        <f t="shared" ref="F471:F478" si="111">C471*(E471-D471)</f>
        <v>-19935.600000000009</v>
      </c>
      <c r="G471" s="40">
        <f t="shared" ref="G471:G478" si="112">IF(C471=0, 0,D471*C471)</f>
        <v>187335.6</v>
      </c>
      <c r="H471" s="232">
        <f t="shared" ref="H471:H478" si="113">IF(C471=0, D471, (E471-D471)/D471)</f>
        <v>-0.10641650599245422</v>
      </c>
      <c r="I471" s="40"/>
    </row>
    <row r="472" spans="2:9" x14ac:dyDescent="0.25">
      <c r="B472" s="157">
        <v>42670</v>
      </c>
      <c r="C472" s="10">
        <v>12500</v>
      </c>
      <c r="D472" s="242">
        <v>15.542006000000001</v>
      </c>
      <c r="E472" s="40">
        <v>13.95</v>
      </c>
      <c r="F472" s="40">
        <f t="shared" si="111"/>
        <v>-19900.075000000015</v>
      </c>
      <c r="G472" s="40">
        <f t="shared" si="112"/>
        <v>194275.07500000001</v>
      </c>
      <c r="H472" s="232">
        <f t="shared" si="113"/>
        <v>-0.10243246592492637</v>
      </c>
      <c r="I472" s="40"/>
    </row>
    <row r="473" spans="2:9" x14ac:dyDescent="0.25">
      <c r="B473" s="157">
        <v>42671</v>
      </c>
      <c r="C473" s="10">
        <v>12500</v>
      </c>
      <c r="D473" s="242">
        <v>15.536431</v>
      </c>
      <c r="E473" s="40">
        <v>13.72</v>
      </c>
      <c r="F473" s="40">
        <f t="shared" si="111"/>
        <v>-22705.387499999997</v>
      </c>
      <c r="G473" s="40">
        <f t="shared" si="112"/>
        <v>194205.38750000001</v>
      </c>
      <c r="H473" s="232">
        <f t="shared" si="113"/>
        <v>-0.11691430290521676</v>
      </c>
      <c r="I473" s="40"/>
    </row>
    <row r="474" spans="2:9" x14ac:dyDescent="0.25">
      <c r="B474" s="157">
        <v>42674</v>
      </c>
      <c r="C474" s="10">
        <v>12500</v>
      </c>
      <c r="D474" s="242">
        <v>15.5313</v>
      </c>
      <c r="E474" s="40">
        <v>13.18</v>
      </c>
      <c r="F474" s="40">
        <f t="shared" si="111"/>
        <v>-29391.250000000004</v>
      </c>
      <c r="G474" s="40">
        <f t="shared" si="112"/>
        <v>194141.25</v>
      </c>
      <c r="H474" s="232">
        <f t="shared" si="113"/>
        <v>-0.15139106192012261</v>
      </c>
      <c r="I474" s="40"/>
    </row>
    <row r="475" spans="2:9" x14ac:dyDescent="0.25">
      <c r="B475" s="157">
        <v>42676</v>
      </c>
      <c r="C475" s="10">
        <v>12500</v>
      </c>
      <c r="D475" s="242">
        <v>15.528746</v>
      </c>
      <c r="E475" s="40">
        <v>12.78</v>
      </c>
      <c r="F475" s="40">
        <f t="shared" si="111"/>
        <v>-34359.325000000004</v>
      </c>
      <c r="G475" s="40">
        <f t="shared" si="112"/>
        <v>194109.32500000001</v>
      </c>
      <c r="H475" s="231">
        <f t="shared" si="113"/>
        <v>-0.17701017197396368</v>
      </c>
      <c r="I475" s="40"/>
    </row>
    <row r="476" spans="2:9" x14ac:dyDescent="0.25">
      <c r="B476" s="157">
        <v>42677</v>
      </c>
      <c r="C476" s="10">
        <v>10000</v>
      </c>
      <c r="D476" s="242">
        <v>15.813000000000001</v>
      </c>
      <c r="E476" s="40">
        <v>14.15</v>
      </c>
      <c r="F476" s="40">
        <f t="shared" si="111"/>
        <v>-16630.000000000004</v>
      </c>
      <c r="G476" s="40">
        <f t="shared" si="112"/>
        <v>158130</v>
      </c>
      <c r="H476" s="231">
        <f t="shared" si="113"/>
        <v>-0.10516663504711314</v>
      </c>
      <c r="I476" s="40"/>
    </row>
    <row r="477" spans="2:9" x14ac:dyDescent="0.25">
      <c r="B477" s="157">
        <v>42678</v>
      </c>
      <c r="C477" s="10">
        <v>11000</v>
      </c>
      <c r="D477" s="242">
        <v>15.62</v>
      </c>
      <c r="E477" s="40">
        <v>13.69</v>
      </c>
      <c r="F477" s="40">
        <f t="shared" si="111"/>
        <v>-21229.999999999996</v>
      </c>
      <c r="G477" s="40">
        <f t="shared" si="112"/>
        <v>171820</v>
      </c>
      <c r="H477" s="231">
        <f t="shared" si="113"/>
        <v>-0.12355953905249678</v>
      </c>
      <c r="I477" s="40"/>
    </row>
    <row r="478" spans="2:9" x14ac:dyDescent="0.25">
      <c r="B478" s="157">
        <v>42701</v>
      </c>
      <c r="C478" s="10">
        <v>7678</v>
      </c>
      <c r="D478" s="242">
        <v>15.484220000000001</v>
      </c>
      <c r="E478" s="40">
        <v>16.28</v>
      </c>
      <c r="F478" s="40">
        <f t="shared" si="111"/>
        <v>6109.9988400000047</v>
      </c>
      <c r="G478" s="40">
        <f t="shared" si="112"/>
        <v>118887.84116000001</v>
      </c>
      <c r="H478" s="231">
        <f t="shared" si="113"/>
        <v>5.1392966516879801E-2</v>
      </c>
      <c r="I478" s="40" t="s">
        <v>327</v>
      </c>
    </row>
    <row r="479" spans="2:9" x14ac:dyDescent="0.25">
      <c r="B479" s="157">
        <v>42702</v>
      </c>
      <c r="C479" s="10">
        <v>8178</v>
      </c>
      <c r="D479" s="242">
        <v>15.519399999999999</v>
      </c>
      <c r="E479" s="40">
        <v>15.62</v>
      </c>
      <c r="F479" s="40">
        <f t="shared" ref="F479" si="114">C479*(E479-D479)</f>
        <v>822.70680000000016</v>
      </c>
      <c r="G479" s="40">
        <f t="shared" ref="G479" si="115">IF(C479=0, 0,D479*C479)</f>
        <v>126917.6532</v>
      </c>
      <c r="H479" s="231">
        <f t="shared" ref="H479" si="116">IF(C479=0, D479, (E479-D479)/D479)</f>
        <v>6.4822093637640649E-3</v>
      </c>
      <c r="I479" s="40" t="s">
        <v>336</v>
      </c>
    </row>
    <row r="480" spans="2:9" x14ac:dyDescent="0.25">
      <c r="B480" s="157">
        <v>42702</v>
      </c>
      <c r="C480" s="10">
        <v>8678</v>
      </c>
      <c r="D480" s="242">
        <v>15.5304</v>
      </c>
      <c r="E480" s="40">
        <v>15.54</v>
      </c>
      <c r="F480" s="40">
        <f t="shared" ref="F480:F484" si="117">C480*(E480-D480)</f>
        <v>83.308799999990825</v>
      </c>
      <c r="G480" s="40">
        <f t="shared" ref="G480:G484" si="118">IF(C480=0, 0,D480*C480)</f>
        <v>134772.8112</v>
      </c>
      <c r="H480" s="231">
        <f t="shared" ref="H480:H484" si="119">IF(C480=0, D480, (E480-D480)/D480)</f>
        <v>6.1814248184199655E-4</v>
      </c>
      <c r="I480" s="40"/>
    </row>
    <row r="481" spans="1:10" x14ac:dyDescent="0.25">
      <c r="B481" s="157">
        <v>42703</v>
      </c>
      <c r="C481" s="10">
        <v>8978</v>
      </c>
      <c r="D481" s="242">
        <v>15.5053</v>
      </c>
      <c r="E481" s="40">
        <v>14.95</v>
      </c>
      <c r="F481" s="40">
        <f t="shared" si="117"/>
        <v>-4985.4834000000074</v>
      </c>
      <c r="G481" s="40">
        <f t="shared" si="118"/>
        <v>139206.5834</v>
      </c>
      <c r="H481" s="231">
        <f t="shared" si="119"/>
        <v>-3.5813560524465882E-2</v>
      </c>
      <c r="I481" s="40"/>
    </row>
    <row r="482" spans="1:10" x14ac:dyDescent="0.25">
      <c r="B482" s="157">
        <v>42704</v>
      </c>
      <c r="C482" s="10">
        <v>5178</v>
      </c>
      <c r="D482" s="242">
        <v>14.3947</v>
      </c>
      <c r="E482" s="40">
        <v>18.059999999999999</v>
      </c>
      <c r="F482" s="40">
        <f t="shared" si="117"/>
        <v>18978.923399999992</v>
      </c>
      <c r="G482" s="40">
        <f t="shared" si="118"/>
        <v>74535.756600000008</v>
      </c>
      <c r="H482" s="231">
        <f t="shared" si="119"/>
        <v>0.25462843963403187</v>
      </c>
      <c r="I482" s="40"/>
    </row>
    <row r="483" spans="1:10" x14ac:dyDescent="0.25">
      <c r="B483" s="157">
        <v>42705</v>
      </c>
      <c r="C483" s="10">
        <v>4678</v>
      </c>
      <c r="D483" s="242">
        <v>13.905799999999999</v>
      </c>
      <c r="E483" s="40">
        <v>17.89</v>
      </c>
      <c r="F483" s="40">
        <f t="shared" si="117"/>
        <v>18638.087600000006</v>
      </c>
      <c r="G483" s="40">
        <f t="shared" si="118"/>
        <v>65051.332399999999</v>
      </c>
      <c r="H483" s="231">
        <f t="shared" si="119"/>
        <v>0.28651354111234173</v>
      </c>
      <c r="I483" s="40"/>
    </row>
    <row r="484" spans="1:10" x14ac:dyDescent="0.25">
      <c r="B484" s="157">
        <v>42705</v>
      </c>
      <c r="C484" s="7">
        <v>5000</v>
      </c>
      <c r="D484" s="443">
        <v>14.1645</v>
      </c>
      <c r="E484" s="40">
        <v>17.89</v>
      </c>
      <c r="F484" s="40">
        <f t="shared" si="117"/>
        <v>18627.5</v>
      </c>
      <c r="G484" s="40">
        <f t="shared" si="118"/>
        <v>70822.5</v>
      </c>
      <c r="H484" s="231">
        <f t="shared" si="119"/>
        <v>0.2630166966712556</v>
      </c>
      <c r="I484" s="40"/>
    </row>
    <row r="485" spans="1:10" x14ac:dyDescent="0.25">
      <c r="B485" s="157">
        <v>42708</v>
      </c>
      <c r="C485" s="10">
        <v>5000</v>
      </c>
      <c r="D485" s="242">
        <v>14.1645</v>
      </c>
      <c r="E485" s="40">
        <v>18.2</v>
      </c>
      <c r="F485" s="40">
        <f t="shared" ref="F485:F489" si="120">C485*(E485-D485)</f>
        <v>20177.499999999996</v>
      </c>
      <c r="G485" s="40">
        <f t="shared" ref="G485:G489" si="121">IF(C485=0, 0,D485*C485)</f>
        <v>70822.5</v>
      </c>
      <c r="H485" s="231">
        <f t="shared" ref="H485:H489" si="122">IF(C485=0, D485, (E485-D485)/D485)</f>
        <v>0.28490239683716323</v>
      </c>
      <c r="I485" s="40"/>
    </row>
    <row r="486" spans="1:10" x14ac:dyDescent="0.25">
      <c r="B486" s="157">
        <v>42711</v>
      </c>
      <c r="C486" s="10">
        <v>5000</v>
      </c>
      <c r="D486" s="242">
        <v>14.143514</v>
      </c>
      <c r="E486" s="40">
        <v>18.420000000000002</v>
      </c>
      <c r="F486" s="40">
        <f t="shared" si="120"/>
        <v>21382.430000000011</v>
      </c>
      <c r="G486" s="40">
        <f t="shared" si="121"/>
        <v>70717.569999999992</v>
      </c>
      <c r="H486" s="231">
        <f t="shared" si="122"/>
        <v>0.3023637548631834</v>
      </c>
      <c r="I486" s="40"/>
    </row>
    <row r="487" spans="1:10" x14ac:dyDescent="0.25">
      <c r="B487" s="157">
        <v>42713</v>
      </c>
      <c r="C487" s="10">
        <v>5000</v>
      </c>
      <c r="D487" s="242">
        <v>14.127554</v>
      </c>
      <c r="E487" s="40">
        <v>18.25</v>
      </c>
      <c r="F487" s="40">
        <f t="shared" si="120"/>
        <v>20612.23</v>
      </c>
      <c r="G487" s="40">
        <f t="shared" si="121"/>
        <v>70637.77</v>
      </c>
      <c r="H487" s="231">
        <f t="shared" si="122"/>
        <v>0.29180182216964096</v>
      </c>
      <c r="I487" s="40"/>
    </row>
    <row r="488" spans="1:10" x14ac:dyDescent="0.25">
      <c r="B488" s="157">
        <v>42716</v>
      </c>
      <c r="C488" s="10">
        <v>5000</v>
      </c>
      <c r="D488" s="242">
        <v>14.0276</v>
      </c>
      <c r="E488" s="40">
        <v>18.489999999999998</v>
      </c>
      <c r="F488" s="40">
        <f t="shared" si="120"/>
        <v>22311.999999999993</v>
      </c>
      <c r="G488" s="40">
        <f t="shared" si="121"/>
        <v>70138</v>
      </c>
      <c r="H488" s="231">
        <f t="shared" si="122"/>
        <v>0.3181157147338104</v>
      </c>
      <c r="I488" s="40" t="s">
        <v>189</v>
      </c>
    </row>
    <row r="489" spans="1:10" x14ac:dyDescent="0.25">
      <c r="B489" s="157">
        <v>42718</v>
      </c>
      <c r="C489" s="7">
        <v>5000</v>
      </c>
      <c r="D489" s="443">
        <v>14.025399999999999</v>
      </c>
      <c r="E489" s="40">
        <v>18.2</v>
      </c>
      <c r="F489" s="40">
        <f t="shared" si="120"/>
        <v>20873</v>
      </c>
      <c r="G489" s="40">
        <f t="shared" si="121"/>
        <v>70127</v>
      </c>
      <c r="H489" s="231">
        <f t="shared" si="122"/>
        <v>0.29764569994438661</v>
      </c>
      <c r="I489" s="40">
        <v>13.8</v>
      </c>
    </row>
    <row r="490" spans="1:10" x14ac:dyDescent="0.25">
      <c r="B490" s="157">
        <v>42726</v>
      </c>
      <c r="C490" s="10">
        <v>5000</v>
      </c>
      <c r="D490" s="242">
        <v>14.025399999999999</v>
      </c>
      <c r="E490" s="40">
        <v>18.04</v>
      </c>
      <c r="F490" s="40">
        <f t="shared" ref="F490:F491" si="123">C490*(E490-D490)</f>
        <v>20073</v>
      </c>
      <c r="G490" s="40">
        <f t="shared" ref="G490:G491" si="124">IF(C490=0, 0,D490*C490)</f>
        <v>70127</v>
      </c>
      <c r="H490" s="231">
        <f t="shared" ref="H490:H491" si="125">IF(C490=0, D490, (E490-D490)/D490)</f>
        <v>0.28623782565916123</v>
      </c>
      <c r="I490" s="40"/>
    </row>
    <row r="491" spans="1:10" x14ac:dyDescent="0.25">
      <c r="B491" s="157">
        <v>42733</v>
      </c>
      <c r="C491" s="10">
        <v>6000</v>
      </c>
      <c r="D491" s="242">
        <v>14.627558000000001</v>
      </c>
      <c r="E491" s="40">
        <v>17.57</v>
      </c>
      <c r="F491" s="236">
        <f t="shared" si="123"/>
        <v>17654.651999999998</v>
      </c>
      <c r="G491" s="40">
        <f t="shared" si="124"/>
        <v>87765.347999999998</v>
      </c>
      <c r="H491" s="232">
        <f t="shared" si="125"/>
        <v>0.20115743174629694</v>
      </c>
      <c r="I491" s="40"/>
      <c r="J491" s="3"/>
    </row>
    <row r="492" spans="1:10" x14ac:dyDescent="0.25">
      <c r="B492" s="157">
        <v>42734</v>
      </c>
      <c r="C492" s="10">
        <v>6000</v>
      </c>
      <c r="D492" s="242">
        <v>14.562623</v>
      </c>
      <c r="E492" s="40">
        <v>17.309999999999999</v>
      </c>
      <c r="F492" s="236">
        <f t="shared" ref="F492:F494" si="126">C492*(E492-D492)</f>
        <v>16484.261999999992</v>
      </c>
      <c r="G492" s="40">
        <f t="shared" ref="G492:G494" si="127">IF(C492=0, 0,D492*C492)</f>
        <v>87375.737999999998</v>
      </c>
      <c r="H492" s="232">
        <f t="shared" ref="H492:H494" si="128">IF(C492=0, D492, (E492-D492)/D492)</f>
        <v>0.18865948806063293</v>
      </c>
      <c r="I492" s="40"/>
    </row>
    <row r="493" spans="1:10" x14ac:dyDescent="0.25">
      <c r="B493" s="157">
        <v>42739</v>
      </c>
      <c r="C493" s="10">
        <v>5500</v>
      </c>
      <c r="D493" s="242">
        <v>14.242898</v>
      </c>
      <c r="E493" s="40">
        <v>18.05</v>
      </c>
      <c r="F493" s="236">
        <f t="shared" si="126"/>
        <v>20939.061000000002</v>
      </c>
      <c r="G493" s="40">
        <f t="shared" si="127"/>
        <v>78335.938999999998</v>
      </c>
      <c r="H493" s="232">
        <f t="shared" si="128"/>
        <v>0.26729827033796072</v>
      </c>
      <c r="I493" s="40"/>
    </row>
    <row r="494" spans="1:10" x14ac:dyDescent="0.25">
      <c r="B494" s="157">
        <v>42741</v>
      </c>
      <c r="C494" s="10">
        <v>6000</v>
      </c>
      <c r="D494" s="242">
        <v>14.54599</v>
      </c>
      <c r="E494" s="40">
        <v>17.98</v>
      </c>
      <c r="F494" s="236">
        <f t="shared" si="126"/>
        <v>20604.060000000005</v>
      </c>
      <c r="G494" s="40">
        <f t="shared" si="127"/>
        <v>87275.94</v>
      </c>
      <c r="H494" s="232">
        <f t="shared" si="128"/>
        <v>0.23607949682352322</v>
      </c>
      <c r="I494" s="40"/>
    </row>
    <row r="495" spans="1:10" x14ac:dyDescent="0.25">
      <c r="B495" s="157">
        <v>42748</v>
      </c>
      <c r="C495" s="10">
        <v>6000</v>
      </c>
      <c r="D495" s="242">
        <v>14.527687999999999</v>
      </c>
      <c r="E495" s="40">
        <v>17.46</v>
      </c>
      <c r="F495" s="236">
        <f t="shared" ref="F495" si="129">C495*(E495-D495)</f>
        <v>17593.872000000007</v>
      </c>
      <c r="G495" s="40">
        <f t="shared" ref="G495" si="130">IF(C495=0, 0,D495*C495)</f>
        <v>87166.127999999997</v>
      </c>
      <c r="H495" s="232">
        <f t="shared" ref="H495" si="131">IF(C495=0, D495, (E495-D495)/D495)</f>
        <v>0.20184299112150547</v>
      </c>
      <c r="I495" s="40"/>
    </row>
    <row r="496" spans="1:10" x14ac:dyDescent="0.25">
      <c r="A496" s="235" t="s">
        <v>413</v>
      </c>
      <c r="B496" s="157">
        <v>42754</v>
      </c>
      <c r="C496" s="10">
        <v>6000</v>
      </c>
      <c r="D496" s="242">
        <v>14.527687999999999</v>
      </c>
      <c r="E496" s="40">
        <v>17.27</v>
      </c>
      <c r="F496" s="236">
        <f t="shared" ref="F496" si="132">C496*(E496-D496)</f>
        <v>16453.871999999999</v>
      </c>
      <c r="G496" s="40">
        <f t="shared" ref="G496" si="133">IF(C496=0, 0,D496*C496)</f>
        <v>87166.127999999997</v>
      </c>
      <c r="H496" s="232">
        <f t="shared" ref="H496" si="134">IF(C496=0, D496, (E496-D496)/D496)</f>
        <v>0.1887645164185795</v>
      </c>
      <c r="I496" s="40"/>
    </row>
    <row r="497" spans="1:9" x14ac:dyDescent="0.25">
      <c r="A497" t="s">
        <v>413</v>
      </c>
      <c r="B497" s="157">
        <v>42760</v>
      </c>
      <c r="C497" s="10">
        <v>6000</v>
      </c>
      <c r="D497" s="242">
        <v>14.527687999999999</v>
      </c>
      <c r="E497" s="40">
        <v>17.75</v>
      </c>
      <c r="F497" s="236">
        <f t="shared" ref="F497:F507" si="135">C497*(E497-D497)</f>
        <v>19333.872000000003</v>
      </c>
      <c r="G497" s="40">
        <f t="shared" ref="G497:G507" si="136">IF(C497=0, 0,D497*C497)</f>
        <v>87166.127999999997</v>
      </c>
      <c r="H497" s="232">
        <f t="shared" ref="H497:H507" si="137">IF(C497=0, D497, (E497-D497)/D497)</f>
        <v>0.22180487356281334</v>
      </c>
      <c r="I497" s="40"/>
    </row>
    <row r="498" spans="1:9" x14ac:dyDescent="0.25">
      <c r="A498" t="s">
        <v>461</v>
      </c>
      <c r="B498" s="157">
        <v>42761</v>
      </c>
      <c r="C498" s="10">
        <v>6000</v>
      </c>
      <c r="D498" s="242">
        <v>14.50817</v>
      </c>
      <c r="E498" s="40">
        <v>17.75</v>
      </c>
      <c r="F498" s="236">
        <f t="shared" si="135"/>
        <v>19450.98</v>
      </c>
      <c r="G498" s="40">
        <f t="shared" si="136"/>
        <v>87049.02</v>
      </c>
      <c r="H498" s="232">
        <f t="shared" si="137"/>
        <v>0.22344858104088938</v>
      </c>
      <c r="I498" s="40"/>
    </row>
    <row r="499" spans="1:9" x14ac:dyDescent="0.25">
      <c r="A499" t="s">
        <v>469</v>
      </c>
      <c r="B499" s="157">
        <v>42762</v>
      </c>
      <c r="C499" s="10">
        <v>6100</v>
      </c>
      <c r="D499" s="242">
        <v>14.553610000000001</v>
      </c>
      <c r="E499" s="40">
        <v>17.41</v>
      </c>
      <c r="F499" s="236">
        <f t="shared" si="135"/>
        <v>17423.978999999996</v>
      </c>
      <c r="G499" s="40">
        <f t="shared" si="136"/>
        <v>88777.021000000008</v>
      </c>
      <c r="H499" s="232">
        <f t="shared" si="137"/>
        <v>0.19626676817641803</v>
      </c>
      <c r="I499" s="40"/>
    </row>
    <row r="500" spans="1:9" x14ac:dyDescent="0.25">
      <c r="A500" t="s">
        <v>488</v>
      </c>
      <c r="B500" s="157">
        <v>42765</v>
      </c>
      <c r="C500" s="10">
        <v>6900</v>
      </c>
      <c r="D500" s="242">
        <v>14.793915999999999</v>
      </c>
      <c r="E500" s="40">
        <v>16.53</v>
      </c>
      <c r="F500" s="236">
        <f t="shared" si="135"/>
        <v>11978.979600000011</v>
      </c>
      <c r="G500" s="40">
        <f t="shared" si="136"/>
        <v>102078.02039999999</v>
      </c>
      <c r="H500" s="232">
        <f t="shared" si="137"/>
        <v>0.11735121383682331</v>
      </c>
      <c r="I500" s="40"/>
    </row>
    <row r="501" spans="1:9" x14ac:dyDescent="0.25">
      <c r="A501" t="s">
        <v>490</v>
      </c>
      <c r="B501" s="157">
        <v>42766</v>
      </c>
      <c r="C501" s="10">
        <v>6900</v>
      </c>
      <c r="D501" s="242">
        <v>14.783497000000001</v>
      </c>
      <c r="E501" s="40">
        <v>16.75</v>
      </c>
      <c r="F501" s="236">
        <f t="shared" si="135"/>
        <v>13568.870699999996</v>
      </c>
      <c r="G501" s="40">
        <f t="shared" si="136"/>
        <v>102006.1293</v>
      </c>
      <c r="H501" s="232">
        <f t="shared" si="137"/>
        <v>0.13302015078029233</v>
      </c>
      <c r="I501" s="40"/>
    </row>
    <row r="502" spans="1:9" x14ac:dyDescent="0.25">
      <c r="B502" s="157">
        <v>42767</v>
      </c>
      <c r="C502" s="10">
        <v>6000</v>
      </c>
      <c r="D502" s="242">
        <v>14.442175000000001</v>
      </c>
      <c r="E502" s="40">
        <v>16.59</v>
      </c>
      <c r="F502" s="236">
        <f t="shared" si="135"/>
        <v>12886.949999999995</v>
      </c>
      <c r="G502" s="40">
        <f t="shared" si="136"/>
        <v>86653.05</v>
      </c>
      <c r="H502" s="232">
        <f t="shared" si="137"/>
        <v>0.14871894295699914</v>
      </c>
      <c r="I502" s="40"/>
    </row>
    <row r="503" spans="1:9" x14ac:dyDescent="0.25">
      <c r="B503" s="157">
        <v>42767</v>
      </c>
      <c r="C503" s="10">
        <v>7000</v>
      </c>
      <c r="D503" s="242">
        <v>14.725436</v>
      </c>
      <c r="E503" s="40">
        <v>16.59</v>
      </c>
      <c r="F503" s="236">
        <f t="shared" si="135"/>
        <v>13051.947999999999</v>
      </c>
      <c r="G503" s="40">
        <f t="shared" si="136"/>
        <v>103078.052</v>
      </c>
      <c r="H503" s="232">
        <f t="shared" si="137"/>
        <v>0.1266219893251378</v>
      </c>
      <c r="I503" s="40"/>
    </row>
    <row r="504" spans="1:9" x14ac:dyDescent="0.25">
      <c r="B504" s="157">
        <v>42767</v>
      </c>
      <c r="C504" s="10">
        <v>7200</v>
      </c>
      <c r="D504" s="242">
        <v>14.771951</v>
      </c>
      <c r="E504" s="40">
        <v>16.59</v>
      </c>
      <c r="F504" s="236">
        <f t="shared" si="135"/>
        <v>13089.952800000001</v>
      </c>
      <c r="G504" s="40">
        <f t="shared" si="136"/>
        <v>106358.0472</v>
      </c>
      <c r="H504" s="232">
        <f t="shared" si="137"/>
        <v>0.12307439958337259</v>
      </c>
      <c r="I504" s="40"/>
    </row>
    <row r="505" spans="1:9" x14ac:dyDescent="0.25">
      <c r="A505" t="s">
        <v>496</v>
      </c>
      <c r="B505" s="157">
        <v>42767</v>
      </c>
      <c r="C505" s="10">
        <v>6500</v>
      </c>
      <c r="D505" s="242">
        <v>14.578353999999999</v>
      </c>
      <c r="E505" s="40">
        <v>16.59</v>
      </c>
      <c r="F505" s="236">
        <f t="shared" si="135"/>
        <v>13075.699000000004</v>
      </c>
      <c r="G505" s="40">
        <f t="shared" si="136"/>
        <v>94759.300999999992</v>
      </c>
      <c r="H505" s="232">
        <f t="shared" si="137"/>
        <v>0.13798855481215511</v>
      </c>
      <c r="I505" s="40"/>
    </row>
    <row r="506" spans="1:9" x14ac:dyDescent="0.25">
      <c r="A506" t="s">
        <v>524</v>
      </c>
      <c r="B506" s="157">
        <v>42768</v>
      </c>
      <c r="C506" s="10">
        <v>6000</v>
      </c>
      <c r="D506" s="242">
        <v>14.368788</v>
      </c>
      <c r="E506" s="40">
        <v>16.68</v>
      </c>
      <c r="F506" s="236">
        <f t="shared" si="135"/>
        <v>13867.271999999995</v>
      </c>
      <c r="G506" s="40">
        <f>IF(C506=0, 0,D506*C506)</f>
        <v>86212.728000000003</v>
      </c>
      <c r="H506" s="232">
        <f t="shared" si="137"/>
        <v>0.16084947456946261</v>
      </c>
      <c r="I506" s="40"/>
    </row>
    <row r="507" spans="1:9" x14ac:dyDescent="0.25">
      <c r="A507" t="s">
        <v>690</v>
      </c>
      <c r="B507" s="157">
        <v>42769</v>
      </c>
      <c r="C507" s="10">
        <v>5300</v>
      </c>
      <c r="D507" s="242">
        <v>14.006677</v>
      </c>
      <c r="E507" s="40">
        <v>17.23</v>
      </c>
      <c r="F507" s="236">
        <f t="shared" si="135"/>
        <v>17083.611900000004</v>
      </c>
      <c r="G507" s="40">
        <f t="shared" si="136"/>
        <v>74235.388099999996</v>
      </c>
      <c r="H507" s="232">
        <f t="shared" si="137"/>
        <v>0.2301276027140485</v>
      </c>
      <c r="I507" s="40"/>
    </row>
    <row r="508" spans="1:9" x14ac:dyDescent="0.25">
      <c r="B508" s="157"/>
      <c r="C508" s="10"/>
      <c r="D508" s="242"/>
      <c r="E508" s="40"/>
      <c r="F508" s="236"/>
      <c r="G508" s="40"/>
      <c r="H508" s="232"/>
      <c r="I508" s="40"/>
    </row>
    <row r="509" spans="1:9" x14ac:dyDescent="0.25">
      <c r="B509" s="157"/>
      <c r="C509" s="10"/>
      <c r="D509" s="242"/>
      <c r="E509" s="40"/>
      <c r="F509" s="236"/>
      <c r="G509" s="40"/>
      <c r="H509" s="232"/>
      <c r="I509" s="40"/>
    </row>
    <row r="510" spans="1:9" x14ac:dyDescent="0.25">
      <c r="B510" s="157"/>
      <c r="C510" s="10"/>
      <c r="D510" s="242"/>
      <c r="E510" s="40"/>
      <c r="F510" s="236"/>
      <c r="G510" s="40"/>
      <c r="H510" s="232"/>
      <c r="I510" s="40"/>
    </row>
    <row r="511" spans="1:9" x14ac:dyDescent="0.25">
      <c r="B511" s="157"/>
      <c r="C511" s="10"/>
      <c r="D511" s="242"/>
      <c r="E511" s="40"/>
      <c r="F511" s="236"/>
      <c r="G511" s="40"/>
      <c r="H511" s="232"/>
      <c r="I511" s="40"/>
    </row>
    <row r="512" spans="1:9" x14ac:dyDescent="0.25">
      <c r="B512" s="157"/>
      <c r="C512" s="10"/>
      <c r="D512" s="242"/>
      <c r="E512" s="40"/>
      <c r="F512" s="236"/>
      <c r="G512" s="40"/>
      <c r="H512" s="232"/>
      <c r="I512" s="40"/>
    </row>
    <row r="513" spans="2:9" x14ac:dyDescent="0.25">
      <c r="B513" s="157"/>
      <c r="C513" s="10"/>
      <c r="D513" s="242"/>
      <c r="E513" s="40"/>
      <c r="F513" s="236"/>
      <c r="G513" s="40"/>
      <c r="H513" s="232"/>
      <c r="I513" s="40"/>
    </row>
    <row r="514" spans="2:9" x14ac:dyDescent="0.25">
      <c r="B514" s="157"/>
      <c r="C514" s="10"/>
      <c r="D514" s="242"/>
      <c r="E514" s="40"/>
      <c r="F514" s="236"/>
      <c r="G514" s="40"/>
      <c r="H514" s="232"/>
      <c r="I514" s="40"/>
    </row>
    <row r="515" spans="2:9" x14ac:dyDescent="0.25">
      <c r="B515" s="157"/>
      <c r="C515" s="10"/>
      <c r="D515" s="242"/>
      <c r="E515" s="40"/>
      <c r="F515" s="236"/>
      <c r="G515" s="40"/>
      <c r="H515" s="232"/>
      <c r="I515" s="40"/>
    </row>
  </sheetData>
  <mergeCells count="22">
    <mergeCell ref="O41:P41"/>
    <mergeCell ref="L176:L178"/>
    <mergeCell ref="G167:G170"/>
    <mergeCell ref="A126:A128"/>
    <mergeCell ref="A120:A122"/>
    <mergeCell ref="A113:A116"/>
    <mergeCell ref="G147:G150"/>
    <mergeCell ref="G103:G105"/>
    <mergeCell ref="B96:B100"/>
    <mergeCell ref="B94:B95"/>
    <mergeCell ref="A242:A245"/>
    <mergeCell ref="A201:A204"/>
    <mergeCell ref="G7:G8"/>
    <mergeCell ref="G10:G17"/>
    <mergeCell ref="B5:B9"/>
    <mergeCell ref="B89:B90"/>
    <mergeCell ref="G62:G63"/>
    <mergeCell ref="B74:B76"/>
    <mergeCell ref="G42:G45"/>
    <mergeCell ref="G53:G55"/>
    <mergeCell ref="B41:B42"/>
    <mergeCell ref="G73:G74"/>
  </mergeCells>
  <conditionalFormatting sqref="F267:F285 H267:H285 H420 F420 H491:H515 F491:F515">
    <cfRule type="expression" dxfId="845" priority="88">
      <formula>F267&gt;0</formula>
    </cfRule>
    <cfRule type="expression" dxfId="844" priority="89">
      <formula>F267&lt;0</formula>
    </cfRule>
  </conditionalFormatting>
  <conditionalFormatting sqref="O42:O79">
    <cfRule type="colorScale" priority="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79">
    <cfRule type="colorScale" priority="8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8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1:AE1048576">
    <cfRule type="iconSet" priority="83">
      <iconSet iconSet="3Arrows">
        <cfvo type="percent" val="0"/>
        <cfvo type="num" val="0"/>
        <cfvo type="num" val="0"/>
      </iconSet>
    </cfRule>
  </conditionalFormatting>
  <conditionalFormatting sqref="F260:F266">
    <cfRule type="expression" dxfId="843" priority="81">
      <formula>F260&gt;0</formula>
    </cfRule>
    <cfRule type="expression" dxfId="842" priority="82">
      <formula>F260&lt;0</formula>
    </cfRule>
  </conditionalFormatting>
  <conditionalFormatting sqref="H260:H266">
    <cfRule type="expression" dxfId="841" priority="77">
      <formula>H260&gt;0</formula>
    </cfRule>
    <cfRule type="expression" dxfId="840" priority="78">
      <formula>H260&lt;0</formula>
    </cfRule>
  </conditionalFormatting>
  <conditionalFormatting sqref="Q8">
    <cfRule type="expression" dxfId="839" priority="63">
      <formula>Q8&gt;0</formula>
    </cfRule>
    <cfRule type="expression" dxfId="838" priority="64">
      <formula>Q8&lt;0</formula>
    </cfRule>
  </conditionalFormatting>
  <conditionalFormatting sqref="Q7">
    <cfRule type="expression" dxfId="837" priority="65">
      <formula>Q7&gt;0</formula>
    </cfRule>
    <cfRule type="expression" dxfId="836" priority="66">
      <formula>Q7&lt;0</formula>
    </cfRule>
  </conditionalFormatting>
  <conditionalFormatting sqref="F368:F374">
    <cfRule type="expression" dxfId="835" priority="37">
      <formula>F368&gt;0</formula>
    </cfRule>
    <cfRule type="expression" dxfId="834" priority="38">
      <formula>F368&lt;0</formula>
    </cfRule>
  </conditionalFormatting>
  <conditionalFormatting sqref="F293:F311 H293:H311">
    <cfRule type="expression" dxfId="833" priority="59">
      <formula>F293&gt;0</formula>
    </cfRule>
    <cfRule type="expression" dxfId="832" priority="60">
      <formula>F293&lt;0</formula>
    </cfRule>
  </conditionalFormatting>
  <conditionalFormatting sqref="F286:F292">
    <cfRule type="expression" dxfId="831" priority="57">
      <formula>F286&gt;0</formula>
    </cfRule>
    <cfRule type="expression" dxfId="830" priority="58">
      <formula>F286&lt;0</formula>
    </cfRule>
  </conditionalFormatting>
  <conditionalFormatting sqref="H286:H292">
    <cfRule type="expression" dxfId="829" priority="55">
      <formula>H286&gt;0</formula>
    </cfRule>
    <cfRule type="expression" dxfId="828" priority="56">
      <formula>H286&lt;0</formula>
    </cfRule>
  </conditionalFormatting>
  <conditionalFormatting sqref="F319:F337 H319:H337">
    <cfRule type="expression" dxfId="827" priority="53">
      <formula>F319&gt;0</formula>
    </cfRule>
    <cfRule type="expression" dxfId="826" priority="54">
      <formula>F319&lt;0</formula>
    </cfRule>
  </conditionalFormatting>
  <conditionalFormatting sqref="F312:F318">
    <cfRule type="expression" dxfId="825" priority="51">
      <formula>F312&gt;0</formula>
    </cfRule>
    <cfRule type="expression" dxfId="824" priority="52">
      <formula>F312&lt;0</formula>
    </cfRule>
  </conditionalFormatting>
  <conditionalFormatting sqref="H312:H318">
    <cfRule type="expression" dxfId="823" priority="49">
      <formula>H312&gt;0</formula>
    </cfRule>
    <cfRule type="expression" dxfId="822" priority="50">
      <formula>H312&lt;0</formula>
    </cfRule>
  </conditionalFormatting>
  <conditionalFormatting sqref="F345:F362 H345:H362">
    <cfRule type="expression" dxfId="821" priority="47">
      <formula>F345&gt;0</formula>
    </cfRule>
    <cfRule type="expression" dxfId="820" priority="48">
      <formula>F345&lt;0</formula>
    </cfRule>
  </conditionalFormatting>
  <conditionalFormatting sqref="F338:F344">
    <cfRule type="expression" dxfId="819" priority="45">
      <formula>F338&gt;0</formula>
    </cfRule>
    <cfRule type="expression" dxfId="818" priority="46">
      <formula>F338&lt;0</formula>
    </cfRule>
  </conditionalFormatting>
  <conditionalFormatting sqref="H338:H344">
    <cfRule type="expression" dxfId="817" priority="43">
      <formula>H338&gt;0</formula>
    </cfRule>
    <cfRule type="expression" dxfId="816" priority="44">
      <formula>H338&lt;0</formula>
    </cfRule>
  </conditionalFormatting>
  <conditionalFormatting sqref="F363:F367 H363:H367">
    <cfRule type="expression" dxfId="815" priority="41">
      <formula>F363&gt;0</formula>
    </cfRule>
    <cfRule type="expression" dxfId="814" priority="42">
      <formula>F363&lt;0</formula>
    </cfRule>
  </conditionalFormatting>
  <conditionalFormatting sqref="F375:F390 H375:H390">
    <cfRule type="expression" dxfId="813" priority="39">
      <formula>F375&gt;0</formula>
    </cfRule>
    <cfRule type="expression" dxfId="812" priority="40">
      <formula>F375&lt;0</formula>
    </cfRule>
  </conditionalFormatting>
  <conditionalFormatting sqref="H368:H374">
    <cfRule type="expression" dxfId="811" priority="35">
      <formula>H368&gt;0</formula>
    </cfRule>
    <cfRule type="expression" dxfId="810" priority="36">
      <formula>H368&lt;0</formula>
    </cfRule>
  </conditionalFormatting>
  <conditionalFormatting sqref="F391 H391">
    <cfRule type="expression" dxfId="809" priority="33">
      <formula>F391&gt;0</formula>
    </cfRule>
    <cfRule type="expression" dxfId="808" priority="34">
      <formula>F391&lt;0</formula>
    </cfRule>
  </conditionalFormatting>
  <conditionalFormatting sqref="F392:F396 H392:H396">
    <cfRule type="expression" dxfId="807" priority="31">
      <formula>F392&gt;0</formula>
    </cfRule>
    <cfRule type="expression" dxfId="806" priority="32">
      <formula>F392&lt;0</formula>
    </cfRule>
  </conditionalFormatting>
  <conditionalFormatting sqref="F404:F419 H404:H419">
    <cfRule type="expression" dxfId="805" priority="29">
      <formula>F404&gt;0</formula>
    </cfRule>
    <cfRule type="expression" dxfId="804" priority="30">
      <formula>F404&lt;0</formula>
    </cfRule>
  </conditionalFormatting>
  <conditionalFormatting sqref="F397:F403">
    <cfRule type="expression" dxfId="803" priority="27">
      <formula>F397&gt;0</formula>
    </cfRule>
    <cfRule type="expression" dxfId="802" priority="28">
      <formula>F397&lt;0</formula>
    </cfRule>
  </conditionalFormatting>
  <conditionalFormatting sqref="H397:H403">
    <cfRule type="expression" dxfId="801" priority="25">
      <formula>H397&gt;0</formula>
    </cfRule>
    <cfRule type="expression" dxfId="800" priority="26">
      <formula>H397&lt;0</formula>
    </cfRule>
  </conditionalFormatting>
  <conditionalFormatting sqref="F421:F426 H421:H426">
    <cfRule type="expression" dxfId="799" priority="23">
      <formula>F421&gt;0</formula>
    </cfRule>
    <cfRule type="expression" dxfId="798" priority="24">
      <formula>F421&lt;0</formula>
    </cfRule>
  </conditionalFormatting>
  <conditionalFormatting sqref="F427 H427">
    <cfRule type="expression" dxfId="797" priority="21">
      <formula>F427&gt;0</formula>
    </cfRule>
    <cfRule type="expression" dxfId="796" priority="22">
      <formula>F427&lt;0</formula>
    </cfRule>
  </conditionalFormatting>
  <conditionalFormatting sqref="F428:F432 H428:H432">
    <cfRule type="expression" dxfId="795" priority="19">
      <formula>F428&gt;0</formula>
    </cfRule>
    <cfRule type="expression" dxfId="794" priority="20">
      <formula>F428&lt;0</formula>
    </cfRule>
  </conditionalFormatting>
  <conditionalFormatting sqref="F440:F455 H440:H455">
    <cfRule type="expression" dxfId="793" priority="17">
      <formula>F440&gt;0</formula>
    </cfRule>
    <cfRule type="expression" dxfId="792" priority="18">
      <formula>F440&lt;0</formula>
    </cfRule>
  </conditionalFormatting>
  <conditionalFormatting sqref="F433:F439">
    <cfRule type="expression" dxfId="791" priority="15">
      <formula>F433&gt;0</formula>
    </cfRule>
    <cfRule type="expression" dxfId="790" priority="16">
      <formula>F433&lt;0</formula>
    </cfRule>
  </conditionalFormatting>
  <conditionalFormatting sqref="H433:H439">
    <cfRule type="expression" dxfId="789" priority="13">
      <formula>H433&gt;0</formula>
    </cfRule>
    <cfRule type="expression" dxfId="788" priority="14">
      <formula>H433&lt;0</formula>
    </cfRule>
  </conditionalFormatting>
  <conditionalFormatting sqref="F456:F461 H456:H461">
    <cfRule type="expression" dxfId="787" priority="11">
      <formula>F456&gt;0</formula>
    </cfRule>
    <cfRule type="expression" dxfId="786" priority="12">
      <formula>F456&lt;0</formula>
    </cfRule>
  </conditionalFormatting>
  <conditionalFormatting sqref="F462 H462">
    <cfRule type="expression" dxfId="785" priority="9">
      <formula>F462&gt;0</formula>
    </cfRule>
    <cfRule type="expression" dxfId="784" priority="10">
      <formula>F462&lt;0</formula>
    </cfRule>
  </conditionalFormatting>
  <conditionalFormatting sqref="F463:F467 H463:H467">
    <cfRule type="expression" dxfId="783" priority="7">
      <formula>F463&gt;0</formula>
    </cfRule>
    <cfRule type="expression" dxfId="782" priority="8">
      <formula>F463&lt;0</formula>
    </cfRule>
  </conditionalFormatting>
  <conditionalFormatting sqref="F475:F490 H475:H490">
    <cfRule type="expression" dxfId="781" priority="5">
      <formula>F475&gt;0</formula>
    </cfRule>
    <cfRule type="expression" dxfId="780" priority="6">
      <formula>F475&lt;0</formula>
    </cfRule>
  </conditionalFormatting>
  <conditionalFormatting sqref="F468:F474">
    <cfRule type="expression" dxfId="779" priority="3">
      <formula>F468&gt;0</formula>
    </cfRule>
    <cfRule type="expression" dxfId="778" priority="4">
      <formula>F468&lt;0</formula>
    </cfRule>
  </conditionalFormatting>
  <conditionalFormatting sqref="H468:H474">
    <cfRule type="expression" dxfId="777" priority="1">
      <formula>H468&gt;0</formula>
    </cfRule>
    <cfRule type="expression" dxfId="776" priority="2">
      <formula>H468&lt;0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E17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3.5703125" customWidth="1"/>
    <col min="23" max="23" width="10.42578125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200</v>
      </c>
      <c r="B2" s="509">
        <v>42718</v>
      </c>
      <c r="C2" s="4">
        <v>200</v>
      </c>
      <c r="D2" s="3">
        <v>34.78</v>
      </c>
      <c r="E2" s="3">
        <v>0</v>
      </c>
      <c r="F2" s="3">
        <f t="shared" ref="F2:F5" si="0">D2*C2+E2</f>
        <v>6956</v>
      </c>
      <c r="G2" s="74"/>
      <c r="H2" s="4"/>
      <c r="I2" s="3"/>
      <c r="J2" s="3"/>
      <c r="K2" s="3"/>
      <c r="L2" s="74"/>
      <c r="M2" s="3"/>
      <c r="N2" s="4"/>
      <c r="O2" s="11" t="s">
        <v>57</v>
      </c>
      <c r="Q2">
        <f>C28-H28</f>
        <v>500</v>
      </c>
      <c r="T2" s="630" t="s">
        <v>436</v>
      </c>
      <c r="W2" s="133">
        <v>42768</v>
      </c>
      <c r="X2" s="10">
        <v>33.71</v>
      </c>
      <c r="Y2" s="10">
        <v>34.159999999999997</v>
      </c>
      <c r="Z2" s="10">
        <v>33.71</v>
      </c>
      <c r="AA2" s="10">
        <v>34.1</v>
      </c>
      <c r="AB2" s="95">
        <v>6351100</v>
      </c>
      <c r="AC2" s="10">
        <v>34.1</v>
      </c>
      <c r="AD2" s="2">
        <f>Y2-Z2</f>
        <v>0.44999999999999574</v>
      </c>
      <c r="AE2" s="138">
        <f>AC2/AC3-1</f>
        <v>1.9736842105263275E-2</v>
      </c>
    </row>
    <row r="3" spans="1:31" x14ac:dyDescent="0.25">
      <c r="A3" s="23" t="s">
        <v>71</v>
      </c>
      <c r="B3" s="509">
        <v>42738</v>
      </c>
      <c r="C3" s="4">
        <v>100</v>
      </c>
      <c r="D3" s="3">
        <v>33.78</v>
      </c>
      <c r="E3" s="3">
        <v>0</v>
      </c>
      <c r="F3" s="3">
        <f t="shared" si="0"/>
        <v>3378</v>
      </c>
      <c r="G3" s="4"/>
      <c r="H3" s="4"/>
      <c r="I3" s="3"/>
      <c r="J3" s="3"/>
      <c r="K3" s="3"/>
      <c r="L3" s="74"/>
      <c r="M3" s="3"/>
      <c r="N3" s="4"/>
      <c r="O3" s="11" t="s">
        <v>58</v>
      </c>
      <c r="Q3" s="495">
        <f>IF(Q2=0, Q4, (F28-K28-M28)/Q2)</f>
        <v>34.142000000000003</v>
      </c>
      <c r="T3" s="1"/>
      <c r="W3" s="133">
        <v>42767</v>
      </c>
      <c r="X3" s="10">
        <v>33.81</v>
      </c>
      <c r="Y3" s="10">
        <v>33.9</v>
      </c>
      <c r="Z3" s="10">
        <v>33.28</v>
      </c>
      <c r="AA3" s="10">
        <v>33.44</v>
      </c>
      <c r="AB3" s="95">
        <v>4965300</v>
      </c>
      <c r="AC3" s="10">
        <v>33.44</v>
      </c>
      <c r="AD3" s="2">
        <f t="shared" ref="AD3:AD66" si="1">Y3-Z3</f>
        <v>0.61999999999999744</v>
      </c>
      <c r="AE3" s="138">
        <f t="shared" ref="AE3:AE66" si="2">AC3/AC4-1</f>
        <v>-1.531213191990588E-2</v>
      </c>
    </row>
    <row r="4" spans="1:31" x14ac:dyDescent="0.25">
      <c r="B4" s="510">
        <v>42754</v>
      </c>
      <c r="C4" s="4">
        <v>100</v>
      </c>
      <c r="D4" s="3">
        <v>34.270000000000003</v>
      </c>
      <c r="E4" s="3">
        <v>0</v>
      </c>
      <c r="F4" s="3">
        <f t="shared" si="0"/>
        <v>3427.0000000000005</v>
      </c>
      <c r="G4" s="74"/>
      <c r="H4" s="185"/>
      <c r="I4" s="3"/>
      <c r="J4" s="3"/>
      <c r="K4" s="3"/>
      <c r="L4" s="74"/>
      <c r="M4" s="3"/>
      <c r="N4" s="4"/>
      <c r="O4" s="11" t="s">
        <v>66</v>
      </c>
      <c r="Q4" s="497">
        <v>34.020000000000003</v>
      </c>
      <c r="R4" s="505">
        <v>-2.3E-3</v>
      </c>
      <c r="T4" s="163"/>
      <c r="W4" s="133">
        <v>42766</v>
      </c>
      <c r="X4" s="10">
        <v>33.619999999999997</v>
      </c>
      <c r="Y4" s="10">
        <v>33.97</v>
      </c>
      <c r="Z4" s="10">
        <v>33.42</v>
      </c>
      <c r="AA4" s="10">
        <v>33.96</v>
      </c>
      <c r="AB4" s="95">
        <v>5789500</v>
      </c>
      <c r="AC4" s="10">
        <v>33.96</v>
      </c>
      <c r="AD4" s="2">
        <f t="shared" si="1"/>
        <v>0.54999999999999716</v>
      </c>
      <c r="AE4" s="138">
        <f t="shared" si="2"/>
        <v>1.0714285714285676E-2</v>
      </c>
    </row>
    <row r="5" spans="1:31" x14ac:dyDescent="0.25">
      <c r="B5" s="510">
        <v>42762</v>
      </c>
      <c r="C5" s="4">
        <v>100</v>
      </c>
      <c r="D5" s="2">
        <v>33.1</v>
      </c>
      <c r="E5" s="2">
        <v>0</v>
      </c>
      <c r="F5" s="3">
        <f t="shared" si="0"/>
        <v>3310</v>
      </c>
      <c r="G5" s="74"/>
      <c r="H5" s="185"/>
      <c r="I5" s="3"/>
      <c r="J5" s="3"/>
      <c r="K5" s="3"/>
      <c r="L5" s="4"/>
      <c r="M5" s="4"/>
      <c r="N5" s="4"/>
      <c r="O5" s="11" t="s">
        <v>67</v>
      </c>
      <c r="Q5" s="3">
        <f>Q4*Q2</f>
        <v>17010</v>
      </c>
      <c r="W5" s="133">
        <v>42765</v>
      </c>
      <c r="X5" s="10">
        <v>33.24</v>
      </c>
      <c r="Y5" s="10">
        <v>33.619999999999997</v>
      </c>
      <c r="Z5" s="10">
        <v>33.1</v>
      </c>
      <c r="AA5" s="10">
        <v>33.6</v>
      </c>
      <c r="AB5" s="95">
        <v>4063800</v>
      </c>
      <c r="AC5" s="10">
        <v>33.6</v>
      </c>
      <c r="AD5" s="2">
        <f t="shared" si="1"/>
        <v>0.51999999999999602</v>
      </c>
      <c r="AE5" s="138">
        <f t="shared" si="2"/>
        <v>7.194244604316502E-3</v>
      </c>
    </row>
    <row r="6" spans="1:31" x14ac:dyDescent="0.25">
      <c r="B6" s="30"/>
      <c r="C6" s="4"/>
      <c r="G6" s="74"/>
      <c r="H6" s="185"/>
      <c r="I6" s="3"/>
      <c r="J6" s="3"/>
      <c r="K6" s="3"/>
      <c r="O6" s="11" t="s">
        <v>64</v>
      </c>
      <c r="Q6" s="2">
        <f>Q3*Q2</f>
        <v>17071</v>
      </c>
      <c r="W6" s="133">
        <v>42762</v>
      </c>
      <c r="X6" s="10">
        <v>33.74</v>
      </c>
      <c r="Y6" s="10">
        <v>33.74</v>
      </c>
      <c r="Z6" s="10">
        <v>32.99</v>
      </c>
      <c r="AA6" s="10">
        <v>33.36</v>
      </c>
      <c r="AB6" s="95">
        <v>5281900</v>
      </c>
      <c r="AC6" s="10">
        <v>33.36</v>
      </c>
      <c r="AD6" s="2">
        <f t="shared" si="1"/>
        <v>0.75</v>
      </c>
      <c r="AE6" s="138">
        <f t="shared" si="2"/>
        <v>-1.126259632483706E-2</v>
      </c>
    </row>
    <row r="7" spans="1:31" x14ac:dyDescent="0.25">
      <c r="B7" s="509"/>
      <c r="C7" s="4"/>
      <c r="D7" s="3"/>
      <c r="E7" s="3"/>
      <c r="F7" s="3"/>
      <c r="G7" s="74"/>
      <c r="H7" s="185"/>
      <c r="I7" s="3"/>
      <c r="J7" s="3"/>
      <c r="K7" s="3"/>
      <c r="O7" s="11" t="s">
        <v>181</v>
      </c>
      <c r="Q7" s="2">
        <f>Q10+Q8</f>
        <v>1686.9699999999939</v>
      </c>
      <c r="R7">
        <v>300</v>
      </c>
      <c r="W7" s="133">
        <v>42761</v>
      </c>
      <c r="X7" s="10">
        <v>33.619999999999997</v>
      </c>
      <c r="Y7" s="10">
        <v>34.03</v>
      </c>
      <c r="Z7" s="10">
        <v>33.57</v>
      </c>
      <c r="AA7" s="10">
        <v>33.74</v>
      </c>
      <c r="AB7" s="95">
        <v>5524800</v>
      </c>
      <c r="AC7" s="10">
        <v>33.74</v>
      </c>
      <c r="AD7" s="2">
        <f t="shared" si="1"/>
        <v>0.46000000000000085</v>
      </c>
      <c r="AE7" s="138">
        <f t="shared" si="2"/>
        <v>8.066925605019426E-3</v>
      </c>
    </row>
    <row r="8" spans="1:31" x14ac:dyDescent="0.25">
      <c r="B8" s="509"/>
      <c r="C8" s="4"/>
      <c r="D8" s="3"/>
      <c r="E8" s="3"/>
      <c r="F8" s="3"/>
      <c r="G8" s="74"/>
      <c r="H8" s="185"/>
      <c r="I8" s="3"/>
      <c r="J8" s="3"/>
      <c r="K8" s="3"/>
      <c r="O8" s="11" t="s">
        <v>184</v>
      </c>
      <c r="P8" s="34"/>
      <c r="Q8" s="2">
        <f>K28+M28-F28+Q2*Q4</f>
        <v>-61</v>
      </c>
      <c r="W8" s="133">
        <v>42760</v>
      </c>
      <c r="X8" s="10">
        <v>33.57</v>
      </c>
      <c r="Y8" s="10">
        <v>33.94</v>
      </c>
      <c r="Z8" s="10">
        <v>33.22</v>
      </c>
      <c r="AA8" s="10">
        <v>33.47</v>
      </c>
      <c r="AB8" s="95">
        <v>6371200</v>
      </c>
      <c r="AC8" s="10">
        <v>33.47</v>
      </c>
      <c r="AD8" s="2">
        <f t="shared" si="1"/>
        <v>0.71999999999999886</v>
      </c>
      <c r="AE8" s="138">
        <f t="shared" si="2"/>
        <v>2.3959269242288528E-3</v>
      </c>
    </row>
    <row r="9" spans="1:31" x14ac:dyDescent="0.25">
      <c r="B9" s="509"/>
      <c r="C9" s="4"/>
      <c r="D9" s="3"/>
      <c r="E9" s="3"/>
      <c r="F9" s="3"/>
      <c r="G9" s="74"/>
      <c r="H9" s="185"/>
      <c r="I9" s="3"/>
      <c r="J9" s="3"/>
      <c r="K9" s="3"/>
      <c r="O9" s="11" t="s">
        <v>214</v>
      </c>
      <c r="Q9" s="138">
        <f>IF(Q2=0, 0, Q8/Q6)</f>
        <v>-3.5733114638861227E-3</v>
      </c>
      <c r="W9" s="133">
        <v>42759</v>
      </c>
      <c r="X9" s="10">
        <v>33.450000000000003</v>
      </c>
      <c r="Y9" s="10">
        <v>33.64</v>
      </c>
      <c r="Z9" s="10">
        <v>33.29</v>
      </c>
      <c r="AA9" s="10">
        <v>33.39</v>
      </c>
      <c r="AB9" s="95">
        <v>6903100</v>
      </c>
      <c r="AC9" s="10">
        <v>33.39</v>
      </c>
      <c r="AD9" s="2">
        <f t="shared" si="1"/>
        <v>0.35000000000000142</v>
      </c>
      <c r="AE9" s="138">
        <f t="shared" si="2"/>
        <v>-4.1753653444676075E-3</v>
      </c>
    </row>
    <row r="10" spans="1:31" x14ac:dyDescent="0.25">
      <c r="B10" s="509"/>
      <c r="C10" s="4"/>
      <c r="D10" s="3"/>
      <c r="E10" s="3"/>
      <c r="F10" s="3"/>
      <c r="G10" s="74"/>
      <c r="H10" s="185"/>
      <c r="I10" s="3"/>
      <c r="J10" s="3"/>
      <c r="K10" s="3"/>
      <c r="O10" s="11" t="s">
        <v>213</v>
      </c>
      <c r="P10" s="34"/>
      <c r="Q10" s="2">
        <f>M145</f>
        <v>1747.9699999999939</v>
      </c>
      <c r="W10" s="133">
        <v>42758</v>
      </c>
      <c r="X10" s="10">
        <v>34.08</v>
      </c>
      <c r="Y10" s="10">
        <v>34.14</v>
      </c>
      <c r="Z10" s="10">
        <v>33.450000000000003</v>
      </c>
      <c r="AA10" s="10">
        <v>33.53</v>
      </c>
      <c r="AB10" s="95">
        <v>5152700</v>
      </c>
      <c r="AC10" s="10">
        <v>33.53</v>
      </c>
      <c r="AD10" s="2">
        <f t="shared" si="1"/>
        <v>0.68999999999999773</v>
      </c>
      <c r="AE10" s="138">
        <f t="shared" si="2"/>
        <v>-1.6427104722792629E-2</v>
      </c>
    </row>
    <row r="11" spans="1:31" x14ac:dyDescent="0.25">
      <c r="B11" s="509"/>
      <c r="C11" s="4"/>
      <c r="D11" s="3"/>
      <c r="E11" s="3"/>
      <c r="F11" s="3"/>
      <c r="G11" s="74"/>
      <c r="H11" s="185"/>
      <c r="I11" s="3"/>
      <c r="J11" s="3"/>
      <c r="K11" s="3"/>
      <c r="O11" s="11" t="s">
        <v>178</v>
      </c>
      <c r="P11" s="34"/>
      <c r="Q11" s="138">
        <f>VALUE(TRIM(CLEAN(MID(U58, FIND("(", U58)+1, 5))))</f>
        <v>1.43E-2</v>
      </c>
      <c r="W11" s="133">
        <v>42755</v>
      </c>
      <c r="X11" s="10">
        <v>34.43</v>
      </c>
      <c r="Y11" s="10">
        <v>34.6</v>
      </c>
      <c r="Z11" s="10">
        <v>34.020000000000003</v>
      </c>
      <c r="AA11" s="10">
        <v>34.090000000000003</v>
      </c>
      <c r="AB11" s="95">
        <v>6744900</v>
      </c>
      <c r="AC11" s="10">
        <v>34.090000000000003</v>
      </c>
      <c r="AD11" s="2">
        <f t="shared" si="1"/>
        <v>0.57999999999999829</v>
      </c>
      <c r="AE11" s="138">
        <f t="shared" si="2"/>
        <v>-4.9620548744890858E-3</v>
      </c>
    </row>
    <row r="12" spans="1:31" x14ac:dyDescent="0.25">
      <c r="B12" s="509"/>
      <c r="C12" s="4"/>
      <c r="D12" s="3"/>
      <c r="E12" s="3"/>
      <c r="F12" s="3"/>
      <c r="G12" s="74"/>
      <c r="H12" s="185"/>
      <c r="I12" s="3"/>
      <c r="J12" s="3"/>
      <c r="K12" s="3"/>
      <c r="W12" s="133">
        <v>42754</v>
      </c>
      <c r="X12" s="10">
        <v>34.74</v>
      </c>
      <c r="Y12" s="10">
        <v>34.99</v>
      </c>
      <c r="Z12" s="10">
        <v>34.26</v>
      </c>
      <c r="AA12" s="10">
        <v>34.26</v>
      </c>
      <c r="AB12" s="95">
        <v>6842500</v>
      </c>
      <c r="AC12" s="10">
        <v>34.26</v>
      </c>
      <c r="AD12" s="2">
        <f t="shared" si="1"/>
        <v>0.73000000000000398</v>
      </c>
      <c r="AE12" s="138">
        <f t="shared" si="2"/>
        <v>-1.8619306788885681E-2</v>
      </c>
    </row>
    <row r="13" spans="1:31" x14ac:dyDescent="0.25">
      <c r="B13" s="509"/>
      <c r="C13" s="4"/>
      <c r="D13" s="3"/>
      <c r="E13" s="3"/>
      <c r="F13" s="3"/>
      <c r="G13" s="74"/>
      <c r="H13" s="185"/>
      <c r="I13" s="3"/>
      <c r="J13" s="3"/>
      <c r="K13" s="3"/>
      <c r="W13" s="133">
        <v>42753</v>
      </c>
      <c r="X13" s="10">
        <v>34.89</v>
      </c>
      <c r="Y13" s="10">
        <v>34.99</v>
      </c>
      <c r="Z13" s="10">
        <v>34.340000000000003</v>
      </c>
      <c r="AA13" s="10">
        <v>34.909999999999997</v>
      </c>
      <c r="AB13" s="95">
        <v>5395900</v>
      </c>
      <c r="AC13" s="10">
        <v>34.909999999999997</v>
      </c>
      <c r="AD13" s="2">
        <f t="shared" si="1"/>
        <v>0.64999999999999858</v>
      </c>
      <c r="AE13" s="138">
        <f t="shared" si="2"/>
        <v>2.0091848450054517E-3</v>
      </c>
    </row>
    <row r="14" spans="1:31" x14ac:dyDescent="0.25">
      <c r="B14" s="509"/>
      <c r="C14" s="4"/>
      <c r="D14" s="3"/>
      <c r="E14" s="3"/>
      <c r="F14" s="3"/>
      <c r="G14" s="74"/>
      <c r="H14" s="185"/>
      <c r="I14" s="3"/>
      <c r="J14" s="3"/>
      <c r="K14" s="3"/>
      <c r="W14" s="133">
        <v>42752</v>
      </c>
      <c r="X14" s="10">
        <v>34.1</v>
      </c>
      <c r="Y14" s="10">
        <v>34.94</v>
      </c>
      <c r="Z14" s="10">
        <v>34</v>
      </c>
      <c r="AA14" s="10">
        <v>34.840000000000003</v>
      </c>
      <c r="AB14" s="95">
        <v>7245000</v>
      </c>
      <c r="AC14" s="10">
        <v>34.840000000000003</v>
      </c>
      <c r="AD14" s="2">
        <f t="shared" si="1"/>
        <v>0.93999999999999773</v>
      </c>
      <c r="AE14" s="138">
        <f t="shared" si="2"/>
        <v>2.170087976539592E-2</v>
      </c>
    </row>
    <row r="15" spans="1:31" x14ac:dyDescent="0.25">
      <c r="B15" s="509"/>
      <c r="C15" s="4"/>
      <c r="D15" s="3"/>
      <c r="E15" s="3"/>
      <c r="F15" s="3"/>
      <c r="G15" s="74"/>
      <c r="H15" s="185"/>
      <c r="I15" s="3"/>
      <c r="J15" s="3"/>
      <c r="K15" s="3"/>
      <c r="W15" s="133">
        <v>42748</v>
      </c>
      <c r="X15" s="10">
        <v>33.729999999999997</v>
      </c>
      <c r="Y15" s="10">
        <v>34.43</v>
      </c>
      <c r="Z15" s="10">
        <v>33.6</v>
      </c>
      <c r="AA15" s="10">
        <v>34.1</v>
      </c>
      <c r="AB15" s="95">
        <v>6880900</v>
      </c>
      <c r="AC15" s="10">
        <v>34.1</v>
      </c>
      <c r="AD15" s="2">
        <f t="shared" si="1"/>
        <v>0.82999999999999829</v>
      </c>
      <c r="AE15" s="138">
        <f t="shared" si="2"/>
        <v>1.7303102625298328E-2</v>
      </c>
    </row>
    <row r="16" spans="1:31" x14ac:dyDescent="0.25">
      <c r="B16" s="509"/>
      <c r="C16" s="4"/>
      <c r="D16" s="3"/>
      <c r="E16" s="3"/>
      <c r="F16" s="3"/>
      <c r="G16" s="74"/>
      <c r="H16" s="185"/>
      <c r="I16" s="3"/>
      <c r="J16" s="3"/>
      <c r="K16" s="3"/>
      <c r="W16" s="133">
        <v>42747</v>
      </c>
      <c r="X16" s="10">
        <v>33</v>
      </c>
      <c r="Y16" s="10">
        <v>33.64</v>
      </c>
      <c r="Z16" s="10">
        <v>32.93</v>
      </c>
      <c r="AA16" s="10">
        <v>33.520000000000003</v>
      </c>
      <c r="AB16" s="95">
        <v>6169900</v>
      </c>
      <c r="AC16" s="10">
        <v>33.520000000000003</v>
      </c>
      <c r="AD16" s="2">
        <f t="shared" si="1"/>
        <v>0.71000000000000085</v>
      </c>
      <c r="AE16" s="138">
        <f t="shared" si="2"/>
        <v>1.3607499244027821E-2</v>
      </c>
    </row>
    <row r="17" spans="1:31" x14ac:dyDescent="0.25">
      <c r="B17" s="509"/>
      <c r="C17" s="4"/>
      <c r="D17" s="3"/>
      <c r="E17" s="3"/>
      <c r="F17" s="3"/>
      <c r="G17" s="74"/>
      <c r="H17" s="185"/>
      <c r="I17" s="3"/>
      <c r="J17" s="3"/>
      <c r="K17" s="3"/>
      <c r="W17" s="133">
        <v>42746</v>
      </c>
      <c r="X17" s="10">
        <v>32.950000000000003</v>
      </c>
      <c r="Y17" s="10">
        <v>33.28</v>
      </c>
      <c r="Z17" s="10">
        <v>32.9</v>
      </c>
      <c r="AA17" s="10">
        <v>33.07</v>
      </c>
      <c r="AB17" s="95">
        <v>4612600</v>
      </c>
      <c r="AC17" s="10">
        <v>33.07</v>
      </c>
      <c r="AD17" s="2">
        <f t="shared" si="1"/>
        <v>0.38000000000000256</v>
      </c>
      <c r="AE17" s="138">
        <f t="shared" si="2"/>
        <v>-3.6155468514612599E-3</v>
      </c>
    </row>
    <row r="18" spans="1:31" x14ac:dyDescent="0.25">
      <c r="B18" s="509"/>
      <c r="C18" s="4"/>
      <c r="D18" s="3"/>
      <c r="E18" s="3"/>
      <c r="F18" s="3"/>
      <c r="G18" s="74"/>
      <c r="H18" s="185"/>
      <c r="I18" s="3"/>
      <c r="J18" s="3"/>
      <c r="K18" s="3"/>
      <c r="W18" s="133">
        <v>42745</v>
      </c>
      <c r="X18" s="10">
        <v>32.840000000000003</v>
      </c>
      <c r="Y18" s="10">
        <v>33.450000000000003</v>
      </c>
      <c r="Z18" s="10">
        <v>32.82</v>
      </c>
      <c r="AA18" s="10">
        <v>33.19</v>
      </c>
      <c r="AB18" s="95">
        <v>7137600</v>
      </c>
      <c r="AC18" s="10">
        <v>33.19</v>
      </c>
      <c r="AD18" s="2">
        <f t="shared" si="1"/>
        <v>0.63000000000000256</v>
      </c>
      <c r="AE18" s="138">
        <f t="shared" si="2"/>
        <v>8.2017010935599988E-3</v>
      </c>
    </row>
    <row r="19" spans="1:31" x14ac:dyDescent="0.25">
      <c r="B19" s="509"/>
      <c r="C19" s="4"/>
      <c r="D19" s="3"/>
      <c r="E19" s="3"/>
      <c r="F19" s="3"/>
      <c r="G19" s="74"/>
      <c r="H19" s="185"/>
      <c r="I19" s="3"/>
      <c r="J19" s="3"/>
      <c r="K19" s="3"/>
      <c r="W19" s="133">
        <v>42744</v>
      </c>
      <c r="X19" s="10">
        <v>33.17</v>
      </c>
      <c r="Y19" s="10">
        <v>33.19</v>
      </c>
      <c r="Z19" s="10">
        <v>32.799999999999997</v>
      </c>
      <c r="AA19" s="10">
        <v>32.92</v>
      </c>
      <c r="AB19" s="95">
        <v>5174100</v>
      </c>
      <c r="AC19" s="10">
        <v>32.92</v>
      </c>
      <c r="AD19" s="2">
        <f t="shared" si="1"/>
        <v>0.39000000000000057</v>
      </c>
      <c r="AE19" s="138">
        <f t="shared" si="2"/>
        <v>-5.7384475989126216E-3</v>
      </c>
    </row>
    <row r="20" spans="1:31" x14ac:dyDescent="0.25">
      <c r="B20" s="509"/>
      <c r="C20" s="4"/>
      <c r="D20" s="3"/>
      <c r="E20" s="3"/>
      <c r="F20" s="3"/>
      <c r="G20" s="4"/>
      <c r="H20" s="4"/>
      <c r="I20" s="3"/>
      <c r="J20" s="3"/>
      <c r="K20" s="3"/>
      <c r="W20" s="133">
        <v>42741</v>
      </c>
      <c r="X20" s="10">
        <v>33.119999999999997</v>
      </c>
      <c r="Y20" s="10">
        <v>33.18</v>
      </c>
      <c r="Z20" s="10">
        <v>32.72</v>
      </c>
      <c r="AA20" s="10">
        <v>33.11</v>
      </c>
      <c r="AB20" s="95">
        <v>9158900</v>
      </c>
      <c r="AC20" s="10">
        <v>33.11</v>
      </c>
      <c r="AD20" s="2">
        <f t="shared" si="1"/>
        <v>0.46000000000000085</v>
      </c>
      <c r="AE20" s="138">
        <f t="shared" si="2"/>
        <v>-3.0111412225233281E-3</v>
      </c>
    </row>
    <row r="21" spans="1:31" x14ac:dyDescent="0.25">
      <c r="B21" s="509"/>
      <c r="C21" s="4"/>
      <c r="D21" s="3"/>
      <c r="E21" s="3"/>
      <c r="F21" s="3"/>
      <c r="G21" s="4"/>
      <c r="H21" s="4"/>
      <c r="I21" s="3"/>
      <c r="J21" s="3"/>
      <c r="K21" s="3"/>
      <c r="W21" s="133">
        <v>42740</v>
      </c>
      <c r="X21" s="10">
        <v>33.14</v>
      </c>
      <c r="Y21" s="10">
        <v>33.26</v>
      </c>
      <c r="Z21" s="10">
        <v>32.69</v>
      </c>
      <c r="AA21" s="10">
        <v>33.21</v>
      </c>
      <c r="AB21" s="95">
        <v>9876900</v>
      </c>
      <c r="AC21" s="10">
        <v>33.21</v>
      </c>
      <c r="AD21" s="2">
        <f t="shared" si="1"/>
        <v>0.57000000000000028</v>
      </c>
      <c r="AE21" s="138">
        <f t="shared" si="2"/>
        <v>-9.0252707581228719E-4</v>
      </c>
    </row>
    <row r="22" spans="1:31" x14ac:dyDescent="0.25">
      <c r="B22" s="509"/>
      <c r="C22" s="4"/>
      <c r="D22" s="3"/>
      <c r="E22" s="3"/>
      <c r="F22" s="3"/>
      <c r="G22" s="4"/>
      <c r="H22" s="4"/>
      <c r="I22" s="3"/>
      <c r="J22" s="3"/>
      <c r="K22" s="3"/>
      <c r="W22" s="133">
        <v>42739</v>
      </c>
      <c r="X22" s="10">
        <v>33.78</v>
      </c>
      <c r="Y22" s="10">
        <v>33.840000000000003</v>
      </c>
      <c r="Z22" s="10">
        <v>33.22</v>
      </c>
      <c r="AA22" s="10">
        <v>33.24</v>
      </c>
      <c r="AB22" s="95">
        <v>9150800</v>
      </c>
      <c r="AC22" s="10">
        <v>33.24</v>
      </c>
      <c r="AD22" s="2">
        <f t="shared" si="1"/>
        <v>0.62000000000000455</v>
      </c>
      <c r="AE22" s="138">
        <f t="shared" si="2"/>
        <v>-1.4234875444839812E-2</v>
      </c>
    </row>
    <row r="23" spans="1:31" x14ac:dyDescent="0.25">
      <c r="B23" s="509"/>
      <c r="C23" s="4"/>
      <c r="D23" s="3"/>
      <c r="E23" s="3"/>
      <c r="F23" s="3"/>
      <c r="G23" s="4"/>
      <c r="H23" s="4"/>
      <c r="I23" s="3"/>
      <c r="J23" s="3"/>
      <c r="K23" s="3"/>
      <c r="W23" s="133">
        <v>42738</v>
      </c>
      <c r="X23" s="10">
        <v>34.5</v>
      </c>
      <c r="Y23" s="10">
        <v>34.51</v>
      </c>
      <c r="Z23" s="10">
        <v>33.42</v>
      </c>
      <c r="AA23" s="10">
        <v>33.72</v>
      </c>
      <c r="AB23" s="95">
        <v>9554600</v>
      </c>
      <c r="AC23" s="10">
        <v>33.72</v>
      </c>
      <c r="AD23" s="2">
        <f t="shared" si="1"/>
        <v>1.0899999999999963</v>
      </c>
      <c r="AE23" s="138">
        <f t="shared" si="2"/>
        <v>-2.2891915386844319E-2</v>
      </c>
    </row>
    <row r="24" spans="1:31" x14ac:dyDescent="0.25">
      <c r="B24" s="509"/>
      <c r="C24" s="4"/>
      <c r="D24" s="3"/>
      <c r="E24" s="3"/>
      <c r="F24" s="3"/>
      <c r="G24" s="4"/>
      <c r="H24" s="4"/>
      <c r="I24" s="3"/>
      <c r="J24" s="3"/>
      <c r="K24" s="3"/>
      <c r="W24" s="133">
        <v>42734</v>
      </c>
      <c r="X24" s="10">
        <v>34.630000000000003</v>
      </c>
      <c r="Y24" s="10">
        <v>34.83</v>
      </c>
      <c r="Z24" s="10">
        <v>34.409999999999997</v>
      </c>
      <c r="AA24" s="10">
        <v>34.51</v>
      </c>
      <c r="AB24" s="95">
        <v>3876600</v>
      </c>
      <c r="AC24" s="10">
        <v>34.51</v>
      </c>
      <c r="AD24" s="2">
        <f t="shared" si="1"/>
        <v>0.42000000000000171</v>
      </c>
      <c r="AE24" s="138">
        <f t="shared" si="2"/>
        <v>-2.3128071697023911E-3</v>
      </c>
    </row>
    <row r="25" spans="1:31" x14ac:dyDescent="0.25">
      <c r="B25" s="509"/>
      <c r="C25" s="4"/>
      <c r="D25" s="3"/>
      <c r="E25" s="3"/>
      <c r="F25" s="3"/>
      <c r="G25" s="4"/>
      <c r="H25" s="4"/>
      <c r="I25" s="3"/>
      <c r="J25" s="3"/>
      <c r="K25" s="3"/>
      <c r="W25" s="133">
        <v>42733</v>
      </c>
      <c r="X25" s="10">
        <v>34.67</v>
      </c>
      <c r="Y25" s="10">
        <v>34.880000000000003</v>
      </c>
      <c r="Z25" s="10">
        <v>34.54</v>
      </c>
      <c r="AA25" s="10">
        <v>34.590000000000003</v>
      </c>
      <c r="AB25" s="95">
        <v>3357300</v>
      </c>
      <c r="AC25" s="10">
        <v>34.590000000000003</v>
      </c>
      <c r="AD25" s="2">
        <f t="shared" si="1"/>
        <v>0.34000000000000341</v>
      </c>
      <c r="AE25" s="138">
        <f t="shared" si="2"/>
        <v>-2.5951557093424338E-3</v>
      </c>
    </row>
    <row r="26" spans="1:31" x14ac:dyDescent="0.25">
      <c r="B26" s="30"/>
      <c r="W26" s="133">
        <v>42732</v>
      </c>
      <c r="X26" s="10">
        <v>35.159999999999997</v>
      </c>
      <c r="Y26" s="10">
        <v>35.24</v>
      </c>
      <c r="Z26" s="10">
        <v>34.479999999999997</v>
      </c>
      <c r="AA26" s="10">
        <v>34.68</v>
      </c>
      <c r="AB26" s="95">
        <v>4910800</v>
      </c>
      <c r="AC26" s="10">
        <v>34.68</v>
      </c>
      <c r="AD26" s="2">
        <f t="shared" si="1"/>
        <v>0.76000000000000512</v>
      </c>
      <c r="AE26" s="138">
        <f t="shared" si="2"/>
        <v>-1.3932328689223783E-2</v>
      </c>
    </row>
    <row r="27" spans="1:31" x14ac:dyDescent="0.25">
      <c r="B27" s="30"/>
      <c r="W27" s="133">
        <v>42731</v>
      </c>
      <c r="X27" s="10">
        <v>34.97</v>
      </c>
      <c r="Y27" s="10">
        <v>35.270000000000003</v>
      </c>
      <c r="Z27" s="10">
        <v>34.869999999999997</v>
      </c>
      <c r="AA27" s="10">
        <v>35.17</v>
      </c>
      <c r="AB27" s="95">
        <v>3429800</v>
      </c>
      <c r="AC27" s="10">
        <v>35.17</v>
      </c>
      <c r="AD27" s="2">
        <f t="shared" si="1"/>
        <v>0.40000000000000568</v>
      </c>
      <c r="AE27" s="138">
        <f t="shared" si="2"/>
        <v>2.5655644241733278E-3</v>
      </c>
    </row>
    <row r="28" spans="1:31" x14ac:dyDescent="0.25">
      <c r="A28" s="32" t="s">
        <v>81</v>
      </c>
      <c r="B28" s="14"/>
      <c r="C28" s="14">
        <f>SUM(C2:C25)</f>
        <v>500</v>
      </c>
      <c r="D28" s="18"/>
      <c r="E28" s="18"/>
      <c r="F28" s="18">
        <f>SUM(F2:F25)</f>
        <v>17071</v>
      </c>
      <c r="G28" s="14"/>
      <c r="H28" s="14">
        <f>SUM(H2:H27)</f>
        <v>0</v>
      </c>
      <c r="I28" s="18"/>
      <c r="J28" s="18"/>
      <c r="K28" s="18">
        <f>SUM(K2:K27)</f>
        <v>0</v>
      </c>
      <c r="L28" s="14"/>
      <c r="M28" s="18">
        <f>SUM(M2:M27)</f>
        <v>0</v>
      </c>
      <c r="W28" s="133">
        <v>42727</v>
      </c>
      <c r="X28" s="10">
        <v>35.06</v>
      </c>
      <c r="Y28" s="10">
        <v>35.42</v>
      </c>
      <c r="Z28" s="10">
        <v>34.96</v>
      </c>
      <c r="AA28" s="10">
        <v>35.08</v>
      </c>
      <c r="AB28" s="95">
        <v>3398400</v>
      </c>
      <c r="AC28" s="10">
        <v>35.08</v>
      </c>
      <c r="AD28" s="2">
        <f t="shared" si="1"/>
        <v>0.46000000000000085</v>
      </c>
      <c r="AE28" s="138">
        <f t="shared" si="2"/>
        <v>2.8587764436820429E-3</v>
      </c>
    </row>
    <row r="29" spans="1:31" ht="15.75" thickBot="1" x14ac:dyDescent="0.3">
      <c r="A29" s="356" t="s">
        <v>198</v>
      </c>
      <c r="B29" s="357"/>
      <c r="C29" s="358">
        <f>SumByColor($A$29,C2:C27)</f>
        <v>0</v>
      </c>
      <c r="D29" s="358"/>
      <c r="E29" s="358"/>
      <c r="F29" s="359">
        <f>SumByColor($A$29,F2:F27)</f>
        <v>0</v>
      </c>
      <c r="G29" s="358"/>
      <c r="H29" s="358">
        <f>SumByColor($A$29,H2:H27)</f>
        <v>0</v>
      </c>
      <c r="I29" s="358"/>
      <c r="J29" s="358"/>
      <c r="K29" s="359">
        <f>SumByColor($A$29,K2:K27)</f>
        <v>0</v>
      </c>
      <c r="L29" s="358"/>
      <c r="M29" s="359">
        <f>SumByColor($A$29,M2:M27)</f>
        <v>0</v>
      </c>
      <c r="W29" s="133">
        <v>42726</v>
      </c>
      <c r="X29" s="10">
        <v>35.15</v>
      </c>
      <c r="Y29" s="10">
        <v>35.46</v>
      </c>
      <c r="Z29" s="10">
        <v>34.75</v>
      </c>
      <c r="AA29" s="10">
        <v>34.979999999999997</v>
      </c>
      <c r="AB29" s="95">
        <v>6358900</v>
      </c>
      <c r="AC29" s="10">
        <v>34.979999999999997</v>
      </c>
      <c r="AD29" s="2">
        <f t="shared" si="1"/>
        <v>0.71000000000000085</v>
      </c>
      <c r="AE29" s="138">
        <f t="shared" si="2"/>
        <v>-6.5322351604658602E-3</v>
      </c>
    </row>
    <row r="30" spans="1:31" x14ac:dyDescent="0.25">
      <c r="W30" s="133">
        <v>42725</v>
      </c>
      <c r="X30" s="10">
        <v>35.4</v>
      </c>
      <c r="Y30" s="10">
        <v>35.58</v>
      </c>
      <c r="Z30" s="10">
        <v>35.21</v>
      </c>
      <c r="AA30" s="10">
        <v>35.21</v>
      </c>
      <c r="AB30" s="95">
        <v>6075600</v>
      </c>
      <c r="AC30" s="10">
        <v>35.21</v>
      </c>
      <c r="AD30" s="2">
        <f t="shared" si="1"/>
        <v>0.36999999999999744</v>
      </c>
      <c r="AE30" s="138">
        <f t="shared" si="2"/>
        <v>-7.8895463510848529E-3</v>
      </c>
    </row>
    <row r="31" spans="1:31" x14ac:dyDescent="0.25">
      <c r="W31" s="133">
        <v>42724</v>
      </c>
      <c r="X31" s="10">
        <v>35.880000000000003</v>
      </c>
      <c r="Y31" s="10">
        <v>35.979999999999997</v>
      </c>
      <c r="Z31" s="10">
        <v>35.479999999999997</v>
      </c>
      <c r="AA31" s="10">
        <v>35.49</v>
      </c>
      <c r="AB31" s="95">
        <v>7667500</v>
      </c>
      <c r="AC31" s="10">
        <v>35.49</v>
      </c>
      <c r="AD31" s="2">
        <f t="shared" si="1"/>
        <v>0.5</v>
      </c>
      <c r="AE31" s="138">
        <f t="shared" si="2"/>
        <v>-1.0869565217391353E-2</v>
      </c>
    </row>
    <row r="32" spans="1:31" x14ac:dyDescent="0.25">
      <c r="W32" s="133">
        <v>42723</v>
      </c>
      <c r="X32" s="10">
        <v>36.03</v>
      </c>
      <c r="Y32" s="10">
        <v>36.44</v>
      </c>
      <c r="Z32" s="10">
        <v>35.78</v>
      </c>
      <c r="AA32" s="10">
        <v>35.880000000000003</v>
      </c>
      <c r="AB32" s="95">
        <v>8976000</v>
      </c>
      <c r="AC32" s="10">
        <v>35.880000000000003</v>
      </c>
      <c r="AD32" s="2">
        <f t="shared" si="1"/>
        <v>0.65999999999999659</v>
      </c>
      <c r="AE32" s="138">
        <f t="shared" si="2"/>
        <v>-1.6694490818028873E-3</v>
      </c>
    </row>
    <row r="33" spans="1:31" x14ac:dyDescent="0.25">
      <c r="W33" s="133">
        <v>42720</v>
      </c>
      <c r="X33" s="10">
        <v>36.020000000000003</v>
      </c>
      <c r="Y33" s="10">
        <v>36.090000000000003</v>
      </c>
      <c r="Z33" s="10">
        <v>35.659999999999997</v>
      </c>
      <c r="AA33" s="10">
        <v>35.94</v>
      </c>
      <c r="AB33" s="95">
        <v>10060200</v>
      </c>
      <c r="AC33" s="10">
        <v>35.94</v>
      </c>
      <c r="AD33" s="2">
        <f t="shared" si="1"/>
        <v>0.43000000000000682</v>
      </c>
      <c r="AE33" s="138">
        <f t="shared" si="2"/>
        <v>-5.5617352614023563E-4</v>
      </c>
    </row>
    <row r="34" spans="1:31" x14ac:dyDescent="0.25">
      <c r="B34" s="191" t="s">
        <v>114</v>
      </c>
      <c r="C34" s="191" t="s">
        <v>147</v>
      </c>
      <c r="D34" s="192" t="s">
        <v>146</v>
      </c>
      <c r="E34" s="194" t="s">
        <v>148</v>
      </c>
      <c r="F34" s="194" t="s">
        <v>65</v>
      </c>
      <c r="G34" s="229" t="s">
        <v>152</v>
      </c>
      <c r="H34" s="229" t="s">
        <v>88</v>
      </c>
      <c r="I34" s="229" t="s">
        <v>155</v>
      </c>
      <c r="W34" s="133">
        <v>42719</v>
      </c>
      <c r="X34" s="10">
        <v>34.770000000000003</v>
      </c>
      <c r="Y34" s="10">
        <v>36.049999999999997</v>
      </c>
      <c r="Z34" s="10">
        <v>34.6</v>
      </c>
      <c r="AA34" s="10">
        <v>35.96</v>
      </c>
      <c r="AB34" s="95">
        <v>12645600</v>
      </c>
      <c r="AC34" s="10">
        <v>35.96</v>
      </c>
      <c r="AD34" s="2">
        <f t="shared" si="1"/>
        <v>1.4499999999999957</v>
      </c>
      <c r="AE34" s="138">
        <f t="shared" si="2"/>
        <v>3.5714285714285809E-2</v>
      </c>
    </row>
    <row r="35" spans="1:31" x14ac:dyDescent="0.25">
      <c r="A35" t="s">
        <v>419</v>
      </c>
      <c r="B35" s="193">
        <v>42754</v>
      </c>
      <c r="C35" s="10">
        <v>400</v>
      </c>
      <c r="D35" s="40">
        <v>34.402500000000003</v>
      </c>
      <c r="E35" s="40">
        <v>34.26</v>
      </c>
      <c r="F35" s="40">
        <f t="shared" ref="F35" si="3">C35*(E35-D35)</f>
        <v>-57.00000000000216</v>
      </c>
      <c r="G35" s="40">
        <f t="shared" ref="G35" si="4">D35*C35</f>
        <v>13761.000000000002</v>
      </c>
      <c r="H35" s="231">
        <f t="shared" ref="H35" si="5">(E35-D35)/D35</f>
        <v>-4.1421408327884717E-3</v>
      </c>
      <c r="I35" s="40">
        <v>34</v>
      </c>
      <c r="W35" s="133">
        <v>42718</v>
      </c>
      <c r="X35" s="10">
        <v>34.700000000000003</v>
      </c>
      <c r="Y35" s="10">
        <v>35.380000000000003</v>
      </c>
      <c r="Z35" s="10">
        <v>34.6</v>
      </c>
      <c r="AA35" s="10">
        <v>34.72</v>
      </c>
      <c r="AB35" s="95">
        <v>10086800</v>
      </c>
      <c r="AC35" s="10">
        <v>34.72</v>
      </c>
      <c r="AD35" s="2">
        <f t="shared" si="1"/>
        <v>0.78000000000000114</v>
      </c>
      <c r="AE35" s="138">
        <f t="shared" si="2"/>
        <v>8.7158628704240293E-3</v>
      </c>
    </row>
    <row r="36" spans="1:31" x14ac:dyDescent="0.25">
      <c r="A36" t="s">
        <v>419</v>
      </c>
      <c r="B36" s="193">
        <v>42760</v>
      </c>
      <c r="C36" s="10">
        <v>400</v>
      </c>
      <c r="D36" s="40">
        <v>34.402500000000003</v>
      </c>
      <c r="E36" s="40">
        <v>33.47</v>
      </c>
      <c r="F36" s="40">
        <f t="shared" ref="F36" si="6">C36*(E36-D36)</f>
        <v>-373.00000000000182</v>
      </c>
      <c r="G36" s="40">
        <f t="shared" ref="G36" si="7">D36*C36</f>
        <v>13761.000000000002</v>
      </c>
      <c r="H36" s="231">
        <f t="shared" ref="H36" si="8">(E36-D36)/D36</f>
        <v>-2.7105588256667524E-2</v>
      </c>
      <c r="I36" s="40"/>
      <c r="W36" s="133">
        <v>42717</v>
      </c>
      <c r="X36" s="10">
        <v>34.020000000000003</v>
      </c>
      <c r="Y36" s="10">
        <v>34.53</v>
      </c>
      <c r="Z36" s="10">
        <v>33.840000000000003</v>
      </c>
      <c r="AA36" s="10">
        <v>34.42</v>
      </c>
      <c r="AB36" s="95">
        <v>6588600</v>
      </c>
      <c r="AC36" s="10">
        <v>34.42</v>
      </c>
      <c r="AD36" s="2">
        <f t="shared" si="1"/>
        <v>0.68999999999999773</v>
      </c>
      <c r="AE36" s="138">
        <f t="shared" si="2"/>
        <v>5.8445353594389626E-3</v>
      </c>
    </row>
    <row r="37" spans="1:31" x14ac:dyDescent="0.25">
      <c r="A37" t="s">
        <v>470</v>
      </c>
      <c r="B37" s="193">
        <v>42762</v>
      </c>
      <c r="C37" s="10">
        <v>500</v>
      </c>
      <c r="D37" s="40">
        <v>34.142000000000003</v>
      </c>
      <c r="E37" s="40">
        <v>33.36</v>
      </c>
      <c r="F37" s="40">
        <f t="shared" ref="F37" si="9">C37*(E37-D37)</f>
        <v>-391.00000000000182</v>
      </c>
      <c r="G37" s="40">
        <f t="shared" ref="G37" si="10">D37*C37</f>
        <v>17071</v>
      </c>
      <c r="H37" s="231">
        <f t="shared" ref="H37" si="11">(E37-D37)/D37</f>
        <v>-2.2904340694745579E-2</v>
      </c>
      <c r="I37" s="40">
        <v>33.75</v>
      </c>
      <c r="W37" s="133">
        <v>42716</v>
      </c>
      <c r="X37" s="10">
        <v>34.659999999999997</v>
      </c>
      <c r="Y37" s="10">
        <v>34.880000000000003</v>
      </c>
      <c r="Z37" s="10">
        <v>34.1</v>
      </c>
      <c r="AA37" s="10">
        <v>34.22</v>
      </c>
      <c r="AB37" s="95">
        <v>10577300</v>
      </c>
      <c r="AC37" s="10">
        <v>34.22</v>
      </c>
      <c r="AD37" s="2">
        <f t="shared" si="1"/>
        <v>0.78000000000000114</v>
      </c>
      <c r="AE37" s="138">
        <f t="shared" si="2"/>
        <v>-1.6101207590569322E-2</v>
      </c>
    </row>
    <row r="38" spans="1:31" x14ac:dyDescent="0.25">
      <c r="B38" s="10"/>
      <c r="C38" s="10"/>
      <c r="D38" s="40"/>
      <c r="E38" s="40"/>
      <c r="F38" s="40"/>
      <c r="G38" s="10"/>
      <c r="H38" s="10"/>
      <c r="I38" s="40"/>
      <c r="W38" s="133">
        <v>42713</v>
      </c>
      <c r="X38" s="10">
        <v>34.19</v>
      </c>
      <c r="Y38" s="10">
        <v>34.799999999999997</v>
      </c>
      <c r="Z38" s="10">
        <v>33.99</v>
      </c>
      <c r="AA38" s="10">
        <v>34.78</v>
      </c>
      <c r="AB38" s="95">
        <v>6898800</v>
      </c>
      <c r="AC38" s="10">
        <v>34.78</v>
      </c>
      <c r="AD38" s="2">
        <f t="shared" si="1"/>
        <v>0.80999999999999517</v>
      </c>
      <c r="AE38" s="138">
        <f t="shared" si="2"/>
        <v>1.7256507750804451E-2</v>
      </c>
    </row>
    <row r="39" spans="1:31" x14ac:dyDescent="0.25">
      <c r="B39" s="10"/>
      <c r="C39" s="10"/>
      <c r="D39" s="40"/>
      <c r="E39" s="40"/>
      <c r="F39" s="40"/>
      <c r="G39" s="10"/>
      <c r="H39" s="10"/>
      <c r="I39" s="40"/>
      <c r="W39" s="133">
        <v>42712</v>
      </c>
      <c r="X39" s="10">
        <v>33.869999999999997</v>
      </c>
      <c r="Y39" s="10">
        <v>34.369999999999997</v>
      </c>
      <c r="Z39" s="10">
        <v>33.5</v>
      </c>
      <c r="AA39" s="10">
        <v>34.19</v>
      </c>
      <c r="AB39" s="95">
        <v>7235000</v>
      </c>
      <c r="AC39" s="10">
        <v>34.19</v>
      </c>
      <c r="AD39" s="2">
        <f t="shared" si="1"/>
        <v>0.86999999999999744</v>
      </c>
      <c r="AE39" s="138">
        <f t="shared" si="2"/>
        <v>1.6651798988997824E-2</v>
      </c>
    </row>
    <row r="40" spans="1:31" ht="20.25" thickBot="1" x14ac:dyDescent="0.35">
      <c r="B40" s="10"/>
      <c r="C40" s="10"/>
      <c r="D40" s="40"/>
      <c r="E40" s="40"/>
      <c r="F40" s="40"/>
      <c r="G40" s="10"/>
      <c r="H40" s="10"/>
      <c r="I40" s="40"/>
      <c r="O40" s="638" t="s">
        <v>78</v>
      </c>
      <c r="P40" s="638"/>
      <c r="W40" s="133">
        <v>42711</v>
      </c>
      <c r="X40" s="10">
        <v>33.06</v>
      </c>
      <c r="Y40" s="10">
        <v>33.75</v>
      </c>
      <c r="Z40" s="10">
        <v>32.97</v>
      </c>
      <c r="AA40" s="10">
        <v>33.630000000000003</v>
      </c>
      <c r="AB40" s="95">
        <v>7508100</v>
      </c>
      <c r="AC40" s="10">
        <v>33.630000000000003</v>
      </c>
      <c r="AD40" s="2">
        <f t="shared" si="1"/>
        <v>0.78000000000000114</v>
      </c>
      <c r="AE40" s="138">
        <f t="shared" si="2"/>
        <v>1.693377683701236E-2</v>
      </c>
    </row>
    <row r="41" spans="1:31" ht="15.75" thickTop="1" x14ac:dyDescent="0.25">
      <c r="B41" s="10"/>
      <c r="C41" s="10"/>
      <c r="D41" s="40"/>
      <c r="E41" s="40"/>
      <c r="F41" s="40"/>
      <c r="G41" s="10"/>
      <c r="H41" s="10"/>
      <c r="I41" s="40"/>
      <c r="O41" s="83">
        <v>1.1000000000000001</v>
      </c>
      <c r="P41" s="83">
        <f>O41*$Q$4</f>
        <v>37.422000000000004</v>
      </c>
      <c r="Q41" s="2"/>
      <c r="W41" s="133">
        <v>42710</v>
      </c>
      <c r="X41" s="10">
        <v>32.83</v>
      </c>
      <c r="Y41" s="10">
        <v>33.090000000000003</v>
      </c>
      <c r="Z41" s="10">
        <v>32.47</v>
      </c>
      <c r="AA41" s="10">
        <v>33.07</v>
      </c>
      <c r="AB41" s="95">
        <v>8534500</v>
      </c>
      <c r="AC41" s="10">
        <v>33.07</v>
      </c>
      <c r="AD41" s="2">
        <f t="shared" si="1"/>
        <v>0.62000000000000455</v>
      </c>
      <c r="AE41" s="138">
        <f t="shared" si="2"/>
        <v>4.2514424536896911E-3</v>
      </c>
    </row>
    <row r="42" spans="1:31" ht="20.25" thickBot="1" x14ac:dyDescent="0.35">
      <c r="B42" s="10"/>
      <c r="C42" s="10"/>
      <c r="D42" s="40"/>
      <c r="E42" s="40"/>
      <c r="F42" s="40"/>
      <c r="G42" s="10"/>
      <c r="H42" s="10"/>
      <c r="I42" s="40"/>
      <c r="O42" s="83">
        <v>1.0900000000000001</v>
      </c>
      <c r="P42" s="83">
        <f t="shared" ref="P42:P61" si="12">O42*$Q$4</f>
        <v>37.081800000000008</v>
      </c>
      <c r="Q42" s="2"/>
      <c r="T42" s="91" t="s">
        <v>113</v>
      </c>
      <c r="W42" s="133">
        <v>42709</v>
      </c>
      <c r="X42" s="10">
        <v>33.130000000000003</v>
      </c>
      <c r="Y42" s="10">
        <v>33.22</v>
      </c>
      <c r="Z42" s="10">
        <v>32.700000000000003</v>
      </c>
      <c r="AA42" s="10">
        <v>32.93</v>
      </c>
      <c r="AB42" s="95">
        <v>10386900</v>
      </c>
      <c r="AC42" s="10">
        <v>32.93</v>
      </c>
      <c r="AD42" s="2">
        <f t="shared" si="1"/>
        <v>0.51999999999999602</v>
      </c>
      <c r="AE42" s="138">
        <f t="shared" si="2"/>
        <v>-1.1111111111111072E-2</v>
      </c>
    </row>
    <row r="43" spans="1:31" ht="15.75" thickTop="1" x14ac:dyDescent="0.25">
      <c r="O43" s="83">
        <v>1.08</v>
      </c>
      <c r="P43" s="83">
        <f t="shared" si="12"/>
        <v>36.741600000000005</v>
      </c>
      <c r="Q43" s="2"/>
      <c r="T43" s="128" t="s">
        <v>98</v>
      </c>
      <c r="U43" s="98">
        <v>33.44</v>
      </c>
      <c r="W43" s="133">
        <v>42706</v>
      </c>
      <c r="X43" s="10">
        <v>33.299999999999997</v>
      </c>
      <c r="Y43" s="10">
        <v>33.83</v>
      </c>
      <c r="Z43" s="10">
        <v>32.869999999999997</v>
      </c>
      <c r="AA43" s="10">
        <v>33.299999999999997</v>
      </c>
      <c r="AB43" s="95">
        <v>16218700</v>
      </c>
      <c r="AC43" s="10">
        <v>33.299999999999997</v>
      </c>
      <c r="AD43" s="2">
        <f t="shared" si="1"/>
        <v>0.96000000000000085</v>
      </c>
      <c r="AE43" s="138">
        <f t="shared" si="2"/>
        <v>-1.7985611510792365E-3</v>
      </c>
    </row>
    <row r="44" spans="1:31" x14ac:dyDescent="0.25">
      <c r="O44" s="83">
        <v>1.07</v>
      </c>
      <c r="P44" s="83">
        <f t="shared" si="12"/>
        <v>36.401400000000002</v>
      </c>
      <c r="Q44" s="2"/>
      <c r="T44" s="93" t="s">
        <v>99</v>
      </c>
      <c r="U44" s="88">
        <v>33.71</v>
      </c>
      <c r="W44" s="133">
        <v>42705</v>
      </c>
      <c r="X44" s="10">
        <v>31.16</v>
      </c>
      <c r="Y44" s="10">
        <v>33.4</v>
      </c>
      <c r="Z44" s="10">
        <v>31.09</v>
      </c>
      <c r="AA44" s="10">
        <v>33.36</v>
      </c>
      <c r="AB44" s="95">
        <v>18769000</v>
      </c>
      <c r="AC44" s="10">
        <v>33.36</v>
      </c>
      <c r="AD44" s="2">
        <f t="shared" si="1"/>
        <v>2.3099999999999987</v>
      </c>
      <c r="AE44" s="138">
        <f t="shared" si="2"/>
        <v>3.2817337461300333E-2</v>
      </c>
    </row>
    <row r="45" spans="1:31" x14ac:dyDescent="0.25">
      <c r="O45" s="83">
        <v>1.06</v>
      </c>
      <c r="P45" s="83">
        <f t="shared" si="12"/>
        <v>36.061200000000007</v>
      </c>
      <c r="Q45" s="2"/>
      <c r="T45" s="93" t="s">
        <v>100</v>
      </c>
      <c r="U45" s="88" t="s">
        <v>129</v>
      </c>
      <c r="W45" s="133">
        <v>42704</v>
      </c>
      <c r="X45" s="10">
        <v>32.81</v>
      </c>
      <c r="Y45" s="10">
        <v>32.81</v>
      </c>
      <c r="Z45" s="10">
        <v>31.95</v>
      </c>
      <c r="AA45" s="10">
        <v>32.299999999999997</v>
      </c>
      <c r="AB45" s="95">
        <v>13633400</v>
      </c>
      <c r="AC45" s="10">
        <v>32.299999999999997</v>
      </c>
      <c r="AD45" s="2">
        <f t="shared" si="1"/>
        <v>0.86000000000000298</v>
      </c>
      <c r="AE45" s="138">
        <f t="shared" si="2"/>
        <v>-2.4169184290030343E-2</v>
      </c>
    </row>
    <row r="46" spans="1:31" x14ac:dyDescent="0.25">
      <c r="O46" s="83">
        <v>1.05</v>
      </c>
      <c r="P46" s="83">
        <f t="shared" si="12"/>
        <v>35.721000000000004</v>
      </c>
      <c r="Q46" s="2"/>
      <c r="T46" s="93" t="s">
        <v>101</v>
      </c>
      <c r="U46" s="88" t="s">
        <v>129</v>
      </c>
      <c r="W46" s="133">
        <v>42703</v>
      </c>
      <c r="X46" s="10">
        <v>33.71</v>
      </c>
      <c r="Y46" s="10">
        <v>33.75</v>
      </c>
      <c r="Z46" s="10">
        <v>33.07</v>
      </c>
      <c r="AA46" s="10">
        <v>33.1</v>
      </c>
      <c r="AB46" s="95">
        <v>7833900</v>
      </c>
      <c r="AC46" s="10">
        <v>33.1</v>
      </c>
      <c r="AD46" s="2">
        <f t="shared" si="1"/>
        <v>0.67999999999999972</v>
      </c>
      <c r="AE46" s="138">
        <f t="shared" si="2"/>
        <v>-1.6636957813428221E-2</v>
      </c>
    </row>
    <row r="47" spans="1:31" x14ac:dyDescent="0.25">
      <c r="B47" s="380">
        <v>42484</v>
      </c>
      <c r="C47" s="381">
        <v>100</v>
      </c>
      <c r="D47" s="382">
        <v>35.917999999999999</v>
      </c>
      <c r="E47" s="382">
        <v>35.58</v>
      </c>
      <c r="F47" s="382">
        <f t="shared" ref="F47:F60" si="13">C47*(E47-D47)</f>
        <v>-33.800000000000097</v>
      </c>
      <c r="G47" s="382">
        <f t="shared" ref="G47:G60" si="14">D47*C47</f>
        <v>3591.7999999999997</v>
      </c>
      <c r="H47" s="383">
        <f t="shared" ref="H47:H60" si="15">(E47-D47)/D47</f>
        <v>-9.410323514672336E-3</v>
      </c>
      <c r="I47" s="382"/>
      <c r="O47" s="83">
        <v>1.04</v>
      </c>
      <c r="P47" s="83">
        <f t="shared" si="12"/>
        <v>35.380800000000008</v>
      </c>
      <c r="Q47" s="2"/>
      <c r="T47" s="93" t="s">
        <v>102</v>
      </c>
      <c r="U47" s="88">
        <v>36</v>
      </c>
      <c r="W47" s="133">
        <v>42702</v>
      </c>
      <c r="X47" s="10">
        <v>33.880000000000003</v>
      </c>
      <c r="Y47" s="10">
        <v>34.1</v>
      </c>
      <c r="Z47" s="10">
        <v>33.369999999999997</v>
      </c>
      <c r="AA47" s="10">
        <v>33.659999999999997</v>
      </c>
      <c r="AB47" s="95">
        <v>4896000</v>
      </c>
      <c r="AC47" s="10">
        <v>33.659999999999997</v>
      </c>
      <c r="AD47" s="2">
        <f t="shared" si="1"/>
        <v>0.73000000000000398</v>
      </c>
      <c r="AE47" s="138">
        <f t="shared" si="2"/>
        <v>-6.4935064935066622E-3</v>
      </c>
    </row>
    <row r="48" spans="1:31" x14ac:dyDescent="0.25">
      <c r="B48" s="380">
        <v>42485</v>
      </c>
      <c r="C48" s="381">
        <v>100</v>
      </c>
      <c r="D48" s="382">
        <v>35.917999999999999</v>
      </c>
      <c r="E48" s="382">
        <v>36.770000000000003</v>
      </c>
      <c r="F48" s="382">
        <f t="shared" si="13"/>
        <v>85.200000000000387</v>
      </c>
      <c r="G48" s="382">
        <f t="shared" si="14"/>
        <v>3591.7999999999997</v>
      </c>
      <c r="H48" s="383">
        <f t="shared" si="15"/>
        <v>2.3720697143493622E-2</v>
      </c>
      <c r="I48" s="382"/>
      <c r="O48" s="83">
        <v>1.03</v>
      </c>
      <c r="P48" s="83">
        <f t="shared" si="12"/>
        <v>35.040600000000005</v>
      </c>
      <c r="Q48" s="2"/>
      <c r="T48" s="93" t="s">
        <v>103</v>
      </c>
      <c r="U48" s="88">
        <v>0.646393</v>
      </c>
      <c r="W48" s="133">
        <v>42699</v>
      </c>
      <c r="X48" s="10">
        <v>33.909999999999997</v>
      </c>
      <c r="Y48" s="10">
        <v>34.15</v>
      </c>
      <c r="Z48" s="10">
        <v>33.799999999999997</v>
      </c>
      <c r="AA48" s="10">
        <v>33.880000000000003</v>
      </c>
      <c r="AB48" s="95">
        <v>2669700</v>
      </c>
      <c r="AC48" s="10">
        <v>33.880000000000003</v>
      </c>
      <c r="AD48" s="2">
        <f t="shared" si="1"/>
        <v>0.35000000000000142</v>
      </c>
      <c r="AE48" s="138">
        <f t="shared" si="2"/>
        <v>5.3412462908011271E-3</v>
      </c>
    </row>
    <row r="49" spans="2:31" x14ac:dyDescent="0.25">
      <c r="B49" s="380">
        <v>42498</v>
      </c>
      <c r="C49" s="381">
        <v>100</v>
      </c>
      <c r="D49" s="382">
        <v>35.917999999999999</v>
      </c>
      <c r="E49" s="382">
        <v>34.549999999999997</v>
      </c>
      <c r="F49" s="382">
        <f t="shared" si="13"/>
        <v>-136.80000000000021</v>
      </c>
      <c r="G49" s="382">
        <f t="shared" si="14"/>
        <v>3591.7999999999997</v>
      </c>
      <c r="H49" s="383">
        <f t="shared" si="15"/>
        <v>-3.8086753159975562E-2</v>
      </c>
      <c r="I49" s="382"/>
      <c r="O49" s="83">
        <v>1.02</v>
      </c>
      <c r="P49" s="83">
        <f t="shared" si="12"/>
        <v>34.700400000000002</v>
      </c>
      <c r="Q49" s="2"/>
      <c r="T49" s="93" t="s">
        <v>104</v>
      </c>
      <c r="U49" s="88" t="s">
        <v>339</v>
      </c>
      <c r="W49" s="133">
        <v>42697</v>
      </c>
      <c r="X49" s="10">
        <v>33.36</v>
      </c>
      <c r="Y49" s="10">
        <v>33.880000000000003</v>
      </c>
      <c r="Z49" s="10">
        <v>33.33</v>
      </c>
      <c r="AA49" s="10">
        <v>33.700000000000003</v>
      </c>
      <c r="AB49" s="95">
        <v>5608700</v>
      </c>
      <c r="AC49" s="10">
        <v>33.700000000000003</v>
      </c>
      <c r="AD49" s="2">
        <f t="shared" si="1"/>
        <v>0.55000000000000426</v>
      </c>
      <c r="AE49" s="138">
        <f t="shared" si="2"/>
        <v>6.8718255153870089E-3</v>
      </c>
    </row>
    <row r="50" spans="2:31" x14ac:dyDescent="0.25">
      <c r="B50" s="380">
        <v>42508</v>
      </c>
      <c r="C50" s="381">
        <v>140</v>
      </c>
      <c r="D50" s="382">
        <v>35.423999999999999</v>
      </c>
      <c r="E50" s="382">
        <v>34.369999999999997</v>
      </c>
      <c r="F50" s="382">
        <f t="shared" si="13"/>
        <v>-147.56000000000029</v>
      </c>
      <c r="G50" s="382">
        <f t="shared" si="14"/>
        <v>4959.3599999999997</v>
      </c>
      <c r="H50" s="383">
        <f t="shared" si="15"/>
        <v>-2.9753839205058776E-2</v>
      </c>
      <c r="I50" s="382"/>
      <c r="O50" s="83">
        <v>1.01</v>
      </c>
      <c r="P50" s="83">
        <f t="shared" si="12"/>
        <v>34.360200000000006</v>
      </c>
      <c r="Q50" s="2"/>
      <c r="T50" s="93"/>
      <c r="U50" s="88"/>
      <c r="W50" s="133">
        <v>42696</v>
      </c>
      <c r="X50" s="10">
        <v>33.68</v>
      </c>
      <c r="Y50" s="10">
        <v>33.729999999999997</v>
      </c>
      <c r="Z50" s="10">
        <v>33.409999999999997</v>
      </c>
      <c r="AA50" s="10">
        <v>33.47</v>
      </c>
      <c r="AB50" s="95">
        <v>5824400</v>
      </c>
      <c r="AC50" s="10">
        <v>33.47</v>
      </c>
      <c r="AD50" s="2">
        <f t="shared" si="1"/>
        <v>0.32000000000000028</v>
      </c>
      <c r="AE50" s="138">
        <f t="shared" si="2"/>
        <v>-1.7894422904861651E-3</v>
      </c>
    </row>
    <row r="51" spans="2:31" x14ac:dyDescent="0.25">
      <c r="B51" s="380">
        <v>42509</v>
      </c>
      <c r="C51" s="381">
        <v>240</v>
      </c>
      <c r="D51" s="382">
        <v>35.034999999999997</v>
      </c>
      <c r="E51" s="382">
        <v>34.83</v>
      </c>
      <c r="F51" s="382">
        <f t="shared" si="13"/>
        <v>-49.199999999999591</v>
      </c>
      <c r="G51" s="382">
        <f t="shared" si="14"/>
        <v>8408.4</v>
      </c>
      <c r="H51" s="383">
        <f t="shared" si="15"/>
        <v>-5.8512915655772315E-3</v>
      </c>
      <c r="I51" s="382"/>
      <c r="O51" s="83">
        <v>1</v>
      </c>
      <c r="P51" s="83">
        <f t="shared" si="12"/>
        <v>34.020000000000003</v>
      </c>
      <c r="Q51" s="2"/>
      <c r="T51" s="93" t="s">
        <v>105</v>
      </c>
      <c r="U51" s="88" t="s">
        <v>572</v>
      </c>
      <c r="W51" s="133">
        <v>42695</v>
      </c>
      <c r="X51" s="10">
        <v>33.450000000000003</v>
      </c>
      <c r="Y51" s="10">
        <v>33.840000000000003</v>
      </c>
      <c r="Z51" s="10">
        <v>33.340000000000003</v>
      </c>
      <c r="AA51" s="10">
        <v>33.53</v>
      </c>
      <c r="AB51" s="95">
        <v>5282900</v>
      </c>
      <c r="AC51" s="10">
        <v>33.53</v>
      </c>
      <c r="AD51" s="2">
        <f t="shared" si="1"/>
        <v>0.5</v>
      </c>
      <c r="AE51" s="138">
        <f t="shared" si="2"/>
        <v>2.3916292974588416E-3</v>
      </c>
    </row>
    <row r="52" spans="2:31" x14ac:dyDescent="0.25">
      <c r="B52" s="380">
        <v>42514</v>
      </c>
      <c r="C52" s="381">
        <v>200</v>
      </c>
      <c r="D52" s="382">
        <v>34.972000000000001</v>
      </c>
      <c r="E52" s="382">
        <v>35.520000000000003</v>
      </c>
      <c r="F52" s="382">
        <f t="shared" si="13"/>
        <v>109.60000000000036</v>
      </c>
      <c r="G52" s="382">
        <f t="shared" si="14"/>
        <v>6994.4000000000005</v>
      </c>
      <c r="H52" s="383">
        <f t="shared" si="15"/>
        <v>1.5669678600022927E-2</v>
      </c>
      <c r="I52" s="382"/>
      <c r="O52" s="83">
        <v>0.99</v>
      </c>
      <c r="P52" s="83">
        <f t="shared" si="12"/>
        <v>33.6798</v>
      </c>
      <c r="Q52" s="2"/>
      <c r="T52" s="93" t="s">
        <v>106</v>
      </c>
      <c r="U52" s="88" t="s">
        <v>399</v>
      </c>
      <c r="W52" s="133">
        <v>42692</v>
      </c>
      <c r="X52" s="10">
        <v>33.51</v>
      </c>
      <c r="Y52" s="10">
        <v>33.880000000000003</v>
      </c>
      <c r="Z52" s="10">
        <v>33.229999999999997</v>
      </c>
      <c r="AA52" s="10">
        <v>33.450000000000003</v>
      </c>
      <c r="AB52" s="95">
        <v>5254500</v>
      </c>
      <c r="AC52" s="10">
        <v>33.450000000000003</v>
      </c>
      <c r="AD52" s="2">
        <f t="shared" si="1"/>
        <v>0.65000000000000568</v>
      </c>
      <c r="AE52" s="138">
        <f t="shared" si="2"/>
        <v>-2.0883054892602004E-3</v>
      </c>
    </row>
    <row r="53" spans="2:31" x14ac:dyDescent="0.25">
      <c r="B53" s="380">
        <v>42515</v>
      </c>
      <c r="C53" s="381">
        <v>200</v>
      </c>
      <c r="D53" s="382">
        <v>34.972000000000001</v>
      </c>
      <c r="E53" s="382">
        <v>34.94</v>
      </c>
      <c r="F53" s="382">
        <f t="shared" si="13"/>
        <v>-6.4000000000007162</v>
      </c>
      <c r="G53" s="382">
        <f t="shared" si="14"/>
        <v>6994.4000000000005</v>
      </c>
      <c r="H53" s="383">
        <f t="shared" si="15"/>
        <v>-9.150177284685914E-4</v>
      </c>
      <c r="I53" s="382"/>
      <c r="O53" s="83">
        <v>0.98</v>
      </c>
      <c r="P53" s="83">
        <f t="shared" si="12"/>
        <v>33.339600000000004</v>
      </c>
      <c r="Q53" s="2"/>
      <c r="T53" s="93" t="s">
        <v>107</v>
      </c>
      <c r="U53" s="90">
        <v>6391816</v>
      </c>
      <c r="W53" s="133">
        <v>42691</v>
      </c>
      <c r="X53" s="10">
        <v>32.97</v>
      </c>
      <c r="Y53" s="10">
        <v>33.590000000000003</v>
      </c>
      <c r="Z53" s="10">
        <v>32.590000000000003</v>
      </c>
      <c r="AA53" s="10">
        <v>33.520000000000003</v>
      </c>
      <c r="AB53" s="95">
        <v>10176200</v>
      </c>
      <c r="AC53" s="10">
        <v>33.520000000000003</v>
      </c>
      <c r="AD53" s="2">
        <f t="shared" si="1"/>
        <v>1</v>
      </c>
      <c r="AE53" s="138">
        <f t="shared" si="2"/>
        <v>-5.3412462908011271E-3</v>
      </c>
    </row>
    <row r="54" spans="2:31" x14ac:dyDescent="0.25">
      <c r="B54" s="380">
        <v>42521</v>
      </c>
      <c r="C54" s="381">
        <v>160</v>
      </c>
      <c r="D54" s="382">
        <v>34.718000000000004</v>
      </c>
      <c r="E54" s="382">
        <v>35.76</v>
      </c>
      <c r="F54" s="382">
        <f t="shared" si="13"/>
        <v>166.71999999999912</v>
      </c>
      <c r="G54" s="382">
        <f t="shared" si="14"/>
        <v>5554.880000000001</v>
      </c>
      <c r="H54" s="383">
        <f t="shared" si="15"/>
        <v>3.0013249611152554E-2</v>
      </c>
      <c r="I54" s="382"/>
      <c r="O54" s="83">
        <v>0.97</v>
      </c>
      <c r="P54" s="83">
        <f t="shared" si="12"/>
        <v>32.999400000000001</v>
      </c>
      <c r="T54" s="93" t="s">
        <v>110</v>
      </c>
      <c r="U54" s="90">
        <v>7858320</v>
      </c>
      <c r="W54" s="133">
        <v>42690</v>
      </c>
      <c r="X54" s="10">
        <v>34.75</v>
      </c>
      <c r="Y54" s="10">
        <v>34.770000000000003</v>
      </c>
      <c r="Z54" s="10">
        <v>33.590000000000003</v>
      </c>
      <c r="AA54" s="10">
        <v>33.700000000000003</v>
      </c>
      <c r="AB54" s="95">
        <v>10302100</v>
      </c>
      <c r="AC54" s="10">
        <v>33.700000000000003</v>
      </c>
      <c r="AD54" s="2">
        <f t="shared" si="1"/>
        <v>1.1799999999999997</v>
      </c>
      <c r="AE54" s="138">
        <f t="shared" si="2"/>
        <v>-3.3275960986804298E-2</v>
      </c>
    </row>
    <row r="55" spans="2:31" x14ac:dyDescent="0.25">
      <c r="B55" s="380">
        <v>42527</v>
      </c>
      <c r="C55" s="381">
        <v>160</v>
      </c>
      <c r="D55" s="382">
        <v>34.652000000000001</v>
      </c>
      <c r="E55" s="382">
        <v>36.020000000000003</v>
      </c>
      <c r="F55" s="382">
        <f t="shared" si="13"/>
        <v>218.88000000000034</v>
      </c>
      <c r="G55" s="382">
        <f t="shared" si="14"/>
        <v>5544.32</v>
      </c>
      <c r="H55" s="383">
        <f t="shared" si="15"/>
        <v>3.9478240794182211E-2</v>
      </c>
      <c r="I55" s="382"/>
      <c r="O55" s="83">
        <v>0.96</v>
      </c>
      <c r="P55" s="83">
        <f t="shared" si="12"/>
        <v>32.659199999999998</v>
      </c>
      <c r="T55" s="93" t="s">
        <v>108</v>
      </c>
      <c r="U55" s="88" t="s">
        <v>573</v>
      </c>
      <c r="W55" s="133">
        <v>42689</v>
      </c>
      <c r="X55" s="10">
        <v>34.619999999999997</v>
      </c>
      <c r="Y55" s="10">
        <v>34.950000000000003</v>
      </c>
      <c r="Z55" s="10">
        <v>34.04</v>
      </c>
      <c r="AA55" s="10">
        <v>34.86</v>
      </c>
      <c r="AB55" s="95">
        <v>10069200</v>
      </c>
      <c r="AC55" s="10">
        <v>34.86</v>
      </c>
      <c r="AD55" s="2">
        <f t="shared" si="1"/>
        <v>0.91000000000000369</v>
      </c>
      <c r="AE55" s="138">
        <f t="shared" si="2"/>
        <v>6.3510392609700261E-3</v>
      </c>
    </row>
    <row r="56" spans="2:31" x14ac:dyDescent="0.25">
      <c r="B56" s="380">
        <v>42498</v>
      </c>
      <c r="C56" s="381">
        <v>160</v>
      </c>
      <c r="D56" s="382">
        <v>34.652000000000001</v>
      </c>
      <c r="E56" s="382">
        <v>36.520000000000003</v>
      </c>
      <c r="F56" s="382">
        <f t="shared" si="13"/>
        <v>298.88000000000034</v>
      </c>
      <c r="G56" s="382">
        <f t="shared" si="14"/>
        <v>5544.32</v>
      </c>
      <c r="H56" s="383">
        <f t="shared" si="15"/>
        <v>5.3907422371003176E-2</v>
      </c>
      <c r="I56" s="382"/>
      <c r="O56" s="83">
        <v>0.95</v>
      </c>
      <c r="P56" s="83">
        <f t="shared" si="12"/>
        <v>32.319000000000003</v>
      </c>
      <c r="T56" s="93" t="s">
        <v>111</v>
      </c>
      <c r="U56" s="88">
        <v>16.39</v>
      </c>
      <c r="W56" s="133">
        <v>42688</v>
      </c>
      <c r="X56" s="10">
        <v>33.549999999999997</v>
      </c>
      <c r="Y56" s="10">
        <v>34.950000000000003</v>
      </c>
      <c r="Z56" s="10">
        <v>33.549999999999997</v>
      </c>
      <c r="AA56" s="10">
        <v>34.64</v>
      </c>
      <c r="AB56" s="95">
        <v>15593400</v>
      </c>
      <c r="AC56" s="10">
        <v>34.64</v>
      </c>
      <c r="AD56" s="2">
        <f t="shared" si="1"/>
        <v>1.4000000000000057</v>
      </c>
      <c r="AE56" s="138">
        <f t="shared" si="2"/>
        <v>3.3412887828162319E-2</v>
      </c>
    </row>
    <row r="57" spans="2:31" x14ac:dyDescent="0.25">
      <c r="B57" s="380">
        <v>42531</v>
      </c>
      <c r="C57" s="381">
        <v>60</v>
      </c>
      <c r="D57" s="382">
        <v>30.757000000000001</v>
      </c>
      <c r="E57" s="382">
        <v>36.81</v>
      </c>
      <c r="F57" s="382">
        <f t="shared" si="13"/>
        <v>363.18000000000006</v>
      </c>
      <c r="G57" s="382">
        <f t="shared" si="14"/>
        <v>1845.42</v>
      </c>
      <c r="H57" s="383">
        <f t="shared" si="15"/>
        <v>0.1968007282894951</v>
      </c>
      <c r="I57" s="382"/>
      <c r="O57" s="83">
        <v>0.94</v>
      </c>
      <c r="P57" s="83">
        <f t="shared" si="12"/>
        <v>31.9788</v>
      </c>
      <c r="T57" s="93" t="s">
        <v>112</v>
      </c>
      <c r="U57" s="88">
        <v>2.08</v>
      </c>
      <c r="W57" s="133">
        <v>42685</v>
      </c>
      <c r="X57" s="10">
        <v>32.9</v>
      </c>
      <c r="Y57" s="10">
        <v>33.54</v>
      </c>
      <c r="Z57" s="10">
        <v>32.57</v>
      </c>
      <c r="AA57" s="10">
        <v>33.520000000000003</v>
      </c>
      <c r="AB57" s="95">
        <v>11575600</v>
      </c>
      <c r="AC57" s="10">
        <v>33.520000000000003</v>
      </c>
      <c r="AD57" s="2">
        <f t="shared" si="1"/>
        <v>0.96999999999999886</v>
      </c>
      <c r="AE57" s="138">
        <f t="shared" si="2"/>
        <v>1.9774870702768732E-2</v>
      </c>
    </row>
    <row r="58" spans="2:31" x14ac:dyDescent="0.25">
      <c r="B58" s="380">
        <v>42536</v>
      </c>
      <c r="C58" s="381">
        <v>160</v>
      </c>
      <c r="D58" s="382">
        <v>33.652999999999999</v>
      </c>
      <c r="E58" s="382">
        <v>35.71</v>
      </c>
      <c r="F58" s="382">
        <f t="shared" si="13"/>
        <v>329.12000000000035</v>
      </c>
      <c r="G58" s="382">
        <f t="shared" si="14"/>
        <v>5384.48</v>
      </c>
      <c r="H58" s="383">
        <f t="shared" si="15"/>
        <v>6.1123822541823976E-2</v>
      </c>
      <c r="I58" s="382"/>
      <c r="O58" s="83">
        <v>0.93</v>
      </c>
      <c r="P58" s="83">
        <f t="shared" si="12"/>
        <v>31.638600000000004</v>
      </c>
      <c r="T58" s="93" t="s">
        <v>109</v>
      </c>
      <c r="U58" s="88" t="s">
        <v>507</v>
      </c>
      <c r="W58" s="133">
        <v>42684</v>
      </c>
      <c r="X58" s="10">
        <v>32.19</v>
      </c>
      <c r="Y58" s="10">
        <v>33.44</v>
      </c>
      <c r="Z58" s="10">
        <v>32.130000000000003</v>
      </c>
      <c r="AA58" s="10">
        <v>32.869999999999997</v>
      </c>
      <c r="AB58" s="95">
        <v>14255900</v>
      </c>
      <c r="AC58" s="10">
        <v>32.869999999999997</v>
      </c>
      <c r="AD58" s="2">
        <f t="shared" si="1"/>
        <v>1.3099999999999952</v>
      </c>
      <c r="AE58" s="138" t="e">
        <f t="shared" si="2"/>
        <v>#DIV/0!</v>
      </c>
    </row>
    <row r="59" spans="2:31" x14ac:dyDescent="0.25">
      <c r="B59" s="380">
        <v>42542</v>
      </c>
      <c r="C59" s="381">
        <v>160</v>
      </c>
      <c r="D59" s="382">
        <v>33.65</v>
      </c>
      <c r="E59" s="382">
        <v>34.71</v>
      </c>
      <c r="F59" s="382">
        <f t="shared" si="13"/>
        <v>169.60000000000036</v>
      </c>
      <c r="G59" s="382">
        <f t="shared" si="14"/>
        <v>5384</v>
      </c>
      <c r="H59" s="383">
        <f t="shared" si="15"/>
        <v>3.1500742942050589E-2</v>
      </c>
      <c r="I59" s="382"/>
      <c r="O59" s="83">
        <v>0.92</v>
      </c>
      <c r="P59" s="83">
        <f t="shared" si="12"/>
        <v>31.298400000000004</v>
      </c>
      <c r="W59" s="133">
        <v>42684</v>
      </c>
      <c r="X59" s="10" t="s">
        <v>464</v>
      </c>
      <c r="Y59" s="10"/>
      <c r="Z59" s="10"/>
      <c r="AA59" s="10"/>
      <c r="AB59" s="95"/>
      <c r="AC59" s="10"/>
      <c r="AD59" s="2">
        <f t="shared" si="1"/>
        <v>0</v>
      </c>
      <c r="AE59" s="138">
        <f t="shared" si="2"/>
        <v>-1</v>
      </c>
    </row>
    <row r="60" spans="2:31" x14ac:dyDescent="0.25">
      <c r="B60" s="380">
        <v>42548</v>
      </c>
      <c r="C60" s="381">
        <v>160</v>
      </c>
      <c r="D60" s="382">
        <v>33.652999999999999</v>
      </c>
      <c r="E60" s="382">
        <v>36.619999999999997</v>
      </c>
      <c r="F60" s="382">
        <f t="shared" si="13"/>
        <v>474.7199999999998</v>
      </c>
      <c r="G60" s="382">
        <f t="shared" si="14"/>
        <v>5384.48</v>
      </c>
      <c r="H60" s="383">
        <f t="shared" si="15"/>
        <v>8.8164502421775148E-2</v>
      </c>
      <c r="I60" s="382"/>
      <c r="O60" s="83">
        <v>0.91</v>
      </c>
      <c r="P60" s="83">
        <f t="shared" si="12"/>
        <v>30.958200000000005</v>
      </c>
      <c r="W60" s="133">
        <v>42683</v>
      </c>
      <c r="X60" s="10">
        <v>30.53</v>
      </c>
      <c r="Y60" s="10">
        <v>32.46</v>
      </c>
      <c r="Z60" s="10">
        <v>30.44</v>
      </c>
      <c r="AA60" s="10">
        <v>32.29</v>
      </c>
      <c r="AB60" s="95">
        <v>12682000</v>
      </c>
      <c r="AC60" s="10">
        <v>32.17</v>
      </c>
      <c r="AD60" s="2">
        <f t="shared" si="1"/>
        <v>2.0199999999999996</v>
      </c>
      <c r="AE60" s="138">
        <f t="shared" si="2"/>
        <v>4.4819746670997196E-2</v>
      </c>
    </row>
    <row r="61" spans="2:31" x14ac:dyDescent="0.25">
      <c r="B61" s="380">
        <v>42556</v>
      </c>
      <c r="C61" s="381">
        <v>160</v>
      </c>
      <c r="D61" s="382">
        <v>33.652999999999999</v>
      </c>
      <c r="E61" s="382">
        <v>37.33</v>
      </c>
      <c r="F61" s="382">
        <f t="shared" ref="F61" si="16">C61*(E61-D61)</f>
        <v>588.31999999999994</v>
      </c>
      <c r="G61" s="382">
        <f t="shared" ref="G61" si="17">D61*C61</f>
        <v>5384.48</v>
      </c>
      <c r="H61" s="383">
        <f t="shared" ref="H61" si="18">(E61-D61)/D61</f>
        <v>0.10926217573470418</v>
      </c>
      <c r="I61" s="382"/>
      <c r="O61" s="83">
        <v>0.9</v>
      </c>
      <c r="P61" s="83">
        <f t="shared" si="12"/>
        <v>30.618000000000002</v>
      </c>
      <c r="W61" s="133">
        <v>42682</v>
      </c>
      <c r="X61" s="10">
        <v>31.15</v>
      </c>
      <c r="Y61" s="10">
        <v>31.22</v>
      </c>
      <c r="Z61" s="10">
        <v>30.6</v>
      </c>
      <c r="AA61" s="10">
        <v>30.9</v>
      </c>
      <c r="AB61" s="95">
        <v>7260000</v>
      </c>
      <c r="AC61" s="10">
        <v>30.79</v>
      </c>
      <c r="AD61" s="2">
        <f t="shared" si="1"/>
        <v>0.61999999999999744</v>
      </c>
      <c r="AE61" s="138">
        <f t="shared" si="2"/>
        <v>-1.0604113110539881E-2</v>
      </c>
    </row>
    <row r="62" spans="2:31" x14ac:dyDescent="0.25">
      <c r="B62" s="380">
        <v>42559</v>
      </c>
      <c r="C62" s="381">
        <v>160</v>
      </c>
      <c r="D62" s="382">
        <v>33.652999999999999</v>
      </c>
      <c r="E62" s="382">
        <v>37.86</v>
      </c>
      <c r="F62" s="382">
        <f t="shared" ref="F62" si="19">C62*(E62-D62)</f>
        <v>673.12000000000012</v>
      </c>
      <c r="G62" s="382">
        <f t="shared" ref="G62" si="20">D62*C62</f>
        <v>5384.48</v>
      </c>
      <c r="H62" s="383">
        <f t="shared" ref="H62" si="21">(E62-D62)/D62</f>
        <v>0.12501114313731318</v>
      </c>
      <c r="I62" s="382"/>
      <c r="W62" s="133">
        <v>42681</v>
      </c>
      <c r="X62" s="10">
        <v>31.19</v>
      </c>
      <c r="Y62" s="10">
        <v>31.43</v>
      </c>
      <c r="Z62" s="10">
        <v>30.99</v>
      </c>
      <c r="AA62" s="10">
        <v>31.24</v>
      </c>
      <c r="AB62" s="95">
        <v>5808400</v>
      </c>
      <c r="AC62" s="10">
        <v>31.12</v>
      </c>
      <c r="AD62" s="2">
        <f t="shared" si="1"/>
        <v>0.44000000000000128</v>
      </c>
      <c r="AE62" s="138">
        <f t="shared" si="2"/>
        <v>1.006166828951649E-2</v>
      </c>
    </row>
    <row r="63" spans="2:31" x14ac:dyDescent="0.25">
      <c r="B63" s="380">
        <v>42563</v>
      </c>
      <c r="C63" s="381">
        <v>160</v>
      </c>
      <c r="D63" s="382">
        <v>33.652999999999999</v>
      </c>
      <c r="E63" s="382">
        <v>37.39</v>
      </c>
      <c r="F63" s="382">
        <f t="shared" ref="F63" si="22">C63*(E63-D63)</f>
        <v>597.9200000000003</v>
      </c>
      <c r="G63" s="382">
        <f t="shared" ref="G63" si="23">D63*C63</f>
        <v>5384.48</v>
      </c>
      <c r="H63" s="383">
        <f t="shared" ref="H63" si="24">(E63-D63)/D63</f>
        <v>0.11104507770481092</v>
      </c>
      <c r="I63" s="382"/>
      <c r="W63" s="133">
        <v>42678</v>
      </c>
      <c r="X63" s="10">
        <v>30.96</v>
      </c>
      <c r="Y63" s="10">
        <v>31.53</v>
      </c>
      <c r="Z63" s="10">
        <v>30.74</v>
      </c>
      <c r="AA63" s="10">
        <v>30.92</v>
      </c>
      <c r="AB63" s="95">
        <v>7978700</v>
      </c>
      <c r="AC63" s="10">
        <v>30.81</v>
      </c>
      <c r="AD63" s="2">
        <f t="shared" si="1"/>
        <v>0.7900000000000027</v>
      </c>
      <c r="AE63" s="138">
        <f t="shared" si="2"/>
        <v>-2.9126213592233219E-3</v>
      </c>
    </row>
    <row r="64" spans="2:31" x14ac:dyDescent="0.25">
      <c r="B64" s="380">
        <v>42566</v>
      </c>
      <c r="C64" s="381">
        <v>160</v>
      </c>
      <c r="D64" s="382">
        <v>33.652999999999999</v>
      </c>
      <c r="E64" s="382">
        <v>36.71</v>
      </c>
      <c r="F64" s="382">
        <f t="shared" ref="F64" si="25">C64*(E64-D64)</f>
        <v>489.12000000000035</v>
      </c>
      <c r="G64" s="382">
        <f t="shared" ref="G64" si="26">D64*C64</f>
        <v>5384.48</v>
      </c>
      <c r="H64" s="383">
        <f t="shared" ref="H64" si="27">(E64-D64)/D64</f>
        <v>9.0838855376935257E-2</v>
      </c>
      <c r="I64" s="382"/>
      <c r="W64" s="133">
        <v>42677</v>
      </c>
      <c r="X64" s="10">
        <v>32.22</v>
      </c>
      <c r="Y64" s="10">
        <v>32.229999999999997</v>
      </c>
      <c r="Z64" s="10">
        <v>30.93</v>
      </c>
      <c r="AA64" s="10">
        <v>31.02</v>
      </c>
      <c r="AB64" s="95">
        <v>8920300</v>
      </c>
      <c r="AC64" s="10">
        <v>30.9</v>
      </c>
      <c r="AD64" s="2">
        <f t="shared" si="1"/>
        <v>1.2999999999999972</v>
      </c>
      <c r="AE64" s="138">
        <f t="shared" si="2"/>
        <v>-3.7383177570093573E-2</v>
      </c>
    </row>
    <row r="65" spans="2:31" x14ac:dyDescent="0.25">
      <c r="B65" s="380">
        <v>42570</v>
      </c>
      <c r="C65" s="381">
        <v>160</v>
      </c>
      <c r="D65" s="382">
        <v>33.652999999999999</v>
      </c>
      <c r="E65" s="382">
        <v>36.21</v>
      </c>
      <c r="F65" s="382">
        <f t="shared" ref="F65" si="28">C65*(E65-D65)</f>
        <v>409.12000000000035</v>
      </c>
      <c r="G65" s="382">
        <f t="shared" ref="G65" si="29">D65*C65</f>
        <v>5384.48</v>
      </c>
      <c r="H65" s="383">
        <f t="shared" ref="H65" si="30">(E65-D65)/D65</f>
        <v>7.5981338959379613E-2</v>
      </c>
      <c r="I65" s="382"/>
      <c r="W65" s="133">
        <v>42676</v>
      </c>
      <c r="X65" s="10">
        <v>30.85</v>
      </c>
      <c r="Y65" s="10">
        <v>32.479999999999997</v>
      </c>
      <c r="Z65" s="10">
        <v>30.83</v>
      </c>
      <c r="AA65" s="10">
        <v>32.22</v>
      </c>
      <c r="AB65" s="95">
        <v>13547200</v>
      </c>
      <c r="AC65" s="10">
        <v>32.1</v>
      </c>
      <c r="AD65" s="2">
        <f t="shared" si="1"/>
        <v>1.6499999999999986</v>
      </c>
      <c r="AE65" s="138">
        <f t="shared" si="2"/>
        <v>4.6284224250326078E-2</v>
      </c>
    </row>
    <row r="66" spans="2:31" x14ac:dyDescent="0.25">
      <c r="B66" s="380">
        <v>42571</v>
      </c>
      <c r="C66" s="381">
        <v>160</v>
      </c>
      <c r="D66" s="382">
        <v>33.652999999999999</v>
      </c>
      <c r="E66" s="382">
        <v>36.4</v>
      </c>
      <c r="F66" s="382">
        <f t="shared" ref="F66" si="31">C66*(E66-D66)</f>
        <v>439.52</v>
      </c>
      <c r="G66" s="382">
        <f t="shared" ref="G66" si="32">D66*C66</f>
        <v>5384.48</v>
      </c>
      <c r="H66" s="383">
        <f t="shared" ref="H66" si="33">(E66-D66)/D66</f>
        <v>8.16271951980507E-2</v>
      </c>
      <c r="I66" s="382"/>
      <c r="W66" s="133">
        <v>42675</v>
      </c>
      <c r="X66" s="10">
        <v>31.09</v>
      </c>
      <c r="Y66" s="10">
        <v>31.11</v>
      </c>
      <c r="Z66" s="10">
        <v>30.69</v>
      </c>
      <c r="AA66" s="10">
        <v>30.79</v>
      </c>
      <c r="AB66" s="95">
        <v>8520000</v>
      </c>
      <c r="AC66" s="10">
        <v>30.68</v>
      </c>
      <c r="AD66" s="2">
        <f t="shared" si="1"/>
        <v>0.41999999999999815</v>
      </c>
      <c r="AE66" s="138">
        <f t="shared" si="2"/>
        <v>-5.8327932598832843E-3</v>
      </c>
    </row>
    <row r="67" spans="2:31" x14ac:dyDescent="0.25">
      <c r="B67" s="380">
        <v>42572</v>
      </c>
      <c r="C67" s="381">
        <v>160</v>
      </c>
      <c r="D67" s="382">
        <v>33.652999999999999</v>
      </c>
      <c r="E67" s="382">
        <v>35.96</v>
      </c>
      <c r="F67" s="382">
        <f t="shared" ref="F67" si="34">C67*(E67-D67)</f>
        <v>369.12000000000035</v>
      </c>
      <c r="G67" s="382">
        <f t="shared" ref="G67" si="35">D67*C67</f>
        <v>5384.48</v>
      </c>
      <c r="H67" s="383">
        <f t="shared" ref="H67" si="36">(E67-D67)/D67</f>
        <v>6.8552580750601791E-2</v>
      </c>
      <c r="I67" s="382"/>
      <c r="W67" s="133">
        <v>42674</v>
      </c>
      <c r="X67" s="10">
        <v>31.3</v>
      </c>
      <c r="Y67" s="10">
        <v>31.56</v>
      </c>
      <c r="Z67" s="10">
        <v>30.83</v>
      </c>
      <c r="AA67" s="10">
        <v>30.98</v>
      </c>
      <c r="AB67" s="95">
        <v>7550900</v>
      </c>
      <c r="AC67" s="10">
        <v>30.86</v>
      </c>
      <c r="AD67" s="2">
        <f>Y67-Z67</f>
        <v>0.73000000000000043</v>
      </c>
      <c r="AE67" s="138" t="e">
        <f>AC67/#REF!-1</f>
        <v>#REF!</v>
      </c>
    </row>
    <row r="68" spans="2:31" x14ac:dyDescent="0.25">
      <c r="B68" s="380">
        <v>42576</v>
      </c>
      <c r="C68" s="381">
        <v>160</v>
      </c>
      <c r="D68" s="382">
        <v>33.652999999999999</v>
      </c>
      <c r="E68" s="382">
        <v>35.79</v>
      </c>
      <c r="F68" s="382">
        <f t="shared" ref="F68" si="37">C68*(E68-D68)</f>
        <v>341.92000000000007</v>
      </c>
      <c r="G68" s="382">
        <f t="shared" ref="G68" si="38">D68*C68</f>
        <v>5384.48</v>
      </c>
      <c r="H68" s="383">
        <f t="shared" ref="H68" si="39">(E68-D68)/D68</f>
        <v>6.3501025168632833E-2</v>
      </c>
      <c r="I68" s="382"/>
      <c r="W68" s="133">
        <v>42671</v>
      </c>
      <c r="X68" s="10">
        <v>30.98</v>
      </c>
      <c r="Y68" s="10">
        <v>31.43</v>
      </c>
      <c r="Z68" s="10">
        <v>30.9</v>
      </c>
      <c r="AA68" s="10">
        <v>31.26</v>
      </c>
      <c r="AB68" s="95">
        <v>6796800</v>
      </c>
      <c r="AC68" s="10">
        <v>31.14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380">
        <v>42577</v>
      </c>
      <c r="C69" s="381">
        <v>160</v>
      </c>
      <c r="D69" s="382">
        <v>33.652999999999999</v>
      </c>
      <c r="E69" s="382">
        <v>36.42</v>
      </c>
      <c r="F69" s="382">
        <f t="shared" ref="F69" si="40">C69*(E69-D69)</f>
        <v>442.72000000000048</v>
      </c>
      <c r="G69" s="382">
        <f t="shared" ref="G69" si="41">D69*C69</f>
        <v>5384.48</v>
      </c>
      <c r="H69" s="383">
        <f t="shared" ref="H69" si="42">(E69-D69)/D69</f>
        <v>8.222149585475301E-2</v>
      </c>
      <c r="I69" s="382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2:31" x14ac:dyDescent="0.25">
      <c r="B70" s="380">
        <v>42579</v>
      </c>
      <c r="C70" s="381">
        <v>230</v>
      </c>
      <c r="D70" s="382">
        <v>34.006</v>
      </c>
      <c r="E70" s="382">
        <v>34.4</v>
      </c>
      <c r="F70" s="382">
        <f t="shared" ref="F70" si="43">C70*(E70-D70)</f>
        <v>90.619999999999621</v>
      </c>
      <c r="G70" s="382">
        <f t="shared" ref="G70" si="44">D70*C70</f>
        <v>7821.38</v>
      </c>
      <c r="H70" s="383">
        <f t="shared" ref="H70" si="45">(E70-D70)/D70</f>
        <v>1.1586190672234263E-2</v>
      </c>
      <c r="I70" s="382"/>
    </row>
    <row r="71" spans="2:31" x14ac:dyDescent="0.25">
      <c r="B71" s="380">
        <v>42580</v>
      </c>
      <c r="C71" s="381">
        <v>260</v>
      </c>
      <c r="D71" s="382">
        <v>33.991999999999997</v>
      </c>
      <c r="E71" s="382">
        <v>34.19</v>
      </c>
      <c r="F71" s="382">
        <f t="shared" ref="F71:F73" si="46">C71*(E71-D71)</f>
        <v>51.480000000000103</v>
      </c>
      <c r="G71" s="382">
        <f t="shared" ref="G71:G73" si="47">D71*C71</f>
        <v>8837.92</v>
      </c>
      <c r="H71" s="383">
        <f t="shared" ref="H71:H73" si="48">(E71-D71)/D71</f>
        <v>5.824899976465063E-3</v>
      </c>
      <c r="I71" s="382"/>
    </row>
    <row r="72" spans="2:31" x14ac:dyDescent="0.25">
      <c r="B72" s="380">
        <v>42584</v>
      </c>
      <c r="C72" s="381">
        <v>300</v>
      </c>
      <c r="D72" s="382">
        <v>33.866</v>
      </c>
      <c r="E72" s="382">
        <v>32.61</v>
      </c>
      <c r="F72" s="382">
        <f t="shared" si="46"/>
        <v>-376.80000000000007</v>
      </c>
      <c r="G72" s="382">
        <f t="shared" si="47"/>
        <v>10159.799999999999</v>
      </c>
      <c r="H72" s="383">
        <f t="shared" si="48"/>
        <v>-3.7087344239059829E-2</v>
      </c>
      <c r="I72" s="382"/>
    </row>
    <row r="73" spans="2:31" x14ac:dyDescent="0.25">
      <c r="B73" s="380">
        <v>42586</v>
      </c>
      <c r="C73" s="381">
        <v>400</v>
      </c>
      <c r="D73" s="382">
        <v>33.520000000000003</v>
      </c>
      <c r="E73" s="382">
        <v>32.549999999999997</v>
      </c>
      <c r="F73" s="382">
        <f t="shared" si="46"/>
        <v>-388.00000000000239</v>
      </c>
      <c r="G73" s="382">
        <f t="shared" si="47"/>
        <v>13408.000000000002</v>
      </c>
      <c r="H73" s="383">
        <f t="shared" si="48"/>
        <v>-2.8937947494033587E-2</v>
      </c>
      <c r="I73" s="382"/>
    </row>
    <row r="74" spans="2:31" x14ac:dyDescent="0.25">
      <c r="B74" s="380">
        <v>42587</v>
      </c>
      <c r="C74" s="381">
        <v>400</v>
      </c>
      <c r="D74" s="382">
        <v>33.387349999999998</v>
      </c>
      <c r="E74" s="382">
        <v>32.729999999999997</v>
      </c>
      <c r="F74" s="382">
        <f t="shared" ref="F74:F76" si="49">C74*(E74-D74)</f>
        <v>-262.9400000000004</v>
      </c>
      <c r="G74" s="382">
        <f t="shared" ref="G74" si="50">D74*C74</f>
        <v>13354.939999999999</v>
      </c>
      <c r="H74" s="383">
        <f t="shared" ref="H74:H76" si="51">(E74-D74)/D74</f>
        <v>-1.9688594632398231E-2</v>
      </c>
      <c r="I74" s="382"/>
    </row>
    <row r="75" spans="2:31" x14ac:dyDescent="0.25">
      <c r="B75" s="380">
        <v>42598</v>
      </c>
      <c r="C75" s="381">
        <v>400</v>
      </c>
      <c r="D75" s="382">
        <v>33.387349999999998</v>
      </c>
      <c r="E75" s="382">
        <v>32.1</v>
      </c>
      <c r="F75" s="382">
        <f t="shared" si="49"/>
        <v>-514.93999999999858</v>
      </c>
      <c r="G75" s="382">
        <f t="shared" ref="G75:G80" si="52">D75*C75</f>
        <v>13354.939999999999</v>
      </c>
      <c r="H75" s="383">
        <f t="shared" si="51"/>
        <v>-3.8558016733882636E-2</v>
      </c>
      <c r="I75" s="382"/>
    </row>
    <row r="76" spans="2:31" x14ac:dyDescent="0.25">
      <c r="B76" s="380">
        <v>42599</v>
      </c>
      <c r="C76" s="381">
        <v>500</v>
      </c>
      <c r="D76" s="382">
        <v>33.045879999999997</v>
      </c>
      <c r="E76" s="382">
        <v>31.88</v>
      </c>
      <c r="F76" s="382">
        <f t="shared" si="49"/>
        <v>-582.93999999999892</v>
      </c>
      <c r="G76" s="382">
        <f t="shared" si="52"/>
        <v>16522.939999999999</v>
      </c>
      <c r="H76" s="383">
        <f t="shared" si="51"/>
        <v>-3.5280646180401248E-2</v>
      </c>
      <c r="I76" s="382"/>
    </row>
    <row r="77" spans="2:31" x14ac:dyDescent="0.25">
      <c r="B77" s="380">
        <v>42600</v>
      </c>
      <c r="C77" s="381">
        <v>500</v>
      </c>
      <c r="D77" s="382">
        <v>33.045879999999997</v>
      </c>
      <c r="E77" s="382">
        <v>32.46</v>
      </c>
      <c r="F77" s="382">
        <f t="shared" ref="F77" si="53">C77*(E77-D77)</f>
        <v>-292.93999999999801</v>
      </c>
      <c r="G77" s="382">
        <f t="shared" si="52"/>
        <v>16522.939999999999</v>
      </c>
      <c r="H77" s="383">
        <f t="shared" ref="H77" si="54">(E77-D77)/D77</f>
        <v>-1.7729290307899079E-2</v>
      </c>
      <c r="I77" s="382"/>
    </row>
    <row r="78" spans="2:31" x14ac:dyDescent="0.25">
      <c r="B78" s="380">
        <v>42601</v>
      </c>
      <c r="C78" s="381">
        <v>500</v>
      </c>
      <c r="D78" s="382">
        <v>33.045879999999997</v>
      </c>
      <c r="E78" s="382">
        <v>32.61</v>
      </c>
      <c r="F78" s="382">
        <f t="shared" ref="F78" si="55">C78*(E78-D78)</f>
        <v>-217.93999999999869</v>
      </c>
      <c r="G78" s="382">
        <f t="shared" si="52"/>
        <v>16522.939999999999</v>
      </c>
      <c r="H78" s="383">
        <f t="shared" ref="H78" si="56">(E78-D78)/D78</f>
        <v>-1.3190146547769266E-2</v>
      </c>
      <c r="I78" s="382"/>
    </row>
    <row r="79" spans="2:31" x14ac:dyDescent="0.25">
      <c r="B79" s="380">
        <v>42604</v>
      </c>
      <c r="C79" s="381">
        <v>500</v>
      </c>
      <c r="D79" s="382">
        <v>33.045879999999997</v>
      </c>
      <c r="E79" s="382">
        <v>32.86</v>
      </c>
      <c r="F79" s="382">
        <f t="shared" ref="F79" si="57">C79*(E79-D79)</f>
        <v>-92.93999999999869</v>
      </c>
      <c r="G79" s="382">
        <f t="shared" si="52"/>
        <v>16522.939999999999</v>
      </c>
      <c r="H79" s="383">
        <f t="shared" ref="H79" si="58">(E79-D79)/D79</f>
        <v>-5.624906947552839E-3</v>
      </c>
      <c r="I79" s="382"/>
    </row>
    <row r="80" spans="2:31" x14ac:dyDescent="0.25">
      <c r="B80" s="380">
        <v>42605</v>
      </c>
      <c r="C80" s="381">
        <v>500</v>
      </c>
      <c r="D80" s="382">
        <v>33.045879999999997</v>
      </c>
      <c r="E80" s="382">
        <v>32.25</v>
      </c>
      <c r="F80" s="382">
        <f t="shared" ref="F80" si="59">C80*(E80-D80)</f>
        <v>-397.93999999999841</v>
      </c>
      <c r="G80" s="382">
        <f t="shared" si="52"/>
        <v>16522.939999999999</v>
      </c>
      <c r="H80" s="383">
        <f t="shared" ref="H80" si="60">(E80-D80)/D80</f>
        <v>-2.4084091572080902E-2</v>
      </c>
      <c r="I80" s="382"/>
    </row>
    <row r="81" spans="2:9" x14ac:dyDescent="0.25">
      <c r="B81" s="380">
        <v>42606</v>
      </c>
      <c r="C81" s="381">
        <v>500</v>
      </c>
      <c r="D81" s="382">
        <v>33.045879999999997</v>
      </c>
      <c r="E81" s="382">
        <v>32.99</v>
      </c>
      <c r="F81" s="382">
        <f t="shared" ref="F81" si="61">C81*(E81-D81)</f>
        <v>-27.939999999997411</v>
      </c>
      <c r="G81" s="382">
        <f t="shared" ref="G81" si="62">D81*C81</f>
        <v>16522.939999999999</v>
      </c>
      <c r="H81" s="383">
        <f t="shared" ref="H81" si="63">(E81-D81)/D81</f>
        <v>-1.6909823554402191E-3</v>
      </c>
      <c r="I81" s="382"/>
    </row>
    <row r="82" spans="2:9" x14ac:dyDescent="0.25">
      <c r="B82" s="380">
        <v>42607</v>
      </c>
      <c r="C82" s="381">
        <v>500</v>
      </c>
      <c r="D82" s="382">
        <v>33.045879999999997</v>
      </c>
      <c r="E82" s="382">
        <v>32.76</v>
      </c>
      <c r="F82" s="382">
        <f t="shared" ref="F82" si="64">C82*(E82-D82)</f>
        <v>-142.9399999999994</v>
      </c>
      <c r="G82" s="382">
        <f t="shared" ref="G82" si="65">D82*C82</f>
        <v>16522.939999999999</v>
      </c>
      <c r="H82" s="383">
        <f t="shared" ref="H82" si="66">(E82-D82)/D82</f>
        <v>-8.6510027876394533E-3</v>
      </c>
      <c r="I82" s="382"/>
    </row>
    <row r="83" spans="2:9" x14ac:dyDescent="0.25">
      <c r="B83" s="380">
        <v>42611</v>
      </c>
      <c r="C83" s="381">
        <v>500</v>
      </c>
      <c r="D83" s="382">
        <v>33.045879999999997</v>
      </c>
      <c r="E83" s="382">
        <v>32.33</v>
      </c>
      <c r="F83" s="382">
        <f t="shared" ref="F83" si="67">C83*(E83-D83)</f>
        <v>-357.93999999999926</v>
      </c>
      <c r="G83" s="382">
        <f t="shared" ref="G83" si="68">D83*C83</f>
        <v>16522.939999999999</v>
      </c>
      <c r="H83" s="383">
        <f t="shared" ref="H83" si="69">(E83-D83)/D83</f>
        <v>-2.1663214900011697E-2</v>
      </c>
      <c r="I83" s="382"/>
    </row>
    <row r="84" spans="2:9" x14ac:dyDescent="0.25">
      <c r="B84" s="380">
        <v>42612</v>
      </c>
      <c r="C84" s="381">
        <v>500</v>
      </c>
      <c r="D84" s="382">
        <v>33.045879999999997</v>
      </c>
      <c r="E84" s="382">
        <v>32.159999999999997</v>
      </c>
      <c r="F84" s="382">
        <f t="shared" ref="F84" si="70">C84*(E84-D84)</f>
        <v>-442.94000000000011</v>
      </c>
      <c r="G84" s="382">
        <f t="shared" ref="G84" si="71">D84*C84</f>
        <v>16522.939999999999</v>
      </c>
      <c r="H84" s="383">
        <f t="shared" ref="H84" si="72">(E84-D84)/D84</f>
        <v>-2.6807577828158919E-2</v>
      </c>
      <c r="I84" s="382"/>
    </row>
    <row r="85" spans="2:9" x14ac:dyDescent="0.25">
      <c r="B85" s="380">
        <v>42614</v>
      </c>
      <c r="C85" s="381">
        <v>500</v>
      </c>
      <c r="D85" s="382">
        <v>33.045879999999997</v>
      </c>
      <c r="E85" s="382">
        <v>31.96</v>
      </c>
      <c r="F85" s="382">
        <f t="shared" ref="F85" si="73">C85*(E85-D85)</f>
        <v>-542.93999999999801</v>
      </c>
      <c r="G85" s="382">
        <f t="shared" ref="G85" si="74">D85*C85</f>
        <v>16522.939999999999</v>
      </c>
      <c r="H85" s="383">
        <f t="shared" ref="H85" si="75">(E85-D85)/D85</f>
        <v>-3.2859769508331936E-2</v>
      </c>
      <c r="I85" s="382"/>
    </row>
    <row r="86" spans="2:9" x14ac:dyDescent="0.25">
      <c r="B86" s="380">
        <v>42615</v>
      </c>
      <c r="C86" s="381">
        <v>500</v>
      </c>
      <c r="D86" s="382">
        <v>32.94988</v>
      </c>
      <c r="E86" s="382">
        <v>32.5</v>
      </c>
      <c r="F86" s="382">
        <f t="shared" ref="F86" si="76">C86*(E86-D86)</f>
        <v>-224.94000000000014</v>
      </c>
      <c r="G86" s="382">
        <f t="shared" ref="G86" si="77">D86*C86</f>
        <v>16474.939999999999</v>
      </c>
      <c r="H86" s="383">
        <f t="shared" ref="H86" si="78">(E86-D86)/D86</f>
        <v>-1.3653463988336233E-2</v>
      </c>
      <c r="I86" s="382" t="s">
        <v>189</v>
      </c>
    </row>
    <row r="87" spans="2:9" x14ac:dyDescent="0.25">
      <c r="B87" s="380">
        <v>42619</v>
      </c>
      <c r="C87" s="381">
        <v>500</v>
      </c>
      <c r="D87" s="382">
        <v>32.94988</v>
      </c>
      <c r="E87" s="382">
        <v>32.67</v>
      </c>
      <c r="F87" s="382">
        <f t="shared" ref="F87:F88" si="79">C87*(E87-D87)</f>
        <v>-139.93999999999929</v>
      </c>
      <c r="G87" s="382">
        <f t="shared" ref="G87:G88" si="80">D87*C87</f>
        <v>16474.939999999999</v>
      </c>
      <c r="H87" s="383">
        <f t="shared" ref="H87:H88" si="81">(E87-D87)/D87</f>
        <v>-8.4941128768905548E-3</v>
      </c>
      <c r="I87" s="382"/>
    </row>
    <row r="88" spans="2:9" x14ac:dyDescent="0.25">
      <c r="B88" s="380">
        <v>42620</v>
      </c>
      <c r="C88" s="381">
        <v>600</v>
      </c>
      <c r="D88" s="382">
        <v>32.733229999999999</v>
      </c>
      <c r="E88" s="382">
        <v>31.32</v>
      </c>
      <c r="F88" s="382">
        <f t="shared" si="79"/>
        <v>-847.93799999999919</v>
      </c>
      <c r="G88" s="382">
        <f t="shared" si="80"/>
        <v>19639.937999999998</v>
      </c>
      <c r="H88" s="383">
        <f t="shared" si="81"/>
        <v>-4.3174168879759153E-2</v>
      </c>
      <c r="I88" s="382"/>
    </row>
    <row r="89" spans="2:9" x14ac:dyDescent="0.25">
      <c r="B89" s="380">
        <v>42620</v>
      </c>
      <c r="C89" s="381">
        <v>700</v>
      </c>
      <c r="D89" s="382">
        <v>32.511339999999997</v>
      </c>
      <c r="E89" s="382">
        <v>31.32</v>
      </c>
      <c r="F89" s="382">
        <f t="shared" ref="F89" si="82">C89*(E89-D89)</f>
        <v>-833.93799999999771</v>
      </c>
      <c r="G89" s="382">
        <f t="shared" ref="G89" si="83">D89*C89</f>
        <v>22757.937999999998</v>
      </c>
      <c r="H89" s="383">
        <f t="shared" ref="H89" si="84">(E89-D89)/D89</f>
        <v>-3.6643829506873504E-2</v>
      </c>
      <c r="I89" s="382"/>
    </row>
    <row r="90" spans="2:9" x14ac:dyDescent="0.25">
      <c r="B90" s="380">
        <v>42621</v>
      </c>
      <c r="C90" s="381">
        <v>700</v>
      </c>
      <c r="D90" s="382">
        <v>32.511339999999997</v>
      </c>
      <c r="E90" s="382">
        <v>31.31</v>
      </c>
      <c r="F90" s="382">
        <f t="shared" ref="F90" si="85">C90*(E90-D90)</f>
        <v>-840.93799999999885</v>
      </c>
      <c r="G90" s="382">
        <f t="shared" ref="G90" si="86">D90*C90</f>
        <v>22757.937999999998</v>
      </c>
      <c r="H90" s="383">
        <f t="shared" ref="H90" si="87">(E90-D90)/D90</f>
        <v>-3.6951414491066759E-2</v>
      </c>
      <c r="I90" s="382"/>
    </row>
    <row r="91" spans="2:9" x14ac:dyDescent="0.25">
      <c r="B91" s="380">
        <v>42622</v>
      </c>
      <c r="C91" s="381">
        <v>700</v>
      </c>
      <c r="D91" s="382">
        <v>32.511339999999997</v>
      </c>
      <c r="E91" s="382">
        <v>31.51</v>
      </c>
      <c r="F91" s="382">
        <f t="shared" ref="F91:F92" si="88">C91*(E91-D91)</f>
        <v>-700.9379999999968</v>
      </c>
      <c r="G91" s="382">
        <f t="shared" ref="G91:G92" si="89">D91*C91</f>
        <v>22757.937999999998</v>
      </c>
      <c r="H91" s="383">
        <f t="shared" ref="H91:H92" si="90">(E91-D91)/D91</f>
        <v>-3.0799714807202519E-2</v>
      </c>
      <c r="I91" s="382"/>
    </row>
    <row r="92" spans="2:9" x14ac:dyDescent="0.25">
      <c r="B92" s="380">
        <v>42625</v>
      </c>
      <c r="C92" s="381">
        <v>800</v>
      </c>
      <c r="D92" s="382">
        <v>32.297429999999999</v>
      </c>
      <c r="E92" s="382">
        <v>30.89</v>
      </c>
      <c r="F92" s="382">
        <f t="shared" si="88"/>
        <v>-1125.9439999999984</v>
      </c>
      <c r="G92" s="382">
        <f t="shared" si="89"/>
        <v>25837.944</v>
      </c>
      <c r="H92" s="383">
        <f t="shared" si="90"/>
        <v>-4.3577151494716394E-2</v>
      </c>
      <c r="I92" s="382"/>
    </row>
    <row r="93" spans="2:9" x14ac:dyDescent="0.25">
      <c r="B93" s="380">
        <v>42632</v>
      </c>
      <c r="C93" s="381">
        <v>800</v>
      </c>
      <c r="D93" s="382">
        <v>32.297429999999999</v>
      </c>
      <c r="E93" s="382">
        <v>30.79</v>
      </c>
      <c r="F93" s="382">
        <f t="shared" ref="F93" si="91">C93*(E93-D93)</f>
        <v>-1205.9439999999995</v>
      </c>
      <c r="G93" s="382">
        <f t="shared" ref="G93" si="92">D93*C93</f>
        <v>25837.944</v>
      </c>
      <c r="H93" s="383">
        <f t="shared" ref="H93" si="93">(E93-D93)/D93</f>
        <v>-4.6673373082626063E-2</v>
      </c>
      <c r="I93" s="382"/>
    </row>
    <row r="94" spans="2:9" x14ac:dyDescent="0.25">
      <c r="B94" s="380">
        <v>42633</v>
      </c>
      <c r="C94" s="381">
        <v>800</v>
      </c>
      <c r="D94" s="382">
        <v>32.297429999999999</v>
      </c>
      <c r="E94" s="382">
        <v>31.09</v>
      </c>
      <c r="F94" s="382">
        <f t="shared" ref="F94" si="94">C94*(E94-D94)</f>
        <v>-965.94399999999894</v>
      </c>
      <c r="G94" s="382">
        <f t="shared" ref="G94" si="95">D94*C94</f>
        <v>25837.944</v>
      </c>
      <c r="H94" s="383">
        <f t="shared" ref="H94" si="96">(E94-D94)/D94</f>
        <v>-3.7384708318897161E-2</v>
      </c>
      <c r="I94" s="382"/>
    </row>
    <row r="95" spans="2:9" x14ac:dyDescent="0.25">
      <c r="B95" s="380">
        <v>42605</v>
      </c>
      <c r="C95" s="381">
        <v>800</v>
      </c>
      <c r="D95" s="382">
        <v>32.297429999999999</v>
      </c>
      <c r="E95" s="382">
        <v>30.45</v>
      </c>
      <c r="F95" s="382">
        <f t="shared" ref="F95:F96" si="97">C95*(E95-D95)</f>
        <v>-1477.9439999999995</v>
      </c>
      <c r="G95" s="382">
        <f t="shared" ref="G95:G96" si="98">D95*C95</f>
        <v>25837.944</v>
      </c>
      <c r="H95" s="383">
        <f t="shared" ref="H95:H96" si="99">(E95-D95)/D95</f>
        <v>-5.7200526481518785E-2</v>
      </c>
      <c r="I95" s="382"/>
    </row>
    <row r="96" spans="2:9" x14ac:dyDescent="0.25">
      <c r="B96" s="380">
        <v>42639</v>
      </c>
      <c r="C96" s="381">
        <v>900</v>
      </c>
      <c r="D96" s="382">
        <v>32.05104</v>
      </c>
      <c r="E96" s="382">
        <v>30.08</v>
      </c>
      <c r="F96" s="382">
        <f t="shared" si="97"/>
        <v>-1773.936000000002</v>
      </c>
      <c r="G96" s="382">
        <f t="shared" si="98"/>
        <v>28845.936000000002</v>
      </c>
      <c r="H96" s="383">
        <f t="shared" si="99"/>
        <v>-6.14969124246827E-2</v>
      </c>
      <c r="I96" s="382"/>
    </row>
    <row r="97" spans="2:9" x14ac:dyDescent="0.25">
      <c r="B97" s="380">
        <v>42640</v>
      </c>
      <c r="C97" s="381">
        <v>900</v>
      </c>
      <c r="D97" s="382">
        <v>32.05104</v>
      </c>
      <c r="E97" s="382">
        <v>29.9</v>
      </c>
      <c r="F97" s="382">
        <f t="shared" ref="F97" si="100">C97*(E97-D97)</f>
        <v>-1935.9360000000017</v>
      </c>
      <c r="G97" s="382">
        <f t="shared" ref="G97" si="101">D97*C97</f>
        <v>28845.936000000002</v>
      </c>
      <c r="H97" s="383">
        <f t="shared" ref="H97" si="102">(E97-D97)/D97</f>
        <v>-6.7112954837034985E-2</v>
      </c>
      <c r="I97" s="382"/>
    </row>
    <row r="98" spans="2:9" x14ac:dyDescent="0.25">
      <c r="B98" s="380">
        <v>42641</v>
      </c>
      <c r="C98" s="381">
        <v>900</v>
      </c>
      <c r="D98" s="382">
        <v>32.05104</v>
      </c>
      <c r="E98" s="382">
        <v>29.84</v>
      </c>
      <c r="F98" s="382">
        <f t="shared" ref="F98" si="103">C98*(E98-D98)</f>
        <v>-1989.9360000000006</v>
      </c>
      <c r="G98" s="382">
        <f t="shared" ref="G98" si="104">D98*C98</f>
        <v>28845.936000000002</v>
      </c>
      <c r="H98" s="383">
        <f t="shared" ref="H98" si="105">(E98-D98)/D98</f>
        <v>-6.8984968974485708E-2</v>
      </c>
      <c r="I98" s="382"/>
    </row>
    <row r="99" spans="2:9" x14ac:dyDescent="0.25">
      <c r="B99" s="380">
        <v>42643</v>
      </c>
      <c r="C99" s="381">
        <v>900</v>
      </c>
      <c r="D99" s="382">
        <v>32.05104</v>
      </c>
      <c r="E99" s="382">
        <v>29.68</v>
      </c>
      <c r="F99" s="382">
        <f t="shared" ref="F99:F100" si="106">C99*(E99-D99)</f>
        <v>-2133.9360000000006</v>
      </c>
      <c r="G99" s="382">
        <f t="shared" ref="G99:G100" si="107">D99*C99</f>
        <v>28845.936000000002</v>
      </c>
      <c r="H99" s="383">
        <f t="shared" ref="H99:H100" si="108">(E99-D99)/D99</f>
        <v>-7.3977006674354431E-2</v>
      </c>
      <c r="I99" s="382"/>
    </row>
    <row r="100" spans="2:9" x14ac:dyDescent="0.25">
      <c r="B100" s="380">
        <v>42646</v>
      </c>
      <c r="C100" s="381">
        <v>1000</v>
      </c>
      <c r="D100" s="382">
        <v>31.78594</v>
      </c>
      <c r="E100" s="382">
        <v>29.28</v>
      </c>
      <c r="F100" s="382">
        <f t="shared" si="106"/>
        <v>-2505.9399999999991</v>
      </c>
      <c r="G100" s="382">
        <f t="shared" si="107"/>
        <v>31785.94</v>
      </c>
      <c r="H100" s="383">
        <f t="shared" si="108"/>
        <v>-7.8838001959356835E-2</v>
      </c>
      <c r="I100" s="382"/>
    </row>
    <row r="101" spans="2:9" x14ac:dyDescent="0.25">
      <c r="B101" s="380">
        <v>42648</v>
      </c>
      <c r="C101" s="381">
        <v>1000</v>
      </c>
      <c r="D101" s="382">
        <v>31.78594</v>
      </c>
      <c r="E101" s="382">
        <v>28.84</v>
      </c>
      <c r="F101" s="382">
        <f t="shared" ref="F101" si="109">C101*(E101-D101)</f>
        <v>-2945.94</v>
      </c>
      <c r="G101" s="382">
        <f t="shared" ref="G101" si="110">D101*C101</f>
        <v>31785.94</v>
      </c>
      <c r="H101" s="383">
        <f t="shared" ref="H101" si="111">(E101-D101)/D101</f>
        <v>-9.2680600290568724E-2</v>
      </c>
      <c r="I101" s="382"/>
    </row>
    <row r="102" spans="2:9" x14ac:dyDescent="0.25">
      <c r="B102" s="380">
        <v>42649</v>
      </c>
      <c r="C102" s="381">
        <v>1000</v>
      </c>
      <c r="D102" s="382">
        <v>31.78594</v>
      </c>
      <c r="E102" s="382">
        <v>29.37</v>
      </c>
      <c r="F102" s="382">
        <f t="shared" ref="F102" si="112">C102*(E102-D102)</f>
        <v>-2415.9399999999991</v>
      </c>
      <c r="G102" s="382">
        <f t="shared" ref="G102" si="113">D102*C102</f>
        <v>31785.94</v>
      </c>
      <c r="H102" s="383">
        <f t="shared" ref="H102" si="114">(E102-D102)/D102</f>
        <v>-7.6006561391608968E-2</v>
      </c>
      <c r="I102" s="382"/>
    </row>
    <row r="103" spans="2:9" x14ac:dyDescent="0.25">
      <c r="B103" s="380">
        <v>42650</v>
      </c>
      <c r="C103" s="381">
        <v>1000</v>
      </c>
      <c r="D103" s="382">
        <v>31.78594</v>
      </c>
      <c r="E103" s="382">
        <v>29</v>
      </c>
      <c r="F103" s="382">
        <f t="shared" ref="F103" si="115">C103*(E103-D103)</f>
        <v>-2785.94</v>
      </c>
      <c r="G103" s="382">
        <f t="shared" ref="G103" si="116">D103*C103</f>
        <v>31785.94</v>
      </c>
      <c r="H103" s="383">
        <f t="shared" ref="H103" si="117">(E103-D103)/D103</f>
        <v>-8.7646928170128049E-2</v>
      </c>
      <c r="I103" s="382"/>
    </row>
    <row r="104" spans="2:9" x14ac:dyDescent="0.25">
      <c r="B104" s="380">
        <v>42661</v>
      </c>
      <c r="C104" s="381">
        <v>1000</v>
      </c>
      <c r="D104" s="382">
        <v>31.78594</v>
      </c>
      <c r="E104" s="382">
        <v>30.64</v>
      </c>
      <c r="F104" s="382">
        <f t="shared" ref="F104:F109" si="118">C104*(E104-D104)</f>
        <v>-1145.9399999999996</v>
      </c>
      <c r="G104" s="382">
        <f t="shared" ref="G104:G109" si="119">D104*C104</f>
        <v>31785.94</v>
      </c>
      <c r="H104" s="383">
        <f t="shared" ref="H104:H109" si="120">(E104-D104)/D104</f>
        <v>-3.6051788935611138E-2</v>
      </c>
      <c r="I104" s="382"/>
    </row>
    <row r="105" spans="2:9" x14ac:dyDescent="0.25">
      <c r="B105" s="380">
        <v>42671</v>
      </c>
      <c r="C105" s="381">
        <v>900</v>
      </c>
      <c r="D105" s="382">
        <v>31.837789999999998</v>
      </c>
      <c r="E105" s="382">
        <v>31.26</v>
      </c>
      <c r="F105" s="382">
        <f t="shared" si="118"/>
        <v>-520.01099999999701</v>
      </c>
      <c r="G105" s="382">
        <f t="shared" si="119"/>
        <v>28654.010999999999</v>
      </c>
      <c r="H105" s="383">
        <f t="shared" si="120"/>
        <v>-1.8147930493919232E-2</v>
      </c>
      <c r="I105" s="382"/>
    </row>
    <row r="106" spans="2:9" x14ac:dyDescent="0.25">
      <c r="B106" s="380">
        <v>42674</v>
      </c>
      <c r="C106" s="381">
        <v>1000</v>
      </c>
      <c r="D106" s="382">
        <v>31.763999999999999</v>
      </c>
      <c r="E106" s="382">
        <v>30.98</v>
      </c>
      <c r="F106" s="382">
        <f t="shared" si="118"/>
        <v>-783.99999999999886</v>
      </c>
      <c r="G106" s="382">
        <f t="shared" si="119"/>
        <v>31764</v>
      </c>
      <c r="H106" s="383">
        <f t="shared" si="120"/>
        <v>-2.468202997103636E-2</v>
      </c>
      <c r="I106" s="382"/>
    </row>
    <row r="107" spans="2:9" x14ac:dyDescent="0.25">
      <c r="B107" s="380">
        <v>42676</v>
      </c>
      <c r="C107" s="381">
        <v>500</v>
      </c>
      <c r="D107" s="382">
        <v>31.518719999999998</v>
      </c>
      <c r="E107" s="382">
        <v>32.22</v>
      </c>
      <c r="F107" s="382">
        <f t="shared" si="118"/>
        <v>350.64000000000027</v>
      </c>
      <c r="G107" s="382">
        <f t="shared" si="119"/>
        <v>15759.359999999999</v>
      </c>
      <c r="H107" s="383">
        <f t="shared" si="120"/>
        <v>2.2249634502923995E-2</v>
      </c>
      <c r="I107" s="382">
        <v>31</v>
      </c>
    </row>
    <row r="108" spans="2:9" x14ac:dyDescent="0.25">
      <c r="B108" s="380">
        <v>42677</v>
      </c>
      <c r="C108" s="381">
        <v>800</v>
      </c>
      <c r="D108" s="382">
        <v>31.51858</v>
      </c>
      <c r="E108" s="382">
        <v>31.02</v>
      </c>
      <c r="F108" s="382">
        <f t="shared" si="118"/>
        <v>-398.86400000000037</v>
      </c>
      <c r="G108" s="382">
        <f t="shared" si="119"/>
        <v>25214.864000000001</v>
      </c>
      <c r="H108" s="383">
        <f t="shared" si="120"/>
        <v>-1.5818606041262027E-2</v>
      </c>
      <c r="I108" s="382"/>
    </row>
    <row r="109" spans="2:9" x14ac:dyDescent="0.25">
      <c r="B109" s="380">
        <v>42701</v>
      </c>
      <c r="C109" s="381">
        <v>400</v>
      </c>
      <c r="D109" s="382">
        <v>30.677849999999999</v>
      </c>
      <c r="E109" s="382">
        <v>33.880000000000003</v>
      </c>
      <c r="F109" s="382">
        <f t="shared" si="118"/>
        <v>1280.8600000000013</v>
      </c>
      <c r="G109" s="382">
        <f t="shared" si="119"/>
        <v>12271.14</v>
      </c>
      <c r="H109" s="383">
        <f t="shared" si="120"/>
        <v>0.10437987016691207</v>
      </c>
      <c r="I109" s="382"/>
    </row>
    <row r="110" spans="2:9" x14ac:dyDescent="0.25">
      <c r="B110" s="380">
        <v>42704</v>
      </c>
      <c r="C110" s="381">
        <v>400</v>
      </c>
      <c r="D110" s="382">
        <v>30.677849999999999</v>
      </c>
      <c r="E110" s="382">
        <v>32.299999999999997</v>
      </c>
      <c r="F110" s="382">
        <f t="shared" ref="F110:F116" si="121">C110*(E110-D110)</f>
        <v>648.8599999999991</v>
      </c>
      <c r="G110" s="382">
        <f t="shared" ref="G110:G116" si="122">D110*C110</f>
        <v>12271.14</v>
      </c>
      <c r="H110" s="383">
        <f t="shared" ref="H110:H116" si="123">(E110-D110)/D110</f>
        <v>5.2876912821465581E-2</v>
      </c>
      <c r="I110" s="382"/>
    </row>
    <row r="111" spans="2:9" x14ac:dyDescent="0.25">
      <c r="B111" s="380">
        <v>42706</v>
      </c>
      <c r="C111" s="381">
        <v>400</v>
      </c>
      <c r="D111" s="382">
        <v>30.527850000000001</v>
      </c>
      <c r="E111" s="382">
        <v>33.299999999999997</v>
      </c>
      <c r="F111" s="382">
        <f t="shared" si="121"/>
        <v>1108.8599999999985</v>
      </c>
      <c r="G111" s="382">
        <f t="shared" si="122"/>
        <v>12211.14</v>
      </c>
      <c r="H111" s="383">
        <f t="shared" si="123"/>
        <v>9.0807246497869851E-2</v>
      </c>
      <c r="I111" s="382"/>
    </row>
    <row r="112" spans="2:9" x14ac:dyDescent="0.25">
      <c r="B112" s="380">
        <v>42712</v>
      </c>
      <c r="C112" s="381">
        <v>300</v>
      </c>
      <c r="D112" s="382">
        <v>29.297370000000001</v>
      </c>
      <c r="E112" s="382">
        <v>34.19</v>
      </c>
      <c r="F112" s="382">
        <f t="shared" si="121"/>
        <v>1467.7889999999991</v>
      </c>
      <c r="G112" s="382">
        <f t="shared" si="122"/>
        <v>8789.2109999999993</v>
      </c>
      <c r="H112" s="383">
        <f t="shared" si="123"/>
        <v>0.16699894905242338</v>
      </c>
      <c r="I112" s="382"/>
    </row>
    <row r="113" spans="2:9" x14ac:dyDescent="0.25">
      <c r="B113" s="380">
        <v>42713</v>
      </c>
      <c r="C113" s="381">
        <v>200</v>
      </c>
      <c r="D113" s="382">
        <v>26.551449999999999</v>
      </c>
      <c r="E113" s="382">
        <v>34.78</v>
      </c>
      <c r="F113" s="382">
        <f t="shared" si="121"/>
        <v>1645.7100000000005</v>
      </c>
      <c r="G113" s="382">
        <f t="shared" si="122"/>
        <v>5310.29</v>
      </c>
      <c r="H113" s="383">
        <f t="shared" si="123"/>
        <v>0.30990962828772073</v>
      </c>
      <c r="I113" s="382"/>
    </row>
    <row r="114" spans="2:9" x14ac:dyDescent="0.25">
      <c r="B114" s="380">
        <v>42716</v>
      </c>
      <c r="C114" s="381">
        <v>300</v>
      </c>
      <c r="D114" s="382">
        <v>29.0943</v>
      </c>
      <c r="E114" s="382">
        <v>34.22</v>
      </c>
      <c r="F114" s="382">
        <f t="shared" si="121"/>
        <v>1537.7099999999996</v>
      </c>
      <c r="G114" s="382">
        <f t="shared" si="122"/>
        <v>8728.2900000000009</v>
      </c>
      <c r="H114" s="383">
        <f t="shared" si="123"/>
        <v>0.17617540205469795</v>
      </c>
      <c r="I114" s="382"/>
    </row>
    <row r="115" spans="2:9" x14ac:dyDescent="0.25">
      <c r="B115" s="380">
        <v>42718</v>
      </c>
      <c r="C115" s="381">
        <v>100</v>
      </c>
      <c r="D115" s="382">
        <v>17.179500000000001</v>
      </c>
      <c r="E115" s="382">
        <v>34.72</v>
      </c>
      <c r="F115" s="382">
        <f t="shared" si="121"/>
        <v>1754.0499999999997</v>
      </c>
      <c r="G115" s="382">
        <f t="shared" si="122"/>
        <v>1717.95</v>
      </c>
      <c r="H115" s="383">
        <f t="shared" si="123"/>
        <v>1.021013417154166</v>
      </c>
      <c r="I115" s="382"/>
    </row>
    <row r="116" spans="2:9" x14ac:dyDescent="0.25">
      <c r="B116" s="380">
        <v>42718</v>
      </c>
      <c r="C116" s="381">
        <v>300</v>
      </c>
      <c r="D116" s="382">
        <v>28.9132</v>
      </c>
      <c r="E116" s="382">
        <v>34.72</v>
      </c>
      <c r="F116" s="382">
        <f t="shared" si="121"/>
        <v>1742.0399999999997</v>
      </c>
      <c r="G116" s="382">
        <f t="shared" si="122"/>
        <v>8673.9599999999991</v>
      </c>
      <c r="H116" s="383">
        <f t="shared" si="123"/>
        <v>0.20083560449898313</v>
      </c>
      <c r="I116" s="382"/>
    </row>
    <row r="117" spans="2:9" x14ac:dyDescent="0.25">
      <c r="B117" s="380">
        <v>42729</v>
      </c>
      <c r="C117" s="381">
        <v>300</v>
      </c>
      <c r="D117" s="382">
        <v>28.9132</v>
      </c>
      <c r="E117" s="382">
        <v>35.08</v>
      </c>
      <c r="F117" s="382">
        <f t="shared" ref="F117" si="124">C117*(E117-D117)</f>
        <v>1850.0399999999995</v>
      </c>
      <c r="G117" s="382">
        <f t="shared" ref="G117" si="125">D117*C117</f>
        <v>8673.9599999999991</v>
      </c>
      <c r="H117" s="383">
        <f t="shared" ref="H117" si="126">(E117-D117)/D117</f>
        <v>0.21328666491429515</v>
      </c>
      <c r="I117" s="382"/>
    </row>
    <row r="118" spans="2:9" x14ac:dyDescent="0.25">
      <c r="B118" s="380">
        <v>42745</v>
      </c>
      <c r="C118" s="381">
        <v>400</v>
      </c>
      <c r="D118" s="382">
        <v>30.12988</v>
      </c>
      <c r="E118" s="382">
        <v>33.19</v>
      </c>
      <c r="F118" s="382">
        <f t="shared" ref="F118:F120" si="127">C118*(E118-D118)</f>
        <v>1224.0479999999991</v>
      </c>
      <c r="G118" s="382">
        <f t="shared" ref="G118:G120" si="128">D118*C118</f>
        <v>12051.951999999999</v>
      </c>
      <c r="H118" s="383">
        <f t="shared" ref="H118:H120" si="129">(E118-D118)/D118</f>
        <v>0.1015642943151449</v>
      </c>
      <c r="I118" s="382"/>
    </row>
    <row r="119" spans="2:9" x14ac:dyDescent="0.25">
      <c r="B119" s="380">
        <v>42752</v>
      </c>
      <c r="C119" s="381">
        <v>300</v>
      </c>
      <c r="D119" s="382">
        <v>28.620100000000001</v>
      </c>
      <c r="E119" s="382">
        <v>34.840000000000003</v>
      </c>
      <c r="F119" s="382">
        <f t="shared" si="127"/>
        <v>1865.9700000000007</v>
      </c>
      <c r="G119" s="382">
        <f t="shared" si="128"/>
        <v>8586.0300000000007</v>
      </c>
      <c r="H119" s="383">
        <f t="shared" si="129"/>
        <v>0.21732628467405782</v>
      </c>
      <c r="I119" s="382">
        <v>28.25</v>
      </c>
    </row>
    <row r="120" spans="2:9" x14ac:dyDescent="0.25">
      <c r="B120" s="380">
        <v>42754</v>
      </c>
      <c r="C120" s="381">
        <v>400</v>
      </c>
      <c r="D120" s="382">
        <v>30.032579999999999</v>
      </c>
      <c r="E120" s="382">
        <v>34.26</v>
      </c>
      <c r="F120" s="382">
        <f t="shared" si="127"/>
        <v>1690.9679999999994</v>
      </c>
      <c r="G120" s="382">
        <f t="shared" si="128"/>
        <v>12013.031999999999</v>
      </c>
      <c r="H120" s="383">
        <f t="shared" si="129"/>
        <v>0.14076113340911767</v>
      </c>
      <c r="I120" s="382"/>
    </row>
    <row r="145" spans="1:13" x14ac:dyDescent="0.25">
      <c r="L145" t="s">
        <v>65</v>
      </c>
      <c r="M145" s="2">
        <f>M173+K173-F173</f>
        <v>1747.9699999999939</v>
      </c>
    </row>
    <row r="146" spans="1:13" x14ac:dyDescent="0.25">
      <c r="A146" s="263" t="s">
        <v>1</v>
      </c>
      <c r="B146" s="263" t="s">
        <v>2</v>
      </c>
      <c r="C146" s="263" t="s">
        <v>4</v>
      </c>
      <c r="D146" s="264" t="s">
        <v>5</v>
      </c>
      <c r="E146" s="264" t="s">
        <v>94</v>
      </c>
      <c r="F146" s="264" t="s">
        <v>60</v>
      </c>
      <c r="G146" s="263" t="s">
        <v>3</v>
      </c>
      <c r="H146" s="263" t="s">
        <v>6</v>
      </c>
      <c r="I146" s="264" t="s">
        <v>7</v>
      </c>
      <c r="J146" s="264" t="s">
        <v>95</v>
      </c>
      <c r="K146" s="264" t="s">
        <v>61</v>
      </c>
      <c r="L146" s="263" t="s">
        <v>37</v>
      </c>
      <c r="M146" s="263" t="s">
        <v>38</v>
      </c>
    </row>
    <row r="147" spans="1:13" x14ac:dyDescent="0.25">
      <c r="A147" s="265" t="s">
        <v>200</v>
      </c>
      <c r="B147" s="266">
        <v>42482</v>
      </c>
      <c r="C147" s="261">
        <v>80</v>
      </c>
      <c r="D147" s="262">
        <v>36.01</v>
      </c>
      <c r="E147" s="262">
        <v>0</v>
      </c>
      <c r="F147" s="262">
        <f t="shared" ref="F147:F167" si="130">D147*C147+E147</f>
        <v>2880.7999999999997</v>
      </c>
      <c r="G147" s="266">
        <v>42514</v>
      </c>
      <c r="H147" s="261">
        <v>40</v>
      </c>
      <c r="I147" s="262">
        <v>35.35</v>
      </c>
      <c r="J147" s="262">
        <v>0.03</v>
      </c>
      <c r="K147" s="262">
        <f>I147*H147-J147</f>
        <v>1413.97</v>
      </c>
      <c r="L147" s="266">
        <v>42522</v>
      </c>
      <c r="M147" s="262">
        <v>10.5</v>
      </c>
    </row>
    <row r="148" spans="1:13" x14ac:dyDescent="0.25">
      <c r="A148" s="268" t="s">
        <v>71</v>
      </c>
      <c r="B148" s="266">
        <v>42482</v>
      </c>
      <c r="C148" s="261">
        <v>20</v>
      </c>
      <c r="D148" s="262">
        <v>35.549999999999997</v>
      </c>
      <c r="E148" s="262">
        <v>0</v>
      </c>
      <c r="F148" s="262">
        <f t="shared" si="130"/>
        <v>711</v>
      </c>
      <c r="G148" s="261"/>
      <c r="H148" s="261"/>
      <c r="I148" s="262"/>
      <c r="J148" s="262"/>
      <c r="K148" s="262"/>
      <c r="L148" s="266">
        <v>42614</v>
      </c>
      <c r="M148" s="262">
        <v>48</v>
      </c>
    </row>
    <row r="149" spans="1:13" x14ac:dyDescent="0.25">
      <c r="A149" s="261"/>
      <c r="B149" s="266">
        <v>42508</v>
      </c>
      <c r="C149" s="261">
        <v>40</v>
      </c>
      <c r="D149" s="262">
        <v>34.19</v>
      </c>
      <c r="E149" s="262">
        <v>0</v>
      </c>
      <c r="F149" s="262">
        <f t="shared" si="130"/>
        <v>1367.6</v>
      </c>
      <c r="G149" s="266">
        <v>42521</v>
      </c>
      <c r="H149" s="267">
        <v>40</v>
      </c>
      <c r="I149" s="262">
        <v>35.99</v>
      </c>
      <c r="J149" s="262">
        <v>0.03</v>
      </c>
      <c r="K149" s="262">
        <f t="shared" ref="K149:K164" si="131">I149*H149-J149</f>
        <v>1439.5700000000002</v>
      </c>
      <c r="L149" s="266">
        <v>42706</v>
      </c>
      <c r="M149" s="262">
        <v>60</v>
      </c>
    </row>
    <row r="150" spans="1:13" x14ac:dyDescent="0.25">
      <c r="A150" s="261"/>
      <c r="B150" s="266">
        <v>42509</v>
      </c>
      <c r="C150" s="261">
        <v>100</v>
      </c>
      <c r="D150" s="262">
        <v>34.49</v>
      </c>
      <c r="E150" s="262">
        <v>0</v>
      </c>
      <c r="F150" s="262">
        <f t="shared" si="130"/>
        <v>3449</v>
      </c>
      <c r="G150" s="266">
        <v>42531</v>
      </c>
      <c r="H150" s="267">
        <v>100</v>
      </c>
      <c r="I150" s="262">
        <v>36.99</v>
      </c>
      <c r="J150" s="262">
        <v>0.08</v>
      </c>
      <c r="K150" s="262">
        <f t="shared" si="131"/>
        <v>3698.92</v>
      </c>
      <c r="L150" s="261"/>
      <c r="M150" s="261"/>
    </row>
    <row r="151" spans="1:13" x14ac:dyDescent="0.25">
      <c r="A151" s="261"/>
      <c r="B151" s="266">
        <v>42536</v>
      </c>
      <c r="C151" s="261">
        <v>100</v>
      </c>
      <c r="D151" s="262">
        <v>35.39</v>
      </c>
      <c r="E151" s="262">
        <v>0</v>
      </c>
      <c r="F151" s="262">
        <f t="shared" si="130"/>
        <v>3539</v>
      </c>
      <c r="G151" s="266">
        <v>42594</v>
      </c>
      <c r="H151" s="267">
        <v>100</v>
      </c>
      <c r="I151" s="262">
        <v>32.58</v>
      </c>
      <c r="J151" s="262">
        <v>7.0000000000000007E-2</v>
      </c>
      <c r="K151" s="262">
        <f t="shared" si="131"/>
        <v>3257.93</v>
      </c>
      <c r="L151" s="261"/>
      <c r="M151" s="261"/>
    </row>
    <row r="152" spans="1:13" x14ac:dyDescent="0.25">
      <c r="A152" s="261"/>
      <c r="B152" s="266">
        <v>42579</v>
      </c>
      <c r="C152" s="261">
        <v>40</v>
      </c>
      <c r="D152" s="262">
        <v>35</v>
      </c>
      <c r="E152" s="262">
        <v>0</v>
      </c>
      <c r="F152" s="262">
        <f t="shared" si="130"/>
        <v>1400</v>
      </c>
      <c r="G152" s="266">
        <v>42671</v>
      </c>
      <c r="H152" s="267">
        <v>100</v>
      </c>
      <c r="I152" s="262">
        <v>31.32</v>
      </c>
      <c r="J152" s="262">
        <v>7.0000000000000007E-2</v>
      </c>
      <c r="K152" s="262">
        <f t="shared" si="131"/>
        <v>3131.93</v>
      </c>
      <c r="L152" s="261"/>
      <c r="M152" s="261"/>
    </row>
    <row r="153" spans="1:13" x14ac:dyDescent="0.25">
      <c r="A153" s="261"/>
      <c r="B153" s="266">
        <v>42579</v>
      </c>
      <c r="C153" s="261">
        <v>30</v>
      </c>
      <c r="D153" s="262">
        <v>34.57</v>
      </c>
      <c r="E153" s="262">
        <v>-7.0000000000000007E-2</v>
      </c>
      <c r="F153" s="262">
        <f t="shared" si="130"/>
        <v>1037.03</v>
      </c>
      <c r="G153" s="266">
        <v>42676</v>
      </c>
      <c r="H153" s="267">
        <v>200</v>
      </c>
      <c r="I153" s="262">
        <v>31.83</v>
      </c>
      <c r="J153" s="262">
        <v>0.14000000000000001</v>
      </c>
      <c r="K153" s="262">
        <f t="shared" si="131"/>
        <v>6365.86</v>
      </c>
      <c r="L153" s="261"/>
      <c r="M153" s="261"/>
    </row>
    <row r="154" spans="1:13" x14ac:dyDescent="0.25">
      <c r="A154" s="261"/>
      <c r="B154" s="266">
        <v>42580</v>
      </c>
      <c r="C154" s="261">
        <v>30</v>
      </c>
      <c r="D154" s="262">
        <v>33.880000000000003</v>
      </c>
      <c r="E154" s="262">
        <v>0</v>
      </c>
      <c r="F154" s="262">
        <f t="shared" si="130"/>
        <v>1016.4000000000001</v>
      </c>
      <c r="G154" s="266">
        <v>42676</v>
      </c>
      <c r="H154" s="267">
        <v>100</v>
      </c>
      <c r="I154" s="262">
        <v>31.98</v>
      </c>
      <c r="J154" s="262">
        <v>7.0000000000000007E-2</v>
      </c>
      <c r="K154" s="262">
        <f t="shared" si="131"/>
        <v>3197.93</v>
      </c>
      <c r="L154" s="261"/>
      <c r="M154" s="261"/>
    </row>
    <row r="155" spans="1:13" x14ac:dyDescent="0.25">
      <c r="A155" s="261"/>
      <c r="B155" s="266">
        <v>42584</v>
      </c>
      <c r="C155" s="261">
        <v>40</v>
      </c>
      <c r="D155" s="262">
        <v>33.049999999999997</v>
      </c>
      <c r="E155" s="262">
        <v>0</v>
      </c>
      <c r="F155" s="262">
        <f t="shared" si="130"/>
        <v>1322</v>
      </c>
      <c r="G155" s="266">
        <v>42676</v>
      </c>
      <c r="H155" s="267">
        <v>100</v>
      </c>
      <c r="I155" s="262">
        <v>32.18</v>
      </c>
      <c r="J155" s="262">
        <v>7.0000000000000007E-2</v>
      </c>
      <c r="K155" s="262">
        <f t="shared" si="131"/>
        <v>3217.93</v>
      </c>
      <c r="L155" s="261"/>
      <c r="M155" s="261"/>
    </row>
    <row r="156" spans="1:13" x14ac:dyDescent="0.25">
      <c r="A156" s="261"/>
      <c r="B156" s="266">
        <v>42586</v>
      </c>
      <c r="C156" s="261">
        <v>100</v>
      </c>
      <c r="D156" s="262">
        <v>32.479999999999997</v>
      </c>
      <c r="E156" s="262">
        <v>0</v>
      </c>
      <c r="F156" s="262">
        <f t="shared" si="130"/>
        <v>3247.9999999999995</v>
      </c>
      <c r="G156" s="266">
        <v>42676</v>
      </c>
      <c r="H156" s="267">
        <v>100</v>
      </c>
      <c r="I156" s="262">
        <v>32.229999999999997</v>
      </c>
      <c r="J156" s="262">
        <v>7.0000000000000007E-2</v>
      </c>
      <c r="K156" s="262">
        <f t="shared" si="131"/>
        <v>3222.9299999999994</v>
      </c>
      <c r="L156" s="261"/>
      <c r="M156" s="261"/>
    </row>
    <row r="157" spans="1:13" x14ac:dyDescent="0.25">
      <c r="A157" s="261"/>
      <c r="B157" s="266">
        <v>42593</v>
      </c>
      <c r="C157" s="261">
        <v>100</v>
      </c>
      <c r="D157" s="262">
        <v>32.049999999999997</v>
      </c>
      <c r="E157" s="262">
        <v>0</v>
      </c>
      <c r="F157" s="262">
        <f t="shared" si="130"/>
        <v>3204.9999999999995</v>
      </c>
      <c r="G157" s="266">
        <v>42683</v>
      </c>
      <c r="H157" s="267">
        <v>100</v>
      </c>
      <c r="I157" s="262">
        <v>32.33</v>
      </c>
      <c r="J157" s="262">
        <v>7.0000000000000007E-2</v>
      </c>
      <c r="K157" s="262">
        <f t="shared" si="131"/>
        <v>3232.93</v>
      </c>
      <c r="L157" s="261"/>
      <c r="M157" s="261"/>
    </row>
    <row r="158" spans="1:13" x14ac:dyDescent="0.25">
      <c r="A158" s="261"/>
      <c r="B158" s="266">
        <v>42599</v>
      </c>
      <c r="C158" s="261">
        <v>100</v>
      </c>
      <c r="D158" s="262">
        <v>31.68</v>
      </c>
      <c r="E158" s="262">
        <v>0</v>
      </c>
      <c r="F158" s="262">
        <f t="shared" si="130"/>
        <v>3168</v>
      </c>
      <c r="G158" s="266">
        <v>42683</v>
      </c>
      <c r="H158" s="267">
        <v>200</v>
      </c>
      <c r="I158" s="262">
        <v>32.08</v>
      </c>
      <c r="J158" s="262">
        <v>0.14000000000000001</v>
      </c>
      <c r="K158" s="262">
        <f t="shared" si="131"/>
        <v>6415.86</v>
      </c>
      <c r="L158" s="261"/>
      <c r="M158" s="261"/>
    </row>
    <row r="159" spans="1:13" x14ac:dyDescent="0.25">
      <c r="A159" s="261"/>
      <c r="B159" s="266">
        <v>42620</v>
      </c>
      <c r="C159" s="261">
        <v>100</v>
      </c>
      <c r="D159" s="262">
        <v>31.65</v>
      </c>
      <c r="E159" s="262">
        <v>0</v>
      </c>
      <c r="F159" s="262">
        <f t="shared" si="130"/>
        <v>3165</v>
      </c>
      <c r="G159" s="266">
        <v>42684</v>
      </c>
      <c r="H159" s="267">
        <v>100</v>
      </c>
      <c r="I159" s="262">
        <v>32.950000000000003</v>
      </c>
      <c r="J159" s="262">
        <v>7.0000000000000007E-2</v>
      </c>
      <c r="K159" s="262">
        <f t="shared" si="131"/>
        <v>3294.9300000000003</v>
      </c>
      <c r="L159" s="261"/>
      <c r="M159" s="261"/>
    </row>
    <row r="160" spans="1:13" x14ac:dyDescent="0.25">
      <c r="A160" s="261"/>
      <c r="B160" s="266">
        <v>42620</v>
      </c>
      <c r="C160" s="261">
        <v>100</v>
      </c>
      <c r="D160" s="262">
        <v>31.18</v>
      </c>
      <c r="E160" s="262">
        <v>0</v>
      </c>
      <c r="F160" s="262">
        <f t="shared" si="130"/>
        <v>3118</v>
      </c>
      <c r="G160" s="266">
        <v>42712</v>
      </c>
      <c r="H160" s="267">
        <v>100</v>
      </c>
      <c r="I160" s="262">
        <v>34.22</v>
      </c>
      <c r="J160" s="262">
        <v>7.0000000000000007E-2</v>
      </c>
      <c r="K160" s="262">
        <f t="shared" si="131"/>
        <v>3421.93</v>
      </c>
      <c r="L160" s="261"/>
      <c r="M160" s="261"/>
    </row>
    <row r="161" spans="1:13" x14ac:dyDescent="0.25">
      <c r="A161" s="261"/>
      <c r="B161" s="266">
        <v>42625</v>
      </c>
      <c r="C161" s="261">
        <v>100</v>
      </c>
      <c r="D161" s="262">
        <v>30.8</v>
      </c>
      <c r="E161" s="262">
        <v>0</v>
      </c>
      <c r="F161" s="262">
        <f t="shared" si="130"/>
        <v>3080</v>
      </c>
      <c r="G161" s="266">
        <v>42713</v>
      </c>
      <c r="H161" s="267">
        <v>100</v>
      </c>
      <c r="I161" s="262">
        <v>34.79</v>
      </c>
      <c r="J161" s="262">
        <v>0.08</v>
      </c>
      <c r="K161" s="262">
        <f t="shared" si="131"/>
        <v>3478.92</v>
      </c>
      <c r="L161" s="261"/>
      <c r="M161" s="261"/>
    </row>
    <row r="162" spans="1:13" x14ac:dyDescent="0.25">
      <c r="A162" s="261"/>
      <c r="B162" s="266">
        <v>42639</v>
      </c>
      <c r="C162" s="261">
        <v>100</v>
      </c>
      <c r="D162" s="262">
        <v>30.08</v>
      </c>
      <c r="E162" s="262">
        <v>0</v>
      </c>
      <c r="F162" s="262">
        <f t="shared" si="130"/>
        <v>3008</v>
      </c>
      <c r="G162" s="266">
        <v>42718</v>
      </c>
      <c r="H162" s="267">
        <v>100</v>
      </c>
      <c r="I162" s="262">
        <v>35.21</v>
      </c>
      <c r="J162" s="262">
        <v>0.57999999999999996</v>
      </c>
      <c r="K162" s="262">
        <f t="shared" si="131"/>
        <v>3520.42</v>
      </c>
      <c r="L162" s="261"/>
      <c r="M162" s="261"/>
    </row>
    <row r="163" spans="1:13" x14ac:dyDescent="0.25">
      <c r="A163" s="261"/>
      <c r="B163" s="266">
        <v>42646</v>
      </c>
      <c r="C163" s="261">
        <v>100</v>
      </c>
      <c r="D163" s="262">
        <v>29.4</v>
      </c>
      <c r="E163" s="262">
        <v>0</v>
      </c>
      <c r="F163" s="262">
        <f t="shared" si="130"/>
        <v>2940</v>
      </c>
      <c r="G163" s="266">
        <v>42718</v>
      </c>
      <c r="H163" s="267">
        <v>100</v>
      </c>
      <c r="I163" s="262">
        <v>34.9</v>
      </c>
      <c r="J163" s="262">
        <v>0.08</v>
      </c>
      <c r="K163" s="262">
        <f t="shared" si="131"/>
        <v>3489.92</v>
      </c>
      <c r="L163" s="261"/>
      <c r="M163" s="261"/>
    </row>
    <row r="164" spans="1:13" x14ac:dyDescent="0.25">
      <c r="A164" s="261"/>
      <c r="B164" s="266">
        <v>42674</v>
      </c>
      <c r="C164" s="261">
        <v>100</v>
      </c>
      <c r="D164" s="262">
        <v>31.1</v>
      </c>
      <c r="E164" s="262">
        <v>0</v>
      </c>
      <c r="F164" s="262">
        <f t="shared" si="130"/>
        <v>3110</v>
      </c>
      <c r="G164" s="266">
        <v>42752</v>
      </c>
      <c r="H164" s="267">
        <v>100</v>
      </c>
      <c r="I164" s="262">
        <v>34.659999999999997</v>
      </c>
      <c r="J164" s="262">
        <v>0.08</v>
      </c>
      <c r="K164" s="262">
        <f t="shared" si="131"/>
        <v>3465.9199999999996</v>
      </c>
      <c r="L164" s="261"/>
      <c r="M164" s="261"/>
    </row>
    <row r="165" spans="1:13" x14ac:dyDescent="0.25">
      <c r="A165" s="261"/>
      <c r="B165" s="266">
        <v>42677</v>
      </c>
      <c r="C165" s="261">
        <v>200</v>
      </c>
      <c r="D165" s="262">
        <v>31.68</v>
      </c>
      <c r="E165" s="262">
        <v>0</v>
      </c>
      <c r="F165" s="262">
        <f t="shared" si="130"/>
        <v>6336</v>
      </c>
      <c r="G165" s="261"/>
      <c r="H165" s="261"/>
      <c r="I165" s="262"/>
      <c r="J165" s="262"/>
      <c r="K165" s="262"/>
      <c r="L165" s="261"/>
      <c r="M165" s="261"/>
    </row>
    <row r="166" spans="1:13" x14ac:dyDescent="0.25">
      <c r="A166" s="261"/>
      <c r="B166" s="266">
        <v>42677</v>
      </c>
      <c r="C166" s="261">
        <v>100</v>
      </c>
      <c r="D166" s="262">
        <v>31.2</v>
      </c>
      <c r="E166" s="262">
        <v>-0.5</v>
      </c>
      <c r="F166" s="262">
        <f t="shared" si="130"/>
        <v>3119.5</v>
      </c>
      <c r="G166" s="261"/>
      <c r="H166" s="261"/>
      <c r="I166" s="262"/>
      <c r="J166" s="262"/>
      <c r="K166" s="262"/>
      <c r="L166" s="261"/>
      <c r="M166" s="261"/>
    </row>
    <row r="167" spans="1:13" x14ac:dyDescent="0.25">
      <c r="A167" s="261"/>
      <c r="B167" s="266">
        <v>42716</v>
      </c>
      <c r="C167" s="261">
        <v>100</v>
      </c>
      <c r="D167" s="262">
        <v>34.18</v>
      </c>
      <c r="E167" s="262">
        <v>0</v>
      </c>
      <c r="F167" s="262">
        <f t="shared" si="130"/>
        <v>3418</v>
      </c>
      <c r="G167" s="261"/>
      <c r="H167" s="261"/>
      <c r="I167" s="262"/>
      <c r="J167" s="262"/>
      <c r="K167" s="262"/>
      <c r="L167" s="261"/>
      <c r="M167" s="261"/>
    </row>
    <row r="168" spans="1:13" x14ac:dyDescent="0.25">
      <c r="A168" s="261"/>
      <c r="B168" s="266"/>
      <c r="C168" s="261"/>
      <c r="D168" s="262"/>
      <c r="E168" s="262"/>
      <c r="F168" s="262"/>
      <c r="G168" s="261"/>
      <c r="H168" s="261"/>
      <c r="I168" s="262"/>
      <c r="J168" s="262"/>
      <c r="K168" s="262"/>
      <c r="L168" s="261"/>
      <c r="M168" s="261"/>
    </row>
    <row r="169" spans="1:13" x14ac:dyDescent="0.25">
      <c r="A169" s="261"/>
      <c r="B169" s="266"/>
      <c r="C169" s="261"/>
      <c r="D169" s="262"/>
      <c r="E169" s="262"/>
      <c r="F169" s="262"/>
      <c r="G169" s="261"/>
      <c r="H169" s="261"/>
      <c r="I169" s="262"/>
      <c r="J169" s="262"/>
      <c r="K169" s="262"/>
      <c r="L169" s="261"/>
      <c r="M169" s="261"/>
    </row>
    <row r="170" spans="1:13" x14ac:dyDescent="0.25">
      <c r="A170" s="261"/>
      <c r="B170" s="266"/>
      <c r="C170" s="261"/>
      <c r="D170" s="262"/>
      <c r="E170" s="262"/>
      <c r="F170" s="262"/>
      <c r="G170" s="261"/>
      <c r="H170" s="261"/>
      <c r="I170" s="262"/>
      <c r="J170" s="262"/>
      <c r="K170" s="262"/>
      <c r="L170" s="261"/>
      <c r="M170" s="261"/>
    </row>
    <row r="171" spans="1:13" x14ac:dyDescent="0.25">
      <c r="A171" s="261"/>
      <c r="B171" s="261"/>
      <c r="C171" s="261"/>
      <c r="D171" s="262"/>
      <c r="E171" s="262"/>
      <c r="F171" s="262"/>
      <c r="G171" s="261"/>
      <c r="H171" s="261"/>
      <c r="I171" s="262"/>
      <c r="J171" s="262"/>
      <c r="K171" s="262"/>
      <c r="L171" s="261"/>
      <c r="M171" s="261"/>
    </row>
    <row r="172" spans="1:13" x14ac:dyDescent="0.25">
      <c r="A172" s="261"/>
      <c r="B172" s="261"/>
      <c r="C172" s="261"/>
      <c r="D172" s="262"/>
      <c r="E172" s="262"/>
      <c r="F172" s="262"/>
      <c r="G172" s="261"/>
      <c r="H172" s="261"/>
      <c r="I172" s="262"/>
      <c r="J172" s="262"/>
      <c r="K172" s="262"/>
      <c r="L172" s="261"/>
      <c r="M172" s="261"/>
    </row>
    <row r="173" spans="1:13" x14ac:dyDescent="0.25">
      <c r="A173" s="32" t="s">
        <v>81</v>
      </c>
      <c r="B173" s="14"/>
      <c r="C173" s="14">
        <f>SUM(C147:C170)</f>
        <v>1780</v>
      </c>
      <c r="D173" s="18"/>
      <c r="E173" s="18"/>
      <c r="F173" s="18">
        <f>SUM(F147:F170)</f>
        <v>57638.33</v>
      </c>
      <c r="G173" s="14"/>
      <c r="H173" s="14">
        <f>SUM(H147:H172)</f>
        <v>1780</v>
      </c>
      <c r="I173" s="18"/>
      <c r="J173" s="18"/>
      <c r="K173" s="18">
        <f>SUM(K147:K172)</f>
        <v>59267.799999999996</v>
      </c>
      <c r="L173" s="14"/>
      <c r="M173" s="18">
        <f>SUM(M147:M172)</f>
        <v>118.5</v>
      </c>
    </row>
  </sheetData>
  <mergeCells count="1">
    <mergeCell ref="O40:P40"/>
  </mergeCells>
  <conditionalFormatting sqref="O41:O61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{951F04F1-E66D-443C-A754-0241E9CB9729}</x14:id>
        </ext>
      </extLst>
    </cfRule>
  </conditionalFormatting>
  <conditionalFormatting sqref="AE1:AE69">
    <cfRule type="iconSet" priority="43">
      <iconSet iconSet="3Arrows">
        <cfvo type="percent" val="0"/>
        <cfvo type="num" val="0"/>
        <cfvo type="num" val="0"/>
      </iconSet>
    </cfRule>
  </conditionalFormatting>
  <conditionalFormatting sqref="F51:F55">
    <cfRule type="expression" dxfId="775" priority="41">
      <formula>F51&gt;0</formula>
    </cfRule>
    <cfRule type="expression" dxfId="774" priority="42">
      <formula>F51&lt;0</formula>
    </cfRule>
  </conditionalFormatting>
  <conditionalFormatting sqref="F56:F69 F72:F116 F119:F120">
    <cfRule type="expression" dxfId="773" priority="37">
      <formula>F56&gt;0</formula>
    </cfRule>
    <cfRule type="expression" dxfId="772" priority="38">
      <formula>F56&lt;0</formula>
    </cfRule>
  </conditionalFormatting>
  <conditionalFormatting sqref="F56:F69 F72:F116 F119:F120">
    <cfRule type="expression" dxfId="771" priority="39">
      <formula>F56&gt;0</formula>
    </cfRule>
    <cfRule type="expression" dxfId="770" priority="40">
      <formula>F56&lt;0</formula>
    </cfRule>
  </conditionalFormatting>
  <conditionalFormatting sqref="H51:H69 H72:H116 H119:H120">
    <cfRule type="expression" dxfId="769" priority="35">
      <formula>H51&gt;0</formula>
    </cfRule>
    <cfRule type="expression" dxfId="768" priority="36">
      <formula>H51&lt;0</formula>
    </cfRule>
  </conditionalFormatting>
  <conditionalFormatting sqref="F47:F50">
    <cfRule type="expression" dxfId="767" priority="29">
      <formula>F47&gt;0</formula>
    </cfRule>
    <cfRule type="expression" dxfId="766" priority="30">
      <formula>F47&lt;0</formula>
    </cfRule>
  </conditionalFormatting>
  <conditionalFormatting sqref="H47:H50">
    <cfRule type="expression" dxfId="765" priority="27">
      <formula>H47&gt;0</formula>
    </cfRule>
    <cfRule type="expression" dxfId="764" priority="28">
      <formula>H47&lt;0</formula>
    </cfRule>
  </conditionalFormatting>
  <conditionalFormatting sqref="Q8">
    <cfRule type="expression" dxfId="763" priority="23">
      <formula>Q8&gt;0</formula>
    </cfRule>
    <cfRule type="expression" dxfId="762" priority="24">
      <formula>Q8&lt;0</formula>
    </cfRule>
  </conditionalFormatting>
  <conditionalFormatting sqref="Q7">
    <cfRule type="expression" dxfId="761" priority="25">
      <formula>Q7&gt;0</formula>
    </cfRule>
    <cfRule type="expression" dxfId="760" priority="26">
      <formula>Q7&lt;0</formula>
    </cfRule>
  </conditionalFormatting>
  <conditionalFormatting sqref="F70">
    <cfRule type="expression" dxfId="759" priority="19">
      <formula>F70&gt;0</formula>
    </cfRule>
    <cfRule type="expression" dxfId="758" priority="20">
      <formula>F70&lt;0</formula>
    </cfRule>
  </conditionalFormatting>
  <conditionalFormatting sqref="F70">
    <cfRule type="expression" dxfId="757" priority="21">
      <formula>F70&gt;0</formula>
    </cfRule>
    <cfRule type="expression" dxfId="756" priority="22">
      <formula>F70&lt;0</formula>
    </cfRule>
  </conditionalFormatting>
  <conditionalFormatting sqref="H70">
    <cfRule type="expression" dxfId="755" priority="17">
      <formula>H70&gt;0</formula>
    </cfRule>
    <cfRule type="expression" dxfId="754" priority="18">
      <formula>H70&lt;0</formula>
    </cfRule>
  </conditionalFormatting>
  <conditionalFormatting sqref="F71">
    <cfRule type="expression" dxfId="753" priority="13">
      <formula>F71&gt;0</formula>
    </cfRule>
    <cfRule type="expression" dxfId="752" priority="14">
      <formula>F71&lt;0</formula>
    </cfRule>
  </conditionalFormatting>
  <conditionalFormatting sqref="F71">
    <cfRule type="expression" dxfId="751" priority="15">
      <formula>F71&gt;0</formula>
    </cfRule>
    <cfRule type="expression" dxfId="750" priority="16">
      <formula>F71&lt;0</formula>
    </cfRule>
  </conditionalFormatting>
  <conditionalFormatting sqref="H71">
    <cfRule type="expression" dxfId="749" priority="11">
      <formula>H71&gt;0</formula>
    </cfRule>
    <cfRule type="expression" dxfId="748" priority="12">
      <formula>H71&lt;0</formula>
    </cfRule>
  </conditionalFormatting>
  <conditionalFormatting sqref="F117:F118">
    <cfRule type="expression" dxfId="747" priority="7">
      <formula>F117&gt;0</formula>
    </cfRule>
    <cfRule type="expression" dxfId="746" priority="8">
      <formula>F117&lt;0</formula>
    </cfRule>
  </conditionalFormatting>
  <conditionalFormatting sqref="F117:F118">
    <cfRule type="expression" dxfId="745" priority="9">
      <formula>F117&gt;0</formula>
    </cfRule>
    <cfRule type="expression" dxfId="744" priority="10">
      <formula>F117&lt;0</formula>
    </cfRule>
  </conditionalFormatting>
  <conditionalFormatting sqref="H117:H118">
    <cfRule type="expression" dxfId="743" priority="5">
      <formula>H117&gt;0</formula>
    </cfRule>
    <cfRule type="expression" dxfId="742" priority="6">
      <formula>H117&lt;0</formula>
    </cfRule>
  </conditionalFormatting>
  <conditionalFormatting sqref="F35:F37">
    <cfRule type="expression" dxfId="741" priority="3">
      <formula>F35&gt;0</formula>
    </cfRule>
    <cfRule type="expression" dxfId="740" priority="4">
      <formula>F35&lt;0</formula>
    </cfRule>
  </conditionalFormatting>
  <conditionalFormatting sqref="H35:H37">
    <cfRule type="expression" dxfId="739" priority="1">
      <formula>H35&gt;0</formula>
    </cfRule>
    <cfRule type="expression" dxfId="738" priority="2">
      <formula>H35&lt;0</formula>
    </cfRule>
  </conditionalFormatting>
  <hyperlinks>
    <hyperlink ref="A3" location="ACTIVE!A1" display="Back"/>
    <hyperlink ref="A148" location="ACTIVE!A1" display="Back"/>
    <hyperlink ref="T2" r:id="rId1"/>
  </hyperlinks>
  <pageMargins left="0.7" right="0.7" top="0.75" bottom="0.75" header="0.3" footer="0.3"/>
  <pageSetup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1F04F1-E66D-443C-A754-0241E9CB972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111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5" style="2" customWidth="1"/>
    <col min="10" max="11" width="9.140625" style="2"/>
    <col min="18" max="18" width="9.7109375" bestFit="1" customWidth="1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201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1">
        <v>42627</v>
      </c>
      <c r="U2" t="s">
        <v>283</v>
      </c>
      <c r="W2" s="133">
        <v>42768</v>
      </c>
      <c r="X2" s="10">
        <v>12.3</v>
      </c>
      <c r="Y2" s="10">
        <v>12.37</v>
      </c>
      <c r="Z2" s="10">
        <v>12.23</v>
      </c>
      <c r="AA2" s="10">
        <v>12.28</v>
      </c>
      <c r="AB2" s="95">
        <v>29015200</v>
      </c>
      <c r="AC2" s="10">
        <v>12.28</v>
      </c>
      <c r="AD2" s="2">
        <f>Y2-Z2</f>
        <v>0.13999999999999879</v>
      </c>
      <c r="AE2" s="138">
        <f>AC2/AC3-1</f>
        <v>-3.2467532467532756E-3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74"/>
      <c r="M3" s="3"/>
      <c r="O3" s="11" t="s">
        <v>58</v>
      </c>
      <c r="Q3" s="230">
        <f>IF(Q2=0, Q4, (F18-K18-M18)/Q2)</f>
        <v>12.56</v>
      </c>
      <c r="T3" s="1"/>
      <c r="W3" s="133">
        <v>42767</v>
      </c>
      <c r="X3" s="10">
        <v>12.45</v>
      </c>
      <c r="Y3" s="10">
        <v>12.58</v>
      </c>
      <c r="Z3" s="10">
        <v>12.22</v>
      </c>
      <c r="AA3" s="10">
        <v>12.32</v>
      </c>
      <c r="AB3" s="95">
        <v>44396800</v>
      </c>
      <c r="AC3" s="10">
        <v>12.32</v>
      </c>
      <c r="AD3" s="2">
        <f t="shared" ref="AD3:AD66" si="0">Y3-Z3</f>
        <v>0.35999999999999943</v>
      </c>
      <c r="AE3" s="138">
        <f t="shared" ref="AE3:AE66" si="1">AC3/AC4-1</f>
        <v>-3.2362459546925182E-3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12.56</v>
      </c>
      <c r="R4" s="505">
        <v>2.2800000000000001E-2</v>
      </c>
      <c r="T4" s="163"/>
      <c r="W4" s="133">
        <v>42766</v>
      </c>
      <c r="X4" s="10">
        <v>12.31</v>
      </c>
      <c r="Y4" s="10">
        <v>12.39</v>
      </c>
      <c r="Z4" s="10">
        <v>12.19</v>
      </c>
      <c r="AA4" s="10">
        <v>12.36</v>
      </c>
      <c r="AB4" s="95">
        <v>46974500</v>
      </c>
      <c r="AC4" s="10">
        <v>12.36</v>
      </c>
      <c r="AD4" s="2">
        <f t="shared" si="0"/>
        <v>0.20000000000000107</v>
      </c>
      <c r="AE4" s="138">
        <f t="shared" si="1"/>
        <v>-8.0840743734844622E-4</v>
      </c>
    </row>
    <row r="5" spans="1:31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42765</v>
      </c>
      <c r="X5" s="10">
        <v>12.46</v>
      </c>
      <c r="Y5" s="10">
        <v>12.46</v>
      </c>
      <c r="Z5" s="10">
        <v>12.28</v>
      </c>
      <c r="AA5" s="10">
        <v>12.37</v>
      </c>
      <c r="AB5" s="95">
        <v>39254200</v>
      </c>
      <c r="AC5" s="10">
        <v>12.37</v>
      </c>
      <c r="AD5" s="2">
        <f t="shared" si="0"/>
        <v>0.18000000000000149</v>
      </c>
      <c r="AE5" s="138">
        <f t="shared" si="1"/>
        <v>-9.60768614891927E-3</v>
      </c>
    </row>
    <row r="6" spans="1:31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42762</v>
      </c>
      <c r="X6" s="10">
        <v>12.48</v>
      </c>
      <c r="Y6" s="10">
        <v>12.54</v>
      </c>
      <c r="Z6" s="10">
        <v>12.38</v>
      </c>
      <c r="AA6" s="10">
        <v>12.49</v>
      </c>
      <c r="AB6" s="95">
        <v>34613900</v>
      </c>
      <c r="AC6" s="10">
        <v>12.49</v>
      </c>
      <c r="AD6" s="2">
        <f t="shared" si="0"/>
        <v>0.15999999999999837</v>
      </c>
      <c r="AE6" s="138">
        <f t="shared" si="1"/>
        <v>9.7008892481811326E-3</v>
      </c>
    </row>
    <row r="7" spans="1:31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M7" s="4"/>
      <c r="O7" s="11" t="s">
        <v>181</v>
      </c>
      <c r="Q7" s="2">
        <f>Q10+Q8</f>
        <v>251.26000000000022</v>
      </c>
      <c r="R7">
        <v>0</v>
      </c>
      <c r="W7" s="133">
        <v>42761</v>
      </c>
      <c r="X7" s="10">
        <v>12.65</v>
      </c>
      <c r="Y7" s="10">
        <v>12.68</v>
      </c>
      <c r="Z7" s="10">
        <v>12.35</v>
      </c>
      <c r="AA7" s="10">
        <v>12.37</v>
      </c>
      <c r="AB7" s="95">
        <v>55672800</v>
      </c>
      <c r="AC7" s="10">
        <v>12.37</v>
      </c>
      <c r="AD7" s="2">
        <f t="shared" si="0"/>
        <v>0.33000000000000007</v>
      </c>
      <c r="AE7" s="138">
        <f t="shared" si="1"/>
        <v>-3.2838154808444098E-2</v>
      </c>
    </row>
    <row r="8" spans="1:31" x14ac:dyDescent="0.25">
      <c r="B8" s="7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184</v>
      </c>
      <c r="P8" s="34"/>
      <c r="Q8" s="2">
        <f>K18+M18-F18+Q2*Q4</f>
        <v>0</v>
      </c>
      <c r="W8" s="133">
        <v>42760</v>
      </c>
      <c r="X8" s="10">
        <v>12.71</v>
      </c>
      <c r="Y8" s="10">
        <v>12.8</v>
      </c>
      <c r="Z8" s="10">
        <v>12.64</v>
      </c>
      <c r="AA8" s="10">
        <v>12.79</v>
      </c>
      <c r="AB8" s="95">
        <v>46747800</v>
      </c>
      <c r="AC8" s="10">
        <v>12.79</v>
      </c>
      <c r="AD8" s="2">
        <f t="shared" si="0"/>
        <v>0.16000000000000014</v>
      </c>
      <c r="AE8" s="138">
        <f t="shared" si="1"/>
        <v>1.4274385408405976E-2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214</v>
      </c>
      <c r="Q9" s="138">
        <f>IF(Q2=0, 0, Q8/Q6)</f>
        <v>0</v>
      </c>
      <c r="W9" s="133">
        <v>42759</v>
      </c>
      <c r="X9" s="10">
        <v>12.35</v>
      </c>
      <c r="Y9" s="10">
        <v>12.61</v>
      </c>
      <c r="Z9" s="10">
        <v>12.34</v>
      </c>
      <c r="AA9" s="10">
        <v>12.61</v>
      </c>
      <c r="AB9" s="95">
        <v>34625200</v>
      </c>
      <c r="AC9" s="10">
        <v>12.61</v>
      </c>
      <c r="AD9" s="2">
        <f t="shared" si="0"/>
        <v>0.26999999999999957</v>
      </c>
      <c r="AE9" s="138">
        <f t="shared" si="1"/>
        <v>2.4370430544272903E-2</v>
      </c>
    </row>
    <row r="10" spans="1:31" x14ac:dyDescent="0.25">
      <c r="B10" s="4"/>
      <c r="C10" s="4"/>
      <c r="D10" s="3"/>
      <c r="E10" s="3"/>
      <c r="F10" s="3"/>
      <c r="G10" s="4"/>
      <c r="H10" s="185"/>
      <c r="I10" s="3"/>
      <c r="J10" s="3"/>
      <c r="K10" s="3"/>
      <c r="L10" s="4"/>
      <c r="M10" s="4"/>
      <c r="O10" s="11" t="s">
        <v>213</v>
      </c>
      <c r="P10" s="34"/>
      <c r="Q10" s="2">
        <f>M92</f>
        <v>251.26000000000022</v>
      </c>
      <c r="W10" s="133">
        <v>42758</v>
      </c>
      <c r="X10" s="10">
        <v>12.35</v>
      </c>
      <c r="Y10" s="10">
        <v>12.38</v>
      </c>
      <c r="Z10" s="10">
        <v>12.22</v>
      </c>
      <c r="AA10" s="10">
        <v>12.31</v>
      </c>
      <c r="AB10" s="95">
        <v>31670700</v>
      </c>
      <c r="AC10" s="10">
        <v>12.31</v>
      </c>
      <c r="AD10" s="2">
        <f t="shared" si="0"/>
        <v>0.16000000000000014</v>
      </c>
      <c r="AE10" s="138">
        <f t="shared" si="1"/>
        <v>-4.04530744336562E-3</v>
      </c>
    </row>
    <row r="11" spans="1:31" x14ac:dyDescent="0.25">
      <c r="B11" s="4"/>
      <c r="C11" s="4"/>
      <c r="D11" s="3"/>
      <c r="E11" s="3"/>
      <c r="F11" s="3"/>
      <c r="G11" s="4"/>
      <c r="H11" s="185"/>
      <c r="I11" s="3"/>
      <c r="J11" s="3"/>
      <c r="K11" s="3"/>
      <c r="L11" s="4"/>
      <c r="M11" s="4"/>
      <c r="O11" s="11" t="s">
        <v>178</v>
      </c>
      <c r="P11" s="34"/>
      <c r="Q11" s="138">
        <f>VALUE(TRIM(CLEAN(MID(U58, FIND("(", U58)+1, 5))))</f>
        <v>4.8500000000000001E-2</v>
      </c>
      <c r="W11" s="133">
        <v>42755</v>
      </c>
      <c r="X11" s="10">
        <v>12.45</v>
      </c>
      <c r="Y11" s="10">
        <v>12.48</v>
      </c>
      <c r="Z11" s="10">
        <v>12.31</v>
      </c>
      <c r="AA11" s="10">
        <v>12.36</v>
      </c>
      <c r="AB11" s="95">
        <v>29270000</v>
      </c>
      <c r="AC11" s="10">
        <v>12.36</v>
      </c>
      <c r="AD11" s="2">
        <f t="shared" si="0"/>
        <v>0.16999999999999993</v>
      </c>
      <c r="AE11" s="138">
        <f t="shared" si="1"/>
        <v>-5.6315366049879412E-3</v>
      </c>
    </row>
    <row r="12" spans="1:31" x14ac:dyDescent="0.25">
      <c r="B12" s="4"/>
      <c r="C12" s="4"/>
      <c r="D12" s="3"/>
      <c r="E12" s="3"/>
      <c r="F12" s="3"/>
      <c r="G12" s="4"/>
      <c r="H12" s="185"/>
      <c r="I12" s="3"/>
      <c r="J12" s="3"/>
      <c r="K12" s="3"/>
      <c r="L12" s="4"/>
      <c r="M12" s="4"/>
      <c r="W12" s="133">
        <v>42754</v>
      </c>
      <c r="X12" s="10">
        <v>12.4</v>
      </c>
      <c r="Y12" s="10">
        <v>12.56</v>
      </c>
      <c r="Z12" s="10">
        <v>12.34</v>
      </c>
      <c r="AA12" s="10">
        <v>12.43</v>
      </c>
      <c r="AB12" s="95">
        <v>30135600</v>
      </c>
      <c r="AC12" s="10">
        <v>12.43</v>
      </c>
      <c r="AD12" s="2">
        <f t="shared" si="0"/>
        <v>0.22000000000000064</v>
      </c>
      <c r="AE12" s="138">
        <f t="shared" si="1"/>
        <v>1.6116035455278066E-3</v>
      </c>
    </row>
    <row r="13" spans="1:31" x14ac:dyDescent="0.25">
      <c r="H13" s="72"/>
      <c r="W13" s="133">
        <v>42753</v>
      </c>
      <c r="X13" s="10">
        <v>12.43</v>
      </c>
      <c r="Y13" s="10">
        <v>12.45</v>
      </c>
      <c r="Z13" s="10">
        <v>12.3</v>
      </c>
      <c r="AA13" s="10">
        <v>12.41</v>
      </c>
      <c r="AB13" s="95">
        <v>33830800</v>
      </c>
      <c r="AC13" s="10">
        <v>12.41</v>
      </c>
      <c r="AD13" s="2">
        <f t="shared" si="0"/>
        <v>0.14999999999999858</v>
      </c>
      <c r="AE13" s="138" t="e">
        <f t="shared" si="1"/>
        <v>#DIV/0!</v>
      </c>
    </row>
    <row r="14" spans="1:31" x14ac:dyDescent="0.25">
      <c r="H14" s="72"/>
      <c r="W14" s="133">
        <v>42753</v>
      </c>
      <c r="X14" s="10" t="s">
        <v>408</v>
      </c>
      <c r="Y14" s="10"/>
      <c r="Z14" s="10"/>
      <c r="AA14" s="10"/>
      <c r="AB14" s="95"/>
      <c r="AC14" s="10"/>
      <c r="AD14" s="2">
        <f t="shared" si="0"/>
        <v>0</v>
      </c>
      <c r="AE14" s="138">
        <f t="shared" si="1"/>
        <v>-1</v>
      </c>
    </row>
    <row r="15" spans="1:31" x14ac:dyDescent="0.25">
      <c r="H15" s="72"/>
      <c r="W15" s="133">
        <v>42752</v>
      </c>
      <c r="X15" s="10">
        <v>12.65</v>
      </c>
      <c r="Y15" s="10">
        <v>12.73</v>
      </c>
      <c r="Z15" s="10">
        <v>12.54</v>
      </c>
      <c r="AA15" s="10">
        <v>12.61</v>
      </c>
      <c r="AB15" s="95">
        <v>49069500</v>
      </c>
      <c r="AC15" s="10">
        <v>12.41</v>
      </c>
      <c r="AD15" s="2">
        <f t="shared" si="0"/>
        <v>0.19000000000000128</v>
      </c>
      <c r="AE15" s="138">
        <f t="shared" si="1"/>
        <v>-1.6090104585679832E-3</v>
      </c>
    </row>
    <row r="16" spans="1:31" x14ac:dyDescent="0.25">
      <c r="H16" s="72"/>
      <c r="W16" s="133">
        <v>42748</v>
      </c>
      <c r="X16" s="10">
        <v>12.62</v>
      </c>
      <c r="Y16" s="10">
        <v>12.67</v>
      </c>
      <c r="Z16" s="10">
        <v>12.5</v>
      </c>
      <c r="AA16" s="10">
        <v>12.63</v>
      </c>
      <c r="AB16" s="95">
        <v>29197100</v>
      </c>
      <c r="AC16" s="10">
        <v>12.43</v>
      </c>
      <c r="AD16" s="2">
        <f t="shared" si="0"/>
        <v>0.16999999999999993</v>
      </c>
      <c r="AE16" s="138">
        <f t="shared" si="1"/>
        <v>3.2284100080710587E-3</v>
      </c>
    </row>
    <row r="17" spans="1:31" x14ac:dyDescent="0.25">
      <c r="H17" s="72"/>
      <c r="W17" s="133">
        <v>42747</v>
      </c>
      <c r="X17" s="10">
        <v>12.66</v>
      </c>
      <c r="Y17" s="10">
        <v>12.68</v>
      </c>
      <c r="Z17" s="10">
        <v>12.35</v>
      </c>
      <c r="AA17" s="10">
        <v>12.59</v>
      </c>
      <c r="AB17" s="95">
        <v>36493300</v>
      </c>
      <c r="AC17" s="10">
        <v>12.39</v>
      </c>
      <c r="AD17" s="2">
        <f t="shared" si="0"/>
        <v>0.33000000000000007</v>
      </c>
      <c r="AE17" s="138">
        <f t="shared" si="1"/>
        <v>-6.4153969526864474E-3</v>
      </c>
    </row>
    <row r="18" spans="1:31" x14ac:dyDescent="0.25">
      <c r="A18" s="32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3">
        <v>42746</v>
      </c>
      <c r="X18" s="10">
        <v>12.71</v>
      </c>
      <c r="Y18" s="10">
        <v>12.72</v>
      </c>
      <c r="Z18" s="10">
        <v>12.51</v>
      </c>
      <c r="AA18" s="10">
        <v>12.67</v>
      </c>
      <c r="AB18" s="95">
        <v>49718700</v>
      </c>
      <c r="AC18" s="10">
        <v>12.47</v>
      </c>
      <c r="AD18" s="2">
        <f t="shared" si="0"/>
        <v>0.21000000000000085</v>
      </c>
      <c r="AE18" s="138">
        <f t="shared" si="1"/>
        <v>-1.4229249011857736E-2</v>
      </c>
    </row>
    <row r="19" spans="1:31" ht="15.75" thickBot="1" x14ac:dyDescent="0.3">
      <c r="A19" s="356" t="s">
        <v>198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 t="shared" ref="M19" si="2">SumByColor($A$19,M2:M17)</f>
        <v>0</v>
      </c>
      <c r="W19" s="133">
        <v>42745</v>
      </c>
      <c r="X19" s="10">
        <v>12.7</v>
      </c>
      <c r="Y19" s="10">
        <v>13.02</v>
      </c>
      <c r="Z19" s="10">
        <v>12.66</v>
      </c>
      <c r="AA19" s="10">
        <v>12.85</v>
      </c>
      <c r="AB19" s="95">
        <v>58703500</v>
      </c>
      <c r="AC19" s="10">
        <v>12.65</v>
      </c>
      <c r="AD19" s="2">
        <f t="shared" si="0"/>
        <v>0.35999999999999943</v>
      </c>
      <c r="AE19" s="138">
        <f t="shared" si="1"/>
        <v>1.7699115044247815E-2</v>
      </c>
    </row>
    <row r="20" spans="1:31" x14ac:dyDescent="0.25">
      <c r="W20" s="133">
        <v>42744</v>
      </c>
      <c r="X20" s="10">
        <v>12.79</v>
      </c>
      <c r="Y20" s="10">
        <v>12.86</v>
      </c>
      <c r="Z20" s="10">
        <v>12.63</v>
      </c>
      <c r="AA20" s="10">
        <v>12.63</v>
      </c>
      <c r="AB20" s="95">
        <v>39183400</v>
      </c>
      <c r="AC20" s="10">
        <v>12.43</v>
      </c>
      <c r="AD20" s="2">
        <f t="shared" si="0"/>
        <v>0.22999999999999865</v>
      </c>
      <c r="AE20" s="138">
        <f t="shared" si="1"/>
        <v>-1.0350318471337605E-2</v>
      </c>
    </row>
    <row r="21" spans="1:31" x14ac:dyDescent="0.25">
      <c r="W21" s="133">
        <v>42741</v>
      </c>
      <c r="X21" s="10">
        <v>12.8</v>
      </c>
      <c r="Y21" s="10">
        <v>12.84</v>
      </c>
      <c r="Z21" s="10">
        <v>12.64</v>
      </c>
      <c r="AA21" s="10">
        <v>12.76</v>
      </c>
      <c r="AB21" s="95">
        <v>40315900</v>
      </c>
      <c r="AC21" s="10">
        <v>12.56</v>
      </c>
      <c r="AD21" s="2">
        <f t="shared" si="0"/>
        <v>0.19999999999999929</v>
      </c>
      <c r="AE21" s="138">
        <f t="shared" si="1"/>
        <v>-7.9554494828959488E-4</v>
      </c>
    </row>
    <row r="22" spans="1:31" x14ac:dyDescent="0.25">
      <c r="W22" s="133">
        <v>42740</v>
      </c>
      <c r="X22" s="10">
        <v>13.21</v>
      </c>
      <c r="Y22" s="10">
        <v>13.22</v>
      </c>
      <c r="Z22" s="10">
        <v>12.63</v>
      </c>
      <c r="AA22" s="10">
        <v>12.77</v>
      </c>
      <c r="AB22" s="95">
        <v>75628400</v>
      </c>
      <c r="AC22" s="10">
        <v>12.57</v>
      </c>
      <c r="AD22" s="2">
        <f t="shared" si="0"/>
        <v>0.58999999999999986</v>
      </c>
      <c r="AE22" s="138">
        <f t="shared" si="1"/>
        <v>-3.0092592592592671E-2</v>
      </c>
    </row>
    <row r="23" spans="1:31" x14ac:dyDescent="0.25">
      <c r="W23" s="133">
        <v>42739</v>
      </c>
      <c r="X23" s="10">
        <v>12.77</v>
      </c>
      <c r="Y23" s="10">
        <v>13.27</v>
      </c>
      <c r="Z23" s="10">
        <v>12.74</v>
      </c>
      <c r="AA23" s="10">
        <v>13.17</v>
      </c>
      <c r="AB23" s="95">
        <v>77638100</v>
      </c>
      <c r="AC23" s="10">
        <v>12.96</v>
      </c>
      <c r="AD23" s="2">
        <f t="shared" si="0"/>
        <v>0.52999999999999936</v>
      </c>
      <c r="AE23" s="138">
        <f t="shared" si="1"/>
        <v>4.6004842615012143E-2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155</v>
      </c>
      <c r="W24" s="133">
        <v>42738</v>
      </c>
      <c r="X24" s="10">
        <v>12.2</v>
      </c>
      <c r="Y24" s="10">
        <v>12.6</v>
      </c>
      <c r="Z24" s="10">
        <v>12.13</v>
      </c>
      <c r="AA24" s="10">
        <v>12.59</v>
      </c>
      <c r="AB24" s="95">
        <v>40510800</v>
      </c>
      <c r="AC24" s="10">
        <v>12.39</v>
      </c>
      <c r="AD24" s="2">
        <f t="shared" si="0"/>
        <v>0.46999999999999886</v>
      </c>
      <c r="AE24" s="138">
        <f t="shared" si="1"/>
        <v>3.7688442211055273E-2</v>
      </c>
    </row>
    <row r="25" spans="1:31" x14ac:dyDescent="0.25">
      <c r="B25" s="266">
        <v>42488</v>
      </c>
      <c r="C25" s="261">
        <v>100</v>
      </c>
      <c r="D25" s="262">
        <v>13.8</v>
      </c>
      <c r="E25" s="262">
        <v>13.56</v>
      </c>
      <c r="F25" s="262">
        <f>C25*(E25-D25)</f>
        <v>-24.000000000000021</v>
      </c>
      <c r="G25" s="262">
        <f>D25*C25</f>
        <v>1380</v>
      </c>
      <c r="H25" s="276">
        <f>(E25-D25)/D25</f>
        <v>-1.7391304347826101E-2</v>
      </c>
      <c r="I25" s="262"/>
      <c r="W25" s="133">
        <v>42734</v>
      </c>
      <c r="X25" s="10">
        <v>12.24</v>
      </c>
      <c r="Y25" s="10">
        <v>12.28</v>
      </c>
      <c r="Z25" s="10">
        <v>12.08</v>
      </c>
      <c r="AA25" s="10">
        <v>12.13</v>
      </c>
      <c r="AB25" s="95">
        <v>27405700</v>
      </c>
      <c r="AC25" s="10">
        <v>11.94</v>
      </c>
      <c r="AD25" s="2">
        <f t="shared" si="0"/>
        <v>0.19999999999999929</v>
      </c>
      <c r="AE25" s="138">
        <f t="shared" si="1"/>
        <v>-8.3056478405315604E-3</v>
      </c>
    </row>
    <row r="26" spans="1:31" x14ac:dyDescent="0.25">
      <c r="B26" s="266">
        <v>42494</v>
      </c>
      <c r="C26" s="261">
        <v>100</v>
      </c>
      <c r="D26" s="262">
        <v>13.8</v>
      </c>
      <c r="E26" s="262">
        <v>13.31</v>
      </c>
      <c r="F26" s="262">
        <f>C26*(E26-D26)</f>
        <v>-49.000000000000021</v>
      </c>
      <c r="G26" s="262">
        <f>D26*C26</f>
        <v>1380</v>
      </c>
      <c r="H26" s="276">
        <f>(E26-D26)/D26</f>
        <v>-3.5507246376811609E-2</v>
      </c>
      <c r="I26" s="262"/>
      <c r="W26" s="133">
        <v>42733</v>
      </c>
      <c r="X26" s="10">
        <v>12.25</v>
      </c>
      <c r="Y26" s="10">
        <v>12.31</v>
      </c>
      <c r="Z26" s="10">
        <v>12.22</v>
      </c>
      <c r="AA26" s="10">
        <v>12.23</v>
      </c>
      <c r="AB26" s="95">
        <v>19819100</v>
      </c>
      <c r="AC26" s="10">
        <v>12.04</v>
      </c>
      <c r="AD26" s="2">
        <f t="shared" si="0"/>
        <v>8.9999999999999858E-2</v>
      </c>
      <c r="AE26" s="138">
        <f t="shared" si="1"/>
        <v>-1.6583747927032544E-3</v>
      </c>
    </row>
    <row r="27" spans="1:31" x14ac:dyDescent="0.25">
      <c r="B27" s="266">
        <v>42507</v>
      </c>
      <c r="C27" s="261">
        <v>200</v>
      </c>
      <c r="D27" s="262">
        <v>13.44</v>
      </c>
      <c r="E27" s="262">
        <v>13.14</v>
      </c>
      <c r="F27" s="262">
        <f>C27*(E27-D27)</f>
        <v>-59.999999999999787</v>
      </c>
      <c r="G27" s="262">
        <f>D27*C27</f>
        <v>2688</v>
      </c>
      <c r="H27" s="276">
        <f>(E27-D27)/D27</f>
        <v>-2.2321428571428492E-2</v>
      </c>
      <c r="I27" s="262"/>
      <c r="W27" s="133">
        <v>42732</v>
      </c>
      <c r="X27" s="10">
        <v>12.37</v>
      </c>
      <c r="Y27" s="10">
        <v>12.45</v>
      </c>
      <c r="Z27" s="10">
        <v>12.22</v>
      </c>
      <c r="AA27" s="10">
        <v>12.25</v>
      </c>
      <c r="AB27" s="95">
        <v>26875400</v>
      </c>
      <c r="AC27" s="10">
        <v>12.06</v>
      </c>
      <c r="AD27" s="2">
        <f t="shared" si="0"/>
        <v>0.22999999999999865</v>
      </c>
      <c r="AE27" s="138">
        <f t="shared" si="1"/>
        <v>-1.066447908121404E-2</v>
      </c>
    </row>
    <row r="28" spans="1:31" x14ac:dyDescent="0.25">
      <c r="B28" s="266">
        <v>42515</v>
      </c>
      <c r="C28" s="261">
        <v>100</v>
      </c>
      <c r="D28" s="262">
        <v>13.2903</v>
      </c>
      <c r="E28" s="262">
        <v>13.52</v>
      </c>
      <c r="F28" s="262">
        <f t="shared" ref="F28:F34" si="3">C28*(E28-D28)</f>
        <v>22.969999999999935</v>
      </c>
      <c r="G28" s="262">
        <f t="shared" ref="G28:G34" si="4">D28*C28</f>
        <v>1329.03</v>
      </c>
      <c r="H28" s="276">
        <f t="shared" ref="H28:H34" si="5">(E28-D28)/D28</f>
        <v>1.7283281791983577E-2</v>
      </c>
      <c r="I28" s="262"/>
      <c r="W28" s="133">
        <v>42731</v>
      </c>
      <c r="X28" s="10">
        <v>12.43</v>
      </c>
      <c r="Y28" s="10">
        <v>12.51</v>
      </c>
      <c r="Z28" s="10">
        <v>12.36</v>
      </c>
      <c r="AA28" s="10">
        <v>12.39</v>
      </c>
      <c r="AB28" s="95">
        <v>19467400</v>
      </c>
      <c r="AC28" s="10">
        <v>12.19</v>
      </c>
      <c r="AD28" s="2">
        <f t="shared" si="0"/>
        <v>0.15000000000000036</v>
      </c>
      <c r="AE28" s="138">
        <f t="shared" si="1"/>
        <v>-5.7096247960848334E-3</v>
      </c>
    </row>
    <row r="29" spans="1:31" x14ac:dyDescent="0.25">
      <c r="B29" s="266">
        <v>42527</v>
      </c>
      <c r="C29" s="261">
        <v>100</v>
      </c>
      <c r="D29" s="262">
        <v>13.2903</v>
      </c>
      <c r="E29" s="262">
        <v>13.18</v>
      </c>
      <c r="F29" s="262">
        <f t="shared" si="3"/>
        <v>-11.030000000000051</v>
      </c>
      <c r="G29" s="262">
        <f t="shared" si="4"/>
        <v>1329.03</v>
      </c>
      <c r="H29" s="276">
        <f t="shared" si="5"/>
        <v>-8.2992859453887811E-3</v>
      </c>
      <c r="I29" s="262"/>
      <c r="W29" s="133">
        <v>42727</v>
      </c>
      <c r="X29" s="10">
        <v>12.43</v>
      </c>
      <c r="Y29" s="10">
        <v>12.46</v>
      </c>
      <c r="Z29" s="10">
        <v>12.36</v>
      </c>
      <c r="AA29" s="10">
        <v>12.46</v>
      </c>
      <c r="AB29" s="95">
        <v>15621200</v>
      </c>
      <c r="AC29" s="10">
        <v>12.26</v>
      </c>
      <c r="AD29" s="2">
        <f t="shared" si="0"/>
        <v>0.10000000000000142</v>
      </c>
      <c r="AE29" s="138">
        <f t="shared" si="1"/>
        <v>4.9180327868851847E-3</v>
      </c>
    </row>
    <row r="30" spans="1:31" x14ac:dyDescent="0.25">
      <c r="B30" s="266">
        <v>42528</v>
      </c>
      <c r="C30" s="261">
        <v>100</v>
      </c>
      <c r="D30" s="262">
        <v>13.2903</v>
      </c>
      <c r="E30" s="262">
        <v>13.38</v>
      </c>
      <c r="F30" s="262">
        <f t="shared" si="3"/>
        <v>8.9700000000000557</v>
      </c>
      <c r="G30" s="262">
        <f t="shared" si="4"/>
        <v>1329.03</v>
      </c>
      <c r="H30" s="276">
        <f t="shared" si="5"/>
        <v>6.7492833118891638E-3</v>
      </c>
      <c r="I30" s="262"/>
      <c r="W30" s="133">
        <v>42726</v>
      </c>
      <c r="X30" s="10">
        <v>12.63</v>
      </c>
      <c r="Y30" s="10">
        <v>12.64</v>
      </c>
      <c r="Z30" s="10">
        <v>12.4</v>
      </c>
      <c r="AA30" s="10">
        <v>12.4</v>
      </c>
      <c r="AB30" s="95">
        <v>27821100</v>
      </c>
      <c r="AC30" s="10">
        <v>12.2</v>
      </c>
      <c r="AD30" s="2">
        <f t="shared" si="0"/>
        <v>0.24000000000000021</v>
      </c>
      <c r="AE30" s="138">
        <f t="shared" si="1"/>
        <v>-1.9292604501607746E-2</v>
      </c>
    </row>
    <row r="31" spans="1:31" x14ac:dyDescent="0.25">
      <c r="B31" s="266">
        <v>42535</v>
      </c>
      <c r="C31" s="261">
        <v>100</v>
      </c>
      <c r="D31" s="262">
        <v>13.29</v>
      </c>
      <c r="E31" s="262">
        <v>12.84</v>
      </c>
      <c r="F31" s="262">
        <f t="shared" si="3"/>
        <v>-44.999999999999929</v>
      </c>
      <c r="G31" s="262">
        <f t="shared" si="4"/>
        <v>1329</v>
      </c>
      <c r="H31" s="276">
        <f t="shared" si="5"/>
        <v>-3.386004514672681E-2</v>
      </c>
      <c r="I31" s="262"/>
      <c r="W31" s="133">
        <v>42725</v>
      </c>
      <c r="X31" s="10">
        <v>12.73</v>
      </c>
      <c r="Y31" s="10">
        <v>12.77</v>
      </c>
      <c r="Z31" s="10">
        <v>12.64</v>
      </c>
      <c r="AA31" s="10">
        <v>12.64</v>
      </c>
      <c r="AB31" s="95">
        <v>18117100</v>
      </c>
      <c r="AC31" s="10">
        <v>12.44</v>
      </c>
      <c r="AD31" s="2">
        <f t="shared" si="0"/>
        <v>0.12999999999999901</v>
      </c>
      <c r="AE31" s="138">
        <f t="shared" si="1"/>
        <v>-1.1128775834658211E-2</v>
      </c>
    </row>
    <row r="32" spans="1:31" x14ac:dyDescent="0.25">
      <c r="B32" s="266">
        <v>42542</v>
      </c>
      <c r="C32" s="261">
        <v>100</v>
      </c>
      <c r="D32" s="262">
        <v>13.2903</v>
      </c>
      <c r="E32" s="262">
        <v>13.42</v>
      </c>
      <c r="F32" s="262">
        <f t="shared" si="3"/>
        <v>12.96999999999997</v>
      </c>
      <c r="G32" s="262">
        <f t="shared" si="4"/>
        <v>1329.03</v>
      </c>
      <c r="H32" s="276">
        <f t="shared" si="5"/>
        <v>9.758997163344673E-3</v>
      </c>
      <c r="I32" s="262"/>
      <c r="W32" s="133">
        <v>42724</v>
      </c>
      <c r="X32" s="10">
        <v>12.7</v>
      </c>
      <c r="Y32" s="10">
        <v>12.82</v>
      </c>
      <c r="Z32" s="10">
        <v>12.68</v>
      </c>
      <c r="AA32" s="10">
        <v>12.78</v>
      </c>
      <c r="AB32" s="95">
        <v>17834000</v>
      </c>
      <c r="AC32" s="10">
        <v>12.58</v>
      </c>
      <c r="AD32" s="2">
        <f t="shared" si="0"/>
        <v>0.14000000000000057</v>
      </c>
      <c r="AE32" s="138">
        <f t="shared" si="1"/>
        <v>9.6308186195825929E-3</v>
      </c>
    </row>
    <row r="33" spans="2:31" x14ac:dyDescent="0.25">
      <c r="B33" s="266">
        <v>42545</v>
      </c>
      <c r="C33" s="261">
        <v>250</v>
      </c>
      <c r="D33" s="262">
        <v>12.966100000000001</v>
      </c>
      <c r="E33" s="262">
        <v>12.52</v>
      </c>
      <c r="F33" s="262">
        <f t="shared" si="3"/>
        <v>-111.52500000000032</v>
      </c>
      <c r="G33" s="262">
        <f t="shared" si="4"/>
        <v>3241.5250000000001</v>
      </c>
      <c r="H33" s="276">
        <f t="shared" si="5"/>
        <v>-3.4405102536614808E-2</v>
      </c>
      <c r="I33" s="262"/>
      <c r="W33" s="133">
        <v>42723</v>
      </c>
      <c r="X33" s="10">
        <v>12.59</v>
      </c>
      <c r="Y33" s="10">
        <v>12.8</v>
      </c>
      <c r="Z33" s="10">
        <v>12.59</v>
      </c>
      <c r="AA33" s="10">
        <v>12.66</v>
      </c>
      <c r="AB33" s="95">
        <v>22830000</v>
      </c>
      <c r="AC33" s="10">
        <v>12.46</v>
      </c>
      <c r="AD33" s="2">
        <f t="shared" si="0"/>
        <v>0.21000000000000085</v>
      </c>
      <c r="AE33" s="138">
        <f t="shared" si="1"/>
        <v>2.4135156878519748E-3</v>
      </c>
    </row>
    <row r="34" spans="2:31" x14ac:dyDescent="0.25">
      <c r="B34" s="266">
        <v>42548</v>
      </c>
      <c r="C34" s="261">
        <v>400</v>
      </c>
      <c r="D34" s="262">
        <v>12.6713</v>
      </c>
      <c r="E34" s="262">
        <v>12.16</v>
      </c>
      <c r="F34" s="262">
        <f t="shared" si="3"/>
        <v>-204.52000000000012</v>
      </c>
      <c r="G34" s="262">
        <f t="shared" si="4"/>
        <v>5068.5200000000004</v>
      </c>
      <c r="H34" s="276">
        <f t="shared" si="5"/>
        <v>-4.0351029491843798E-2</v>
      </c>
      <c r="I34" s="262"/>
      <c r="W34" s="133">
        <v>42720</v>
      </c>
      <c r="X34" s="10">
        <v>12.66</v>
      </c>
      <c r="Y34" s="10">
        <v>12.7</v>
      </c>
      <c r="Z34" s="10">
        <v>12.56</v>
      </c>
      <c r="AA34" s="10">
        <v>12.63</v>
      </c>
      <c r="AB34" s="95">
        <v>28354900</v>
      </c>
      <c r="AC34" s="10">
        <v>12.43</v>
      </c>
      <c r="AD34" s="2">
        <f t="shared" si="0"/>
        <v>0.13999999999999879</v>
      </c>
      <c r="AE34" s="138">
        <f t="shared" si="1"/>
        <v>4.0387722132471104E-3</v>
      </c>
    </row>
    <row r="35" spans="2:31" x14ac:dyDescent="0.25">
      <c r="B35" s="266">
        <v>42552</v>
      </c>
      <c r="C35" s="261">
        <v>400</v>
      </c>
      <c r="D35" s="262">
        <v>12.6713</v>
      </c>
      <c r="E35" s="262">
        <v>12.72</v>
      </c>
      <c r="F35" s="262">
        <f t="shared" ref="F35" si="6">C35*(E35-D35)</f>
        <v>19.480000000000075</v>
      </c>
      <c r="G35" s="262">
        <f t="shared" ref="G35" si="7">D35*C35</f>
        <v>5068.5200000000004</v>
      </c>
      <c r="H35" s="276">
        <f t="shared" ref="H35" si="8">(E35-D35)/D35</f>
        <v>3.843330992084489E-3</v>
      </c>
      <c r="I35" s="262"/>
      <c r="W35" s="133">
        <v>42719</v>
      </c>
      <c r="X35" s="10">
        <v>12.54</v>
      </c>
      <c r="Y35" s="10">
        <v>12.72</v>
      </c>
      <c r="Z35" s="10">
        <v>12.52</v>
      </c>
      <c r="AA35" s="10">
        <v>12.58</v>
      </c>
      <c r="AB35" s="95">
        <v>23774800</v>
      </c>
      <c r="AC35" s="10">
        <v>12.38</v>
      </c>
      <c r="AD35" s="2">
        <f t="shared" si="0"/>
        <v>0.20000000000000107</v>
      </c>
      <c r="AE35" s="138">
        <f t="shared" si="1"/>
        <v>4.0551500405514584E-3</v>
      </c>
    </row>
    <row r="36" spans="2:31" x14ac:dyDescent="0.25">
      <c r="B36" s="266">
        <v>42556</v>
      </c>
      <c r="C36" s="261">
        <v>400</v>
      </c>
      <c r="D36" s="262">
        <v>12.6713</v>
      </c>
      <c r="E36" s="262">
        <v>12.4</v>
      </c>
      <c r="F36" s="262">
        <f t="shared" ref="F36:F37" si="9">C36*(E36-D36)</f>
        <v>-108.52000000000004</v>
      </c>
      <c r="G36" s="262">
        <f t="shared" ref="G36:G37" si="10">D36*C36</f>
        <v>5068.5200000000004</v>
      </c>
      <c r="H36" s="276">
        <f t="shared" ref="H36:H37" si="11">(E36-D36)/D36</f>
        <v>-2.1410589284445961E-2</v>
      </c>
      <c r="I36" s="595">
        <v>11.5</v>
      </c>
      <c r="W36" s="133">
        <v>42718</v>
      </c>
      <c r="X36" s="10">
        <v>12.65</v>
      </c>
      <c r="Y36" s="10">
        <v>12.79</v>
      </c>
      <c r="Z36" s="10">
        <v>12.5</v>
      </c>
      <c r="AA36" s="10">
        <v>12.53</v>
      </c>
      <c r="AB36" s="95">
        <v>42820100</v>
      </c>
      <c r="AC36" s="10">
        <v>12.33</v>
      </c>
      <c r="AD36" s="2">
        <f t="shared" si="0"/>
        <v>0.28999999999999915</v>
      </c>
      <c r="AE36" s="138">
        <f t="shared" si="1"/>
        <v>-1.9093078758949944E-2</v>
      </c>
    </row>
    <row r="37" spans="2:31" x14ac:dyDescent="0.25">
      <c r="B37" s="266">
        <v>42566</v>
      </c>
      <c r="C37" s="261">
        <v>300</v>
      </c>
      <c r="D37" s="262">
        <v>12.5352</v>
      </c>
      <c r="E37" s="262">
        <v>13.57</v>
      </c>
      <c r="F37" s="262">
        <f t="shared" si="9"/>
        <v>310.44000000000017</v>
      </c>
      <c r="G37" s="262">
        <f t="shared" si="10"/>
        <v>3760.56</v>
      </c>
      <c r="H37" s="276">
        <f t="shared" si="11"/>
        <v>8.2551534877784216E-2</v>
      </c>
      <c r="I37" s="595"/>
      <c r="W37" s="133">
        <v>42717</v>
      </c>
      <c r="X37" s="10">
        <v>12.84</v>
      </c>
      <c r="Y37" s="10">
        <v>12.88</v>
      </c>
      <c r="Z37" s="10">
        <v>12.75</v>
      </c>
      <c r="AA37" s="10">
        <v>12.77</v>
      </c>
      <c r="AB37" s="95">
        <v>39570500</v>
      </c>
      <c r="AC37" s="10">
        <v>12.57</v>
      </c>
      <c r="AD37" s="2">
        <f t="shared" si="0"/>
        <v>0.13000000000000078</v>
      </c>
      <c r="AE37" s="138">
        <f t="shared" si="1"/>
        <v>-3.961965134706702E-3</v>
      </c>
    </row>
    <row r="38" spans="2:31" x14ac:dyDescent="0.25">
      <c r="B38" s="266">
        <v>42570</v>
      </c>
      <c r="C38" s="261">
        <v>300</v>
      </c>
      <c r="D38" s="262">
        <v>12.5352</v>
      </c>
      <c r="E38" s="262">
        <v>13.65</v>
      </c>
      <c r="F38" s="262">
        <f t="shared" ref="F38" si="12">C38*(E38-D38)</f>
        <v>334.44000000000023</v>
      </c>
      <c r="G38" s="262">
        <f t="shared" ref="G38" si="13">D38*C38</f>
        <v>3760.56</v>
      </c>
      <c r="H38" s="276">
        <f t="shared" ref="H38" si="14">(E38-D38)/D38</f>
        <v>8.8933563086348894E-2</v>
      </c>
      <c r="I38" s="262"/>
      <c r="W38" s="133">
        <v>42716</v>
      </c>
      <c r="X38" s="10">
        <v>13.08</v>
      </c>
      <c r="Y38" s="10">
        <v>13.1</v>
      </c>
      <c r="Z38" s="10">
        <v>12.81</v>
      </c>
      <c r="AA38" s="10">
        <v>12.82</v>
      </c>
      <c r="AB38" s="95">
        <v>39596800</v>
      </c>
      <c r="AC38" s="10">
        <v>12.62</v>
      </c>
      <c r="AD38" s="2">
        <f t="shared" si="0"/>
        <v>0.28999999999999915</v>
      </c>
      <c r="AE38" s="138">
        <f t="shared" si="1"/>
        <v>-2.6234567901234684E-2</v>
      </c>
    </row>
    <row r="39" spans="2:31" x14ac:dyDescent="0.25">
      <c r="B39" s="266">
        <v>42571</v>
      </c>
      <c r="C39" s="261">
        <v>300</v>
      </c>
      <c r="D39" s="262">
        <v>12.5352</v>
      </c>
      <c r="E39" s="262">
        <v>13.74</v>
      </c>
      <c r="F39" s="262">
        <f t="shared" ref="F39" si="15">C39*(E39-D39)</f>
        <v>361.44000000000017</v>
      </c>
      <c r="G39" s="262">
        <f t="shared" ref="G39" si="16">D39*C39</f>
        <v>3760.56</v>
      </c>
      <c r="H39" s="276">
        <f t="shared" ref="H39" si="17">(E39-D39)/D39</f>
        <v>9.6113344820984159E-2</v>
      </c>
      <c r="I39" s="262"/>
      <c r="W39" s="133">
        <v>42713</v>
      </c>
      <c r="X39" s="10">
        <v>13</v>
      </c>
      <c r="Y39" s="10">
        <v>13.2</v>
      </c>
      <c r="Z39" s="10">
        <v>12.91</v>
      </c>
      <c r="AA39" s="10">
        <v>13.17</v>
      </c>
      <c r="AB39" s="95">
        <v>45256100</v>
      </c>
      <c r="AC39" s="10">
        <v>12.96</v>
      </c>
      <c r="AD39" s="2">
        <f t="shared" si="0"/>
        <v>0.28999999999999915</v>
      </c>
      <c r="AE39" s="138">
        <f t="shared" si="1"/>
        <v>1.0920436817472678E-2</v>
      </c>
    </row>
    <row r="40" spans="2:31" ht="20.25" thickBot="1" x14ac:dyDescent="0.35">
      <c r="B40" s="266">
        <v>42572</v>
      </c>
      <c r="C40" s="261">
        <v>300</v>
      </c>
      <c r="D40" s="262">
        <v>12.5352</v>
      </c>
      <c r="E40" s="262">
        <v>13.92</v>
      </c>
      <c r="F40" s="262">
        <f t="shared" ref="F40" si="18">C40*(E40-D40)</f>
        <v>415.44000000000005</v>
      </c>
      <c r="G40" s="262">
        <f t="shared" ref="G40" si="19">D40*C40</f>
        <v>3760.56</v>
      </c>
      <c r="H40" s="276">
        <f t="shared" ref="H40" si="20">(E40-D40)/D40</f>
        <v>0.11047290829025466</v>
      </c>
      <c r="I40" s="262"/>
      <c r="O40" s="638" t="s">
        <v>78</v>
      </c>
      <c r="P40" s="638"/>
      <c r="W40" s="133">
        <v>42712</v>
      </c>
      <c r="X40" s="10">
        <v>13.07</v>
      </c>
      <c r="Y40" s="10">
        <v>13.15</v>
      </c>
      <c r="Z40" s="10">
        <v>12.97</v>
      </c>
      <c r="AA40" s="10">
        <v>13.03</v>
      </c>
      <c r="AB40" s="95">
        <v>41459500</v>
      </c>
      <c r="AC40" s="10">
        <v>12.82</v>
      </c>
      <c r="AD40" s="2">
        <f t="shared" si="0"/>
        <v>0.17999999999999972</v>
      </c>
      <c r="AE40" s="138">
        <f t="shared" si="1"/>
        <v>-2.3346303501945442E-3</v>
      </c>
    </row>
    <row r="41" spans="2:31" ht="15.75" thickTop="1" x14ac:dyDescent="0.25">
      <c r="B41" s="266">
        <v>42575</v>
      </c>
      <c r="C41" s="261">
        <v>300</v>
      </c>
      <c r="D41" s="262">
        <v>12.5352</v>
      </c>
      <c r="E41" s="262">
        <v>13.82</v>
      </c>
      <c r="F41" s="262">
        <f t="shared" ref="F41:F42" si="21">C41*(E41-D41)</f>
        <v>385.44000000000017</v>
      </c>
      <c r="G41" s="262">
        <f t="shared" ref="G41:G42" si="22">D41*C41</f>
        <v>3760.56</v>
      </c>
      <c r="H41" s="276">
        <f t="shared" ref="H41:H42" si="23">(E41-D41)/D41</f>
        <v>0.10249537302954884</v>
      </c>
      <c r="I41" s="262"/>
      <c r="O41" s="83">
        <v>1.1000000000000001</v>
      </c>
      <c r="P41" s="83">
        <f>O41*$Q$4</f>
        <v>13.816000000000003</v>
      </c>
      <c r="Q41" s="2"/>
      <c r="W41" s="133">
        <v>42711</v>
      </c>
      <c r="X41" s="10">
        <v>12.59</v>
      </c>
      <c r="Y41" s="10">
        <v>13.15</v>
      </c>
      <c r="Z41" s="10">
        <v>12.54</v>
      </c>
      <c r="AA41" s="10">
        <v>13.06</v>
      </c>
      <c r="AB41" s="95">
        <v>58600400</v>
      </c>
      <c r="AC41" s="10">
        <v>12.85</v>
      </c>
      <c r="AD41" s="2">
        <f t="shared" si="0"/>
        <v>0.61000000000000121</v>
      </c>
      <c r="AE41" s="138">
        <f t="shared" si="1"/>
        <v>3.9644012944983764E-2</v>
      </c>
    </row>
    <row r="42" spans="2:31" ht="20.25" thickBot="1" x14ac:dyDescent="0.35">
      <c r="B42" s="266">
        <v>42577</v>
      </c>
      <c r="C42" s="261">
        <v>250</v>
      </c>
      <c r="D42" s="262">
        <v>12.286300000000001</v>
      </c>
      <c r="E42" s="262">
        <v>13.86</v>
      </c>
      <c r="F42" s="262">
        <f t="shared" si="21"/>
        <v>393.42499999999967</v>
      </c>
      <c r="G42" s="262">
        <f t="shared" si="22"/>
        <v>3071.5750000000003</v>
      </c>
      <c r="H42" s="276">
        <f t="shared" si="23"/>
        <v>0.12808575405126024</v>
      </c>
      <c r="I42" s="596" t="s">
        <v>267</v>
      </c>
      <c r="O42" s="83">
        <v>1.0900000000000001</v>
      </c>
      <c r="P42" s="83">
        <f t="shared" ref="P42:P61" si="24">O42*$Q$4</f>
        <v>13.690400000000002</v>
      </c>
      <c r="Q42" s="2"/>
      <c r="T42" s="91" t="s">
        <v>113</v>
      </c>
      <c r="W42" s="133">
        <v>42710</v>
      </c>
      <c r="X42" s="10">
        <v>12.4</v>
      </c>
      <c r="Y42" s="10">
        <v>12.59</v>
      </c>
      <c r="Z42" s="10">
        <v>12.37</v>
      </c>
      <c r="AA42" s="10">
        <v>12.56</v>
      </c>
      <c r="AB42" s="95">
        <v>23923900</v>
      </c>
      <c r="AC42" s="10">
        <v>12.36</v>
      </c>
      <c r="AD42" s="2">
        <f t="shared" si="0"/>
        <v>0.22000000000000064</v>
      </c>
      <c r="AE42" s="138">
        <f t="shared" si="1"/>
        <v>9.8039215686274161E-3</v>
      </c>
    </row>
    <row r="43" spans="2:31" ht="15.75" thickTop="1" x14ac:dyDescent="0.25">
      <c r="B43" s="266">
        <v>42579</v>
      </c>
      <c r="C43" s="261">
        <v>250</v>
      </c>
      <c r="D43" s="262">
        <v>12.286300000000001</v>
      </c>
      <c r="E43" s="262">
        <v>12.71</v>
      </c>
      <c r="F43" s="262">
        <f t="shared" ref="F43" si="25">C43*(E43-D43)</f>
        <v>105.92500000000004</v>
      </c>
      <c r="G43" s="262">
        <f t="shared" ref="G43" si="26">D43*C43</f>
        <v>3071.5750000000003</v>
      </c>
      <c r="H43" s="276">
        <f t="shared" ref="H43" si="27">(E43-D43)/D43</f>
        <v>3.4485565223053335E-2</v>
      </c>
      <c r="I43" s="262"/>
      <c r="O43" s="83">
        <v>1.08</v>
      </c>
      <c r="P43" s="83">
        <f t="shared" si="24"/>
        <v>13.564800000000002</v>
      </c>
      <c r="Q43" s="2"/>
      <c r="T43" s="128" t="s">
        <v>98</v>
      </c>
      <c r="U43" s="98">
        <v>12.32</v>
      </c>
      <c r="W43" s="133">
        <v>42709</v>
      </c>
      <c r="X43" s="10">
        <v>12.31</v>
      </c>
      <c r="Y43" s="10">
        <v>12.5</v>
      </c>
      <c r="Z43" s="10">
        <v>12.29</v>
      </c>
      <c r="AA43" s="10">
        <v>12.44</v>
      </c>
      <c r="AB43" s="95">
        <v>36220000</v>
      </c>
      <c r="AC43" s="10">
        <v>12.24</v>
      </c>
      <c r="AD43" s="2">
        <f t="shared" si="0"/>
        <v>0.21000000000000085</v>
      </c>
      <c r="AE43" s="138">
        <f t="shared" si="1"/>
        <v>1.5767634854771728E-2</v>
      </c>
    </row>
    <row r="44" spans="2:31" x14ac:dyDescent="0.25">
      <c r="B44" s="266">
        <v>42585</v>
      </c>
      <c r="C44" s="261">
        <v>250</v>
      </c>
      <c r="D44" s="262">
        <v>12.286300000000001</v>
      </c>
      <c r="E44" s="262">
        <v>11.94</v>
      </c>
      <c r="F44" s="262">
        <f t="shared" ref="F44" si="28">C44*(E44-D44)</f>
        <v>-86.575000000000287</v>
      </c>
      <c r="G44" s="262">
        <f t="shared" ref="G44" si="29">D44*C44</f>
        <v>3071.5750000000003</v>
      </c>
      <c r="H44" s="276">
        <f t="shared" ref="H44" si="30">(E44-D44)/D44</f>
        <v>-2.8185865557572347E-2</v>
      </c>
      <c r="I44" s="262"/>
      <c r="O44" s="83">
        <v>1.07</v>
      </c>
      <c r="P44" s="83">
        <f t="shared" si="24"/>
        <v>13.439200000000001</v>
      </c>
      <c r="Q44" s="2"/>
      <c r="T44" s="93" t="s">
        <v>99</v>
      </c>
      <c r="U44" s="88">
        <v>12.3</v>
      </c>
      <c r="W44" s="133">
        <v>42706</v>
      </c>
      <c r="X44" s="10">
        <v>12.58</v>
      </c>
      <c r="Y44" s="10">
        <v>12.58</v>
      </c>
      <c r="Z44" s="10">
        <v>12.15</v>
      </c>
      <c r="AA44" s="10">
        <v>12.24</v>
      </c>
      <c r="AB44" s="95">
        <v>38689800</v>
      </c>
      <c r="AC44" s="10">
        <v>12.05</v>
      </c>
      <c r="AD44" s="2">
        <f t="shared" si="0"/>
        <v>0.42999999999999972</v>
      </c>
      <c r="AE44" s="138">
        <f t="shared" si="1"/>
        <v>-1.4717906786590351E-2</v>
      </c>
    </row>
    <row r="45" spans="2:31" x14ac:dyDescent="0.25">
      <c r="B45" s="266">
        <v>42593</v>
      </c>
      <c r="C45" s="261">
        <v>250</v>
      </c>
      <c r="D45" s="262">
        <v>12.286300000000001</v>
      </c>
      <c r="E45" s="262">
        <v>12.25</v>
      </c>
      <c r="F45" s="262">
        <f t="shared" ref="F45:F46" si="31">C45*(E45-D45)</f>
        <v>-9.0750000000001663</v>
      </c>
      <c r="G45" s="262">
        <f t="shared" ref="G45:G46" si="32">D45*C45</f>
        <v>3071.5750000000003</v>
      </c>
      <c r="H45" s="276">
        <f t="shared" ref="H45:H46" si="33">(E45-D45)/D45</f>
        <v>-2.9545103082295452E-3</v>
      </c>
      <c r="I45" s="262"/>
      <c r="O45" s="83">
        <v>1.06</v>
      </c>
      <c r="P45" s="83">
        <f t="shared" si="24"/>
        <v>13.313600000000001</v>
      </c>
      <c r="Q45" s="2"/>
      <c r="T45" s="93" t="s">
        <v>100</v>
      </c>
      <c r="U45" s="88" t="s">
        <v>129</v>
      </c>
      <c r="W45" s="133">
        <v>42705</v>
      </c>
      <c r="X45" s="10">
        <v>12.23</v>
      </c>
      <c r="Y45" s="10">
        <v>12.8</v>
      </c>
      <c r="Z45" s="10">
        <v>12.18</v>
      </c>
      <c r="AA45" s="10">
        <v>12.43</v>
      </c>
      <c r="AB45" s="95">
        <v>95143600</v>
      </c>
      <c r="AC45" s="10">
        <v>12.23</v>
      </c>
      <c r="AD45" s="2">
        <f t="shared" si="0"/>
        <v>0.62000000000000099</v>
      </c>
      <c r="AE45" s="138">
        <f t="shared" si="1"/>
        <v>3.908241291418868E-2</v>
      </c>
    </row>
    <row r="46" spans="2:31" x14ac:dyDescent="0.25">
      <c r="B46" s="266">
        <v>42597</v>
      </c>
      <c r="C46" s="261">
        <v>250</v>
      </c>
      <c r="D46" s="262">
        <v>12.286300000000001</v>
      </c>
      <c r="E46" s="262">
        <v>12.43</v>
      </c>
      <c r="F46" s="262">
        <f t="shared" si="31"/>
        <v>35.924999999999763</v>
      </c>
      <c r="G46" s="262">
        <f t="shared" si="32"/>
        <v>3071.5750000000003</v>
      </c>
      <c r="H46" s="276">
        <f t="shared" si="33"/>
        <v>1.1695954030098488E-2</v>
      </c>
      <c r="I46" s="262"/>
      <c r="O46" s="83">
        <v>1.05</v>
      </c>
      <c r="P46" s="83">
        <f t="shared" si="24"/>
        <v>13.188000000000001</v>
      </c>
      <c r="Q46" s="2"/>
      <c r="T46" s="93" t="s">
        <v>101</v>
      </c>
      <c r="U46" s="88" t="s">
        <v>129</v>
      </c>
      <c r="W46" s="133">
        <v>42704</v>
      </c>
      <c r="X46" s="10">
        <v>11.97</v>
      </c>
      <c r="Y46" s="10">
        <v>12.14</v>
      </c>
      <c r="Z46" s="10">
        <v>11.92</v>
      </c>
      <c r="AA46" s="10">
        <v>11.96</v>
      </c>
      <c r="AB46" s="95">
        <v>47646200</v>
      </c>
      <c r="AC46" s="10">
        <v>11.77</v>
      </c>
      <c r="AD46" s="2">
        <f t="shared" si="0"/>
        <v>0.22000000000000064</v>
      </c>
      <c r="AE46" s="138">
        <f t="shared" si="1"/>
        <v>3.4100596760442414E-3</v>
      </c>
    </row>
    <row r="47" spans="2:31" x14ac:dyDescent="0.25">
      <c r="B47" s="266">
        <v>42600</v>
      </c>
      <c r="C47" s="261">
        <v>250</v>
      </c>
      <c r="D47" s="262">
        <v>12.286300000000001</v>
      </c>
      <c r="E47" s="262">
        <v>12.33</v>
      </c>
      <c r="F47" s="262">
        <f t="shared" ref="F47" si="34">C47*(E47-D47)</f>
        <v>10.924999999999851</v>
      </c>
      <c r="G47" s="262">
        <f t="shared" ref="G47" si="35">D47*C47</f>
        <v>3071.5750000000003</v>
      </c>
      <c r="H47" s="276">
        <f t="shared" ref="H47" si="36">(E47-D47)/D47</f>
        <v>3.5568071754718184E-3</v>
      </c>
      <c r="I47" s="262"/>
      <c r="O47" s="83">
        <v>1.04</v>
      </c>
      <c r="P47" s="83">
        <f t="shared" si="24"/>
        <v>13.0624</v>
      </c>
      <c r="Q47" s="2"/>
      <c r="T47" s="93" t="s">
        <v>102</v>
      </c>
      <c r="U47" s="88">
        <v>13.09</v>
      </c>
      <c r="W47" s="133">
        <v>42703</v>
      </c>
      <c r="X47" s="10">
        <v>11.93</v>
      </c>
      <c r="Y47" s="10">
        <v>12</v>
      </c>
      <c r="Z47" s="10">
        <v>11.87</v>
      </c>
      <c r="AA47" s="10">
        <v>11.92</v>
      </c>
      <c r="AB47" s="95">
        <v>23690800</v>
      </c>
      <c r="AC47" s="10">
        <v>11.73</v>
      </c>
      <c r="AD47" s="2">
        <f t="shared" si="0"/>
        <v>0.13000000000000078</v>
      </c>
      <c r="AE47" s="138">
        <f t="shared" si="1"/>
        <v>0</v>
      </c>
    </row>
    <row r="48" spans="2:31" x14ac:dyDescent="0.25">
      <c r="B48" s="266">
        <v>42601</v>
      </c>
      <c r="C48" s="261">
        <v>250</v>
      </c>
      <c r="D48" s="262">
        <v>12.286300000000001</v>
      </c>
      <c r="E48" s="262">
        <v>12.39</v>
      </c>
      <c r="F48" s="262">
        <f t="shared" ref="F48" si="37">C48*(E48-D48)</f>
        <v>25.924999999999976</v>
      </c>
      <c r="G48" s="262">
        <f t="shared" ref="G48" si="38">D48*C48</f>
        <v>3071.5750000000003</v>
      </c>
      <c r="H48" s="276">
        <f t="shared" ref="H48" si="39">(E48-D48)/D48</f>
        <v>8.4402952882478774E-3</v>
      </c>
      <c r="I48" s="262"/>
      <c r="O48" s="83">
        <v>1.03</v>
      </c>
      <c r="P48" s="83">
        <f t="shared" si="24"/>
        <v>12.936800000000002</v>
      </c>
      <c r="Q48" s="2"/>
      <c r="T48" s="93" t="s">
        <v>103</v>
      </c>
      <c r="U48" s="88">
        <v>1.2931299999999999</v>
      </c>
      <c r="W48" s="133">
        <v>42702</v>
      </c>
      <c r="X48" s="10">
        <v>12.02</v>
      </c>
      <c r="Y48" s="10">
        <v>12.05</v>
      </c>
      <c r="Z48" s="10">
        <v>11.89</v>
      </c>
      <c r="AA48" s="10">
        <v>11.92</v>
      </c>
      <c r="AB48" s="95">
        <v>24407200</v>
      </c>
      <c r="AC48" s="10">
        <v>11.73</v>
      </c>
      <c r="AD48" s="2">
        <f t="shared" si="0"/>
        <v>0.16000000000000014</v>
      </c>
      <c r="AE48" s="138">
        <f t="shared" si="1"/>
        <v>-1.0126582278480956E-2</v>
      </c>
    </row>
    <row r="49" spans="2:31" x14ac:dyDescent="0.25">
      <c r="B49" s="266">
        <v>42604</v>
      </c>
      <c r="C49" s="261">
        <v>250</v>
      </c>
      <c r="D49" s="262">
        <v>12.286300000000001</v>
      </c>
      <c r="E49" s="262">
        <v>12.36</v>
      </c>
      <c r="F49" s="262">
        <f t="shared" ref="F49" si="40">C49*(E49-D49)</f>
        <v>18.424999999999692</v>
      </c>
      <c r="G49" s="262">
        <f t="shared" ref="G49" si="41">D49*C49</f>
        <v>3071.5750000000003</v>
      </c>
      <c r="H49" s="276">
        <f t="shared" ref="H49" si="42">(E49-D49)/D49</f>
        <v>5.9985512318597757E-3</v>
      </c>
      <c r="I49" s="262"/>
      <c r="O49" s="83">
        <v>1.02</v>
      </c>
      <c r="P49" s="83">
        <f t="shared" si="24"/>
        <v>12.811200000000001</v>
      </c>
      <c r="Q49" s="2"/>
      <c r="T49" s="93" t="s">
        <v>104</v>
      </c>
      <c r="U49" s="88" t="s">
        <v>478</v>
      </c>
      <c r="W49" s="133">
        <v>42699</v>
      </c>
      <c r="X49" s="10">
        <v>11.95</v>
      </c>
      <c r="Y49" s="10">
        <v>12.06</v>
      </c>
      <c r="Z49" s="10">
        <v>11.93</v>
      </c>
      <c r="AA49" s="10">
        <v>12.04</v>
      </c>
      <c r="AB49" s="95">
        <v>11439600</v>
      </c>
      <c r="AC49" s="10">
        <v>11.85</v>
      </c>
      <c r="AD49" s="2">
        <f t="shared" si="0"/>
        <v>0.13000000000000078</v>
      </c>
      <c r="AE49" s="138">
        <f t="shared" si="1"/>
        <v>1.1955593509820561E-2</v>
      </c>
    </row>
    <row r="50" spans="2:31" x14ac:dyDescent="0.25">
      <c r="B50" s="266">
        <v>42607</v>
      </c>
      <c r="C50" s="261">
        <v>250</v>
      </c>
      <c r="D50" s="262">
        <v>12.286300000000001</v>
      </c>
      <c r="E50" s="262">
        <v>12.47</v>
      </c>
      <c r="F50" s="262">
        <f t="shared" ref="F50:F52" si="43">C50*(E50-D50)</f>
        <v>45.924999999999997</v>
      </c>
      <c r="G50" s="262">
        <f t="shared" ref="G50:G52" si="44">D50*C50</f>
        <v>3071.5750000000003</v>
      </c>
      <c r="H50" s="276">
        <f t="shared" ref="H50:H52" si="45">(E50-D50)/D50</f>
        <v>1.4951612771949242E-2</v>
      </c>
      <c r="I50" s="262"/>
      <c r="O50" s="83">
        <v>1.01</v>
      </c>
      <c r="P50" s="83">
        <f t="shared" si="24"/>
        <v>12.685600000000001</v>
      </c>
      <c r="Q50" s="2"/>
      <c r="T50" s="93"/>
      <c r="U50" s="88"/>
      <c r="W50" s="133">
        <v>42697</v>
      </c>
      <c r="X50" s="10">
        <v>11.9</v>
      </c>
      <c r="Y50" s="10">
        <v>12</v>
      </c>
      <c r="Z50" s="10">
        <v>11.85</v>
      </c>
      <c r="AA50" s="10">
        <v>11.9</v>
      </c>
      <c r="AB50" s="95">
        <v>22414000</v>
      </c>
      <c r="AC50" s="10">
        <v>11.71</v>
      </c>
      <c r="AD50" s="2">
        <f t="shared" si="0"/>
        <v>0.15000000000000036</v>
      </c>
      <c r="AE50" s="138">
        <f t="shared" si="1"/>
        <v>8.5470085470107371E-4</v>
      </c>
    </row>
    <row r="51" spans="2:31" x14ac:dyDescent="0.25">
      <c r="B51" s="266">
        <v>42615</v>
      </c>
      <c r="C51" s="261">
        <v>250</v>
      </c>
      <c r="D51" s="262">
        <v>12.106299999999999</v>
      </c>
      <c r="E51" s="262">
        <v>12.5</v>
      </c>
      <c r="F51" s="262">
        <f t="shared" si="43"/>
        <v>98.42500000000021</v>
      </c>
      <c r="G51" s="262">
        <f t="shared" si="44"/>
        <v>3026.5749999999998</v>
      </c>
      <c r="H51" s="276">
        <f t="shared" si="45"/>
        <v>3.252025804746296E-2</v>
      </c>
      <c r="I51" s="423" t="s">
        <v>281</v>
      </c>
      <c r="O51" s="83">
        <v>1</v>
      </c>
      <c r="P51" s="83">
        <f t="shared" si="24"/>
        <v>12.56</v>
      </c>
      <c r="Q51" s="2"/>
      <c r="T51" s="93" t="s">
        <v>105</v>
      </c>
      <c r="U51" s="88" t="s">
        <v>574</v>
      </c>
      <c r="W51" s="133">
        <v>42696</v>
      </c>
      <c r="X51" s="10">
        <v>11.76</v>
      </c>
      <c r="Y51" s="10">
        <v>11.91</v>
      </c>
      <c r="Z51" s="10">
        <v>11.73</v>
      </c>
      <c r="AA51" s="10">
        <v>11.89</v>
      </c>
      <c r="AB51" s="95">
        <v>24274700</v>
      </c>
      <c r="AC51" s="10">
        <v>11.7</v>
      </c>
      <c r="AD51" s="2">
        <f t="shared" si="0"/>
        <v>0.17999999999999972</v>
      </c>
      <c r="AE51" s="138">
        <f t="shared" si="1"/>
        <v>8.6206896551723755E-3</v>
      </c>
    </row>
    <row r="52" spans="2:31" x14ac:dyDescent="0.25">
      <c r="B52" s="266">
        <v>42620</v>
      </c>
      <c r="C52" s="261">
        <v>150</v>
      </c>
      <c r="D52" s="262">
        <v>11.7141</v>
      </c>
      <c r="E52" s="262">
        <v>12.7</v>
      </c>
      <c r="F52" s="262">
        <f t="shared" si="43"/>
        <v>147.88499999999988</v>
      </c>
      <c r="G52" s="262">
        <f t="shared" si="44"/>
        <v>1757.115</v>
      </c>
      <c r="H52" s="276">
        <f t="shared" si="45"/>
        <v>8.4163529421807826E-2</v>
      </c>
      <c r="I52" s="262"/>
      <c r="O52" s="83">
        <v>0.99</v>
      </c>
      <c r="P52" s="83">
        <f t="shared" si="24"/>
        <v>12.4344</v>
      </c>
      <c r="Q52" s="2"/>
      <c r="T52" s="93" t="s">
        <v>106</v>
      </c>
      <c r="U52" s="88" t="s">
        <v>575</v>
      </c>
      <c r="W52" s="133">
        <v>42695</v>
      </c>
      <c r="X52" s="10">
        <v>11.77</v>
      </c>
      <c r="Y52" s="10">
        <v>11.9</v>
      </c>
      <c r="Z52" s="10">
        <v>11.77</v>
      </c>
      <c r="AA52" s="10">
        <v>11.79</v>
      </c>
      <c r="AB52" s="95">
        <v>19508600</v>
      </c>
      <c r="AC52" s="10">
        <v>11.6</v>
      </c>
      <c r="AD52" s="2">
        <f t="shared" si="0"/>
        <v>0.13000000000000078</v>
      </c>
      <c r="AE52" s="138">
        <f t="shared" si="1"/>
        <v>2.5929127052721768E-3</v>
      </c>
    </row>
    <row r="53" spans="2:31" x14ac:dyDescent="0.25">
      <c r="B53" s="266">
        <v>42621</v>
      </c>
      <c r="C53" s="261">
        <v>150</v>
      </c>
      <c r="D53" s="262">
        <v>11.7141</v>
      </c>
      <c r="E53" s="262">
        <v>12.73</v>
      </c>
      <c r="F53" s="262">
        <f t="shared" ref="F53" si="46">C53*(E53-D53)</f>
        <v>152.38500000000005</v>
      </c>
      <c r="G53" s="262">
        <f t="shared" ref="G53" si="47">D53*C53</f>
        <v>1757.115</v>
      </c>
      <c r="H53" s="276">
        <f t="shared" ref="H53" si="48">(E53-D53)/D53</f>
        <v>8.6724545633040537E-2</v>
      </c>
      <c r="I53" s="262"/>
      <c r="O53" s="83">
        <v>0.98</v>
      </c>
      <c r="P53" s="83">
        <f t="shared" si="24"/>
        <v>12.3088</v>
      </c>
      <c r="Q53" s="2"/>
      <c r="T53" s="93" t="s">
        <v>107</v>
      </c>
      <c r="U53" s="90">
        <v>29035383</v>
      </c>
      <c r="W53" s="133">
        <v>42692</v>
      </c>
      <c r="X53" s="10">
        <v>11.87</v>
      </c>
      <c r="Y53" s="10">
        <v>11.9</v>
      </c>
      <c r="Z53" s="10">
        <v>11.73</v>
      </c>
      <c r="AA53" s="10">
        <v>11.76</v>
      </c>
      <c r="AB53" s="95">
        <v>30662000</v>
      </c>
      <c r="AC53" s="10">
        <v>11.57</v>
      </c>
      <c r="AD53" s="2">
        <f t="shared" si="0"/>
        <v>0.16999999999999993</v>
      </c>
      <c r="AE53" s="138">
        <f t="shared" si="1"/>
        <v>-9.4178082191780366E-3</v>
      </c>
    </row>
    <row r="54" spans="2:31" x14ac:dyDescent="0.25">
      <c r="B54" s="266">
        <v>42622</v>
      </c>
      <c r="C54" s="261">
        <v>150</v>
      </c>
      <c r="D54" s="262">
        <v>11.7141</v>
      </c>
      <c r="E54" s="262">
        <v>12.38</v>
      </c>
      <c r="F54" s="262">
        <f t="shared" ref="F54" si="49">C54*(E54-D54)</f>
        <v>99.88500000000009</v>
      </c>
      <c r="G54" s="262">
        <f t="shared" ref="G54" si="50">D54*C54</f>
        <v>1757.115</v>
      </c>
      <c r="H54" s="276">
        <f t="shared" ref="H54" si="51">(E54-D54)/D54</f>
        <v>5.684602316866004E-2</v>
      </c>
      <c r="I54" s="262"/>
      <c r="O54" s="83">
        <v>0.97</v>
      </c>
      <c r="P54" s="83">
        <f t="shared" si="24"/>
        <v>12.183199999999999</v>
      </c>
      <c r="T54" s="93" t="s">
        <v>110</v>
      </c>
      <c r="U54" s="90">
        <v>37527700</v>
      </c>
      <c r="W54" s="133">
        <v>42691</v>
      </c>
      <c r="X54" s="10">
        <v>11.9</v>
      </c>
      <c r="Y54" s="10">
        <v>11.96</v>
      </c>
      <c r="Z54" s="10">
        <v>11.78</v>
      </c>
      <c r="AA54" s="10">
        <v>11.87</v>
      </c>
      <c r="AB54" s="95">
        <v>38502500</v>
      </c>
      <c r="AC54" s="10">
        <v>11.68</v>
      </c>
      <c r="AD54" s="2">
        <f t="shared" si="0"/>
        <v>0.18000000000000149</v>
      </c>
      <c r="AE54" s="138">
        <f t="shared" si="1"/>
        <v>-1.1007620660457351E-2</v>
      </c>
    </row>
    <row r="55" spans="2:31" x14ac:dyDescent="0.25">
      <c r="B55" s="266">
        <v>42625</v>
      </c>
      <c r="C55" s="261">
        <v>150</v>
      </c>
      <c r="D55" s="262">
        <v>11.7141</v>
      </c>
      <c r="E55" s="262">
        <v>12.7</v>
      </c>
      <c r="F55" s="262">
        <f t="shared" ref="F55:F56" si="52">C55*(E55-D55)</f>
        <v>147.88499999999988</v>
      </c>
      <c r="G55" s="262">
        <f t="shared" ref="G55:G56" si="53">D55*C55</f>
        <v>1757.115</v>
      </c>
      <c r="H55" s="276">
        <f t="shared" ref="H55:H56" si="54">(E55-D55)/D55</f>
        <v>8.4163529421807826E-2</v>
      </c>
      <c r="I55" s="262"/>
      <c r="O55" s="83">
        <v>0.96</v>
      </c>
      <c r="P55" s="83">
        <f t="shared" si="24"/>
        <v>12.057600000000001</v>
      </c>
      <c r="T55" s="93" t="s">
        <v>108</v>
      </c>
      <c r="U55" s="88" t="s">
        <v>576</v>
      </c>
      <c r="W55" s="133">
        <v>42690</v>
      </c>
      <c r="X55" s="10">
        <v>12</v>
      </c>
      <c r="Y55" s="10">
        <v>12.05</v>
      </c>
      <c r="Z55" s="10">
        <v>11.92</v>
      </c>
      <c r="AA55" s="10">
        <v>12</v>
      </c>
      <c r="AB55" s="95">
        <v>25195500</v>
      </c>
      <c r="AC55" s="10">
        <v>11.81</v>
      </c>
      <c r="AD55" s="2">
        <f t="shared" si="0"/>
        <v>0.13000000000000078</v>
      </c>
      <c r="AE55" s="138">
        <f t="shared" si="1"/>
        <v>-3.3755274261603185E-3</v>
      </c>
    </row>
    <row r="56" spans="2:31" x14ac:dyDescent="0.25">
      <c r="B56" s="266">
        <v>42627</v>
      </c>
      <c r="C56" s="261">
        <v>250</v>
      </c>
      <c r="D56" s="262">
        <v>11.884399999999999</v>
      </c>
      <c r="E56" s="262">
        <v>12.14</v>
      </c>
      <c r="F56" s="262">
        <f t="shared" si="52"/>
        <v>63.90000000000029</v>
      </c>
      <c r="G56" s="262">
        <f t="shared" si="53"/>
        <v>2971.1</v>
      </c>
      <c r="H56" s="276">
        <f t="shared" si="54"/>
        <v>2.1507185890747633E-2</v>
      </c>
      <c r="I56" s="423" t="s">
        <v>295</v>
      </c>
      <c r="O56" s="83">
        <v>0.95</v>
      </c>
      <c r="P56" s="83">
        <f t="shared" si="24"/>
        <v>11.932</v>
      </c>
      <c r="T56" s="93" t="s">
        <v>111</v>
      </c>
      <c r="U56" s="88">
        <v>6.78</v>
      </c>
      <c r="W56" s="133">
        <v>42689</v>
      </c>
      <c r="X56" s="10">
        <v>12.06</v>
      </c>
      <c r="Y56" s="10">
        <v>12.14</v>
      </c>
      <c r="Z56" s="10">
        <v>11.95</v>
      </c>
      <c r="AA56" s="10">
        <v>12.04</v>
      </c>
      <c r="AB56" s="95">
        <v>31498500</v>
      </c>
      <c r="AC56" s="10">
        <v>11.85</v>
      </c>
      <c r="AD56" s="2">
        <f t="shared" si="0"/>
        <v>0.19000000000000128</v>
      </c>
      <c r="AE56" s="138">
        <f t="shared" si="1"/>
        <v>-1.6849199663016012E-3</v>
      </c>
    </row>
    <row r="57" spans="2:31" x14ac:dyDescent="0.25">
      <c r="B57" s="266">
        <v>42648</v>
      </c>
      <c r="C57" s="261">
        <v>250</v>
      </c>
      <c r="D57" s="262">
        <v>11.884399999999999</v>
      </c>
      <c r="E57" s="262">
        <v>12.48</v>
      </c>
      <c r="F57" s="262">
        <f t="shared" ref="F57" si="55">C57*(E57-D57)</f>
        <v>148.90000000000026</v>
      </c>
      <c r="G57" s="262">
        <f t="shared" ref="G57" si="56">D57*C57</f>
        <v>2971.1</v>
      </c>
      <c r="H57" s="276">
        <f t="shared" ref="H57" si="57">(E57-D57)/D57</f>
        <v>5.0116118609269379E-2</v>
      </c>
      <c r="I57" s="262"/>
      <c r="O57" s="83">
        <v>0.94</v>
      </c>
      <c r="P57" s="83">
        <f t="shared" si="24"/>
        <v>11.8064</v>
      </c>
      <c r="T57" s="93" t="s">
        <v>112</v>
      </c>
      <c r="U57" s="88">
        <v>1.81</v>
      </c>
      <c r="W57" s="133">
        <v>42688</v>
      </c>
      <c r="X57" s="10">
        <v>12.27</v>
      </c>
      <c r="Y57" s="10">
        <v>12.5</v>
      </c>
      <c r="Z57" s="10">
        <v>12.02</v>
      </c>
      <c r="AA57" s="10">
        <v>12.06</v>
      </c>
      <c r="AB57" s="95">
        <v>56109900</v>
      </c>
      <c r="AC57" s="10">
        <v>11.87</v>
      </c>
      <c r="AD57" s="2">
        <f t="shared" si="0"/>
        <v>0.48000000000000043</v>
      </c>
      <c r="AE57" s="138">
        <f t="shared" si="1"/>
        <v>-1.8196856906534387E-2</v>
      </c>
    </row>
    <row r="58" spans="2:31" x14ac:dyDescent="0.25">
      <c r="B58" s="266">
        <v>42649</v>
      </c>
      <c r="C58" s="261">
        <v>250</v>
      </c>
      <c r="D58" s="262">
        <v>11.884399999999999</v>
      </c>
      <c r="E58" s="262">
        <v>12.39</v>
      </c>
      <c r="F58" s="262">
        <f t="shared" ref="F58" si="58">C58*(E58-D58)</f>
        <v>126.40000000000029</v>
      </c>
      <c r="G58" s="262">
        <f t="shared" ref="G58" si="59">D58*C58</f>
        <v>2971.1</v>
      </c>
      <c r="H58" s="276">
        <f t="shared" ref="H58" si="60">(E58-D58)/D58</f>
        <v>4.2543165830837164E-2</v>
      </c>
      <c r="I58" s="262"/>
      <c r="O58" s="83">
        <v>0.93</v>
      </c>
      <c r="P58" s="83">
        <f t="shared" si="24"/>
        <v>11.680800000000001</v>
      </c>
      <c r="T58" s="93" t="s">
        <v>109</v>
      </c>
      <c r="U58" s="88" t="s">
        <v>508</v>
      </c>
      <c r="W58" s="133">
        <v>42685</v>
      </c>
      <c r="X58" s="10">
        <v>11.88</v>
      </c>
      <c r="Y58" s="10">
        <v>12.4</v>
      </c>
      <c r="Z58" s="10">
        <v>11.84</v>
      </c>
      <c r="AA58" s="10">
        <v>12.28</v>
      </c>
      <c r="AB58" s="95">
        <v>79135100</v>
      </c>
      <c r="AC58" s="10">
        <v>12.09</v>
      </c>
      <c r="AD58" s="2">
        <f t="shared" si="0"/>
        <v>0.5600000000000005</v>
      </c>
      <c r="AE58" s="138">
        <f t="shared" si="1"/>
        <v>2.8936170212765955E-2</v>
      </c>
    </row>
    <row r="59" spans="2:31" x14ac:dyDescent="0.25">
      <c r="B59" s="266">
        <v>42668</v>
      </c>
      <c r="C59" s="261">
        <v>250</v>
      </c>
      <c r="D59" s="262">
        <v>11.884399999999999</v>
      </c>
      <c r="E59" s="262">
        <v>11.85</v>
      </c>
      <c r="F59" s="262">
        <f t="shared" ref="F59:F60" si="61">C59*(E59-D59)</f>
        <v>-8.599999999999941</v>
      </c>
      <c r="G59" s="262">
        <f t="shared" ref="G59:G60" si="62">D59*C59</f>
        <v>2971.1</v>
      </c>
      <c r="H59" s="276">
        <f t="shared" ref="H59:H60" si="63">(E59-D59)/D59</f>
        <v>-2.8945508397562993E-3</v>
      </c>
      <c r="I59" s="262"/>
      <c r="O59" s="83">
        <v>0.92</v>
      </c>
      <c r="P59" s="83">
        <f t="shared" si="24"/>
        <v>11.555200000000001</v>
      </c>
      <c r="W59" s="133">
        <v>42684</v>
      </c>
      <c r="X59" s="10">
        <v>11.58</v>
      </c>
      <c r="Y59" s="10">
        <v>11.98</v>
      </c>
      <c r="Z59" s="10">
        <v>11.58</v>
      </c>
      <c r="AA59" s="10">
        <v>11.94</v>
      </c>
      <c r="AB59" s="95">
        <v>52756500</v>
      </c>
      <c r="AC59" s="10">
        <v>11.75</v>
      </c>
      <c r="AD59" s="2">
        <f t="shared" si="0"/>
        <v>0.40000000000000036</v>
      </c>
      <c r="AE59" s="138">
        <f t="shared" si="1"/>
        <v>3.0701754385964897E-2</v>
      </c>
    </row>
    <row r="60" spans="2:31" x14ac:dyDescent="0.25">
      <c r="B60" s="266">
        <v>42670</v>
      </c>
      <c r="C60" s="261">
        <v>450</v>
      </c>
      <c r="D60" s="262">
        <v>11.7936</v>
      </c>
      <c r="E60" s="262">
        <v>11.74</v>
      </c>
      <c r="F60" s="262">
        <f t="shared" si="61"/>
        <v>-24.119999999999742</v>
      </c>
      <c r="G60" s="262">
        <f t="shared" si="62"/>
        <v>5307.12</v>
      </c>
      <c r="H60" s="276">
        <f t="shared" si="63"/>
        <v>-4.5448378781711629E-3</v>
      </c>
      <c r="I60" s="262"/>
      <c r="O60" s="83">
        <v>0.91</v>
      </c>
      <c r="P60" s="83">
        <f t="shared" si="24"/>
        <v>11.429600000000001</v>
      </c>
      <c r="W60" s="133">
        <v>42683</v>
      </c>
      <c r="X60" s="10">
        <v>11.15</v>
      </c>
      <c r="Y60" s="10">
        <v>11.63</v>
      </c>
      <c r="Z60" s="10">
        <v>11.07</v>
      </c>
      <c r="AA60" s="10">
        <v>11.58</v>
      </c>
      <c r="AB60" s="95">
        <v>60625700</v>
      </c>
      <c r="AC60" s="10">
        <v>11.4</v>
      </c>
      <c r="AD60" s="2">
        <f t="shared" si="0"/>
        <v>0.5600000000000005</v>
      </c>
      <c r="AE60" s="138">
        <f t="shared" si="1"/>
        <v>8.8495575221239076E-3</v>
      </c>
    </row>
    <row r="61" spans="2:31" x14ac:dyDescent="0.25">
      <c r="B61" s="266">
        <v>42676</v>
      </c>
      <c r="C61" s="261">
        <v>450</v>
      </c>
      <c r="D61" s="262">
        <v>11.7936</v>
      </c>
      <c r="E61" s="262">
        <v>11.4</v>
      </c>
      <c r="F61" s="262">
        <f t="shared" ref="F61:F63" si="64">C61*(E61-D61)</f>
        <v>-177.11999999999966</v>
      </c>
      <c r="G61" s="262">
        <f t="shared" ref="G61:G63" si="65">D61*C61</f>
        <v>5307.12</v>
      </c>
      <c r="H61" s="276">
        <f t="shared" ref="H61:H63" si="66">(E61-D61)/D61</f>
        <v>-3.3374033374033316E-2</v>
      </c>
      <c r="I61" s="262"/>
      <c r="O61" s="83">
        <v>0.9</v>
      </c>
      <c r="P61" s="83">
        <f t="shared" si="24"/>
        <v>11.304</v>
      </c>
      <c r="W61" s="133">
        <v>42682</v>
      </c>
      <c r="X61" s="10">
        <v>11.5</v>
      </c>
      <c r="Y61" s="10">
        <v>11.51</v>
      </c>
      <c r="Z61" s="10">
        <v>11.35</v>
      </c>
      <c r="AA61" s="10">
        <v>11.48</v>
      </c>
      <c r="AB61" s="95">
        <v>28456100</v>
      </c>
      <c r="AC61" s="10">
        <v>11.3</v>
      </c>
      <c r="AD61" s="2">
        <f t="shared" si="0"/>
        <v>0.16000000000000014</v>
      </c>
      <c r="AE61" s="138">
        <f t="shared" si="1"/>
        <v>-8.7719298245613198E-3</v>
      </c>
    </row>
    <row r="62" spans="2:31" x14ac:dyDescent="0.25">
      <c r="B62" s="266">
        <v>42701</v>
      </c>
      <c r="C62" s="261">
        <v>200</v>
      </c>
      <c r="D62" s="262">
        <v>11.610900000000001</v>
      </c>
      <c r="E62" s="262">
        <v>12.04</v>
      </c>
      <c r="F62" s="262">
        <f t="shared" si="64"/>
        <v>85.819999999999652</v>
      </c>
      <c r="G62" s="262">
        <f t="shared" si="65"/>
        <v>2322.1800000000003</v>
      </c>
      <c r="H62" s="276">
        <f t="shared" si="66"/>
        <v>3.6956652800385695E-2</v>
      </c>
      <c r="I62" s="262"/>
      <c r="W62" s="133">
        <v>42681</v>
      </c>
      <c r="X62" s="10">
        <v>11.52</v>
      </c>
      <c r="Y62" s="10">
        <v>11.62</v>
      </c>
      <c r="Z62" s="10">
        <v>11.39</v>
      </c>
      <c r="AA62" s="10">
        <v>11.58</v>
      </c>
      <c r="AB62" s="95">
        <v>25120700</v>
      </c>
      <c r="AC62" s="10">
        <v>11.4</v>
      </c>
      <c r="AD62" s="2">
        <f t="shared" si="0"/>
        <v>0.22999999999999865</v>
      </c>
      <c r="AE62" s="138">
        <f t="shared" si="1"/>
        <v>2.1505376344086002E-2</v>
      </c>
    </row>
    <row r="63" spans="2:31" x14ac:dyDescent="0.25">
      <c r="B63" s="266">
        <v>42706</v>
      </c>
      <c r="C63" s="261">
        <v>200</v>
      </c>
      <c r="D63" s="262">
        <v>11.423400000000001</v>
      </c>
      <c r="E63" s="262">
        <v>12.24</v>
      </c>
      <c r="F63" s="262">
        <f t="shared" si="64"/>
        <v>163.31999999999988</v>
      </c>
      <c r="G63" s="262">
        <f t="shared" si="65"/>
        <v>2284.6800000000003</v>
      </c>
      <c r="H63" s="276">
        <f t="shared" si="66"/>
        <v>7.1484846893219114E-2</v>
      </c>
      <c r="I63" s="262"/>
      <c r="W63" s="133">
        <v>42678</v>
      </c>
      <c r="X63" s="10">
        <v>11.31</v>
      </c>
      <c r="Y63" s="10">
        <v>11.5</v>
      </c>
      <c r="Z63" s="10">
        <v>11.3</v>
      </c>
      <c r="AA63" s="10">
        <v>11.34</v>
      </c>
      <c r="AB63" s="95">
        <v>24752400</v>
      </c>
      <c r="AC63" s="10">
        <v>11.16</v>
      </c>
      <c r="AD63" s="2">
        <f t="shared" si="0"/>
        <v>0.19999999999999929</v>
      </c>
      <c r="AE63" s="138">
        <f t="shared" si="1"/>
        <v>-8.9525514771704451E-4</v>
      </c>
    </row>
    <row r="64" spans="2:31" x14ac:dyDescent="0.25">
      <c r="B64" s="266">
        <v>42711</v>
      </c>
      <c r="C64" s="261">
        <v>0</v>
      </c>
      <c r="D64" s="262"/>
      <c r="E64" s="262"/>
      <c r="F64" s="262">
        <v>251.26</v>
      </c>
      <c r="G64" s="262"/>
      <c r="H64" s="276"/>
      <c r="I64" s="262"/>
      <c r="W64" s="133">
        <v>42677</v>
      </c>
      <c r="X64" s="10">
        <v>11.39</v>
      </c>
      <c r="Y64" s="10">
        <v>11.46</v>
      </c>
      <c r="Z64" s="10">
        <v>11.27</v>
      </c>
      <c r="AA64" s="10">
        <v>11.35</v>
      </c>
      <c r="AB64" s="95">
        <v>38651500</v>
      </c>
      <c r="AC64" s="10">
        <v>11.17</v>
      </c>
      <c r="AD64" s="2">
        <f t="shared" si="0"/>
        <v>0.19000000000000128</v>
      </c>
      <c r="AE64" s="138">
        <f t="shared" si="1"/>
        <v>-4.4563279857398053E-3</v>
      </c>
    </row>
    <row r="65" spans="2:31" x14ac:dyDescent="0.25">
      <c r="B65" s="193"/>
      <c r="C65" s="10"/>
      <c r="D65" s="40"/>
      <c r="E65" s="40"/>
      <c r="F65" s="40"/>
      <c r="G65" s="40"/>
      <c r="H65" s="231"/>
      <c r="I65" s="40"/>
      <c r="W65" s="133">
        <v>42676</v>
      </c>
      <c r="X65" s="10">
        <v>11.51</v>
      </c>
      <c r="Y65" s="10">
        <v>11.56</v>
      </c>
      <c r="Z65" s="10">
        <v>11.36</v>
      </c>
      <c r="AA65" s="10">
        <v>11.4</v>
      </c>
      <c r="AB65" s="95">
        <v>36229400</v>
      </c>
      <c r="AC65" s="10">
        <v>11.22</v>
      </c>
      <c r="AD65" s="2">
        <f t="shared" si="0"/>
        <v>0.20000000000000107</v>
      </c>
      <c r="AE65" s="138">
        <f t="shared" si="1"/>
        <v>-1.8372703412073421E-2</v>
      </c>
    </row>
    <row r="66" spans="2:31" x14ac:dyDescent="0.25">
      <c r="B66" s="193"/>
      <c r="C66" s="10"/>
      <c r="D66" s="40"/>
      <c r="E66" s="40"/>
      <c r="F66" s="40"/>
      <c r="G66" s="40"/>
      <c r="H66" s="231"/>
      <c r="I66" s="40"/>
      <c r="W66" s="133">
        <v>42675</v>
      </c>
      <c r="X66" s="10">
        <v>11.78</v>
      </c>
      <c r="Y66" s="10">
        <v>11.84</v>
      </c>
      <c r="Z66" s="10">
        <v>11.5</v>
      </c>
      <c r="AA66" s="10">
        <v>11.61</v>
      </c>
      <c r="AB66" s="95">
        <v>35613600</v>
      </c>
      <c r="AC66" s="10">
        <v>11.43</v>
      </c>
      <c r="AD66" s="2">
        <f t="shared" si="0"/>
        <v>0.33999999999999986</v>
      </c>
      <c r="AE66" s="138">
        <f t="shared" si="1"/>
        <v>-1.0389610389610504E-2</v>
      </c>
    </row>
    <row r="67" spans="2:31" x14ac:dyDescent="0.25">
      <c r="B67" s="193"/>
      <c r="C67" s="10"/>
      <c r="D67" s="40"/>
      <c r="E67" s="40"/>
      <c r="F67" s="40"/>
      <c r="G67" s="40"/>
      <c r="H67" s="231"/>
      <c r="I67" s="40"/>
      <c r="W67" s="133">
        <v>42674</v>
      </c>
      <c r="X67" s="10">
        <v>11.75</v>
      </c>
      <c r="Y67" s="10">
        <v>11.81</v>
      </c>
      <c r="Z67" s="10">
        <v>11.69</v>
      </c>
      <c r="AA67" s="10">
        <v>11.74</v>
      </c>
      <c r="AB67" s="95">
        <v>31898400</v>
      </c>
      <c r="AC67" s="10">
        <v>11.55</v>
      </c>
      <c r="AD67" s="2">
        <f>Y67-Z67</f>
        <v>0.12000000000000099</v>
      </c>
      <c r="AE67" s="138" t="e">
        <f>AC67/#REF!-1</f>
        <v>#REF!</v>
      </c>
    </row>
    <row r="68" spans="2:31" x14ac:dyDescent="0.25">
      <c r="B68" s="193"/>
      <c r="C68" s="10"/>
      <c r="D68" s="40"/>
      <c r="E68" s="40"/>
      <c r="F68" s="40"/>
      <c r="G68" s="40"/>
      <c r="H68" s="231"/>
      <c r="I68" s="40"/>
      <c r="W68" s="133">
        <v>42671</v>
      </c>
      <c r="X68" s="10">
        <v>11.74</v>
      </c>
      <c r="Y68" s="10">
        <v>11.85</v>
      </c>
      <c r="Z68" s="10">
        <v>11.63</v>
      </c>
      <c r="AA68" s="10">
        <v>11.72</v>
      </c>
      <c r="AB68" s="95">
        <v>37142400</v>
      </c>
      <c r="AC68" s="10">
        <v>11.53</v>
      </c>
      <c r="AD68" s="2" t="e">
        <f>#REF!-#REF!</f>
        <v>#REF!</v>
      </c>
      <c r="AE68" s="138" t="e">
        <f>#REF!/#REF!-1</f>
        <v>#REF!</v>
      </c>
    </row>
    <row r="69" spans="2:31" x14ac:dyDescent="0.25">
      <c r="B69" s="193"/>
      <c r="C69" s="10"/>
      <c r="D69" s="40"/>
      <c r="E69" s="40"/>
      <c r="F69" s="40"/>
      <c r="G69" s="40"/>
      <c r="H69" s="231"/>
      <c r="I69" s="40"/>
      <c r="W69" s="133" t="s">
        <v>121</v>
      </c>
      <c r="X69" s="10"/>
      <c r="Y69" s="10"/>
      <c r="Z69" s="10"/>
      <c r="AA69" s="10"/>
      <c r="AB69" s="95"/>
      <c r="AC69" s="10"/>
      <c r="AD69" s="2" t="e">
        <f>#REF!-#REF!</f>
        <v>#REF!</v>
      </c>
      <c r="AE69" s="138" t="e">
        <f>#REF!/AC69-1</f>
        <v>#REF!</v>
      </c>
    </row>
    <row r="70" spans="2:31" x14ac:dyDescent="0.25">
      <c r="B70" s="193"/>
      <c r="C70" s="10"/>
      <c r="D70" s="40"/>
      <c r="E70" s="40"/>
      <c r="F70" s="40"/>
      <c r="G70" s="40"/>
      <c r="H70" s="231"/>
      <c r="I70" s="40"/>
    </row>
    <row r="71" spans="2:31" x14ac:dyDescent="0.25">
      <c r="B71" s="193"/>
      <c r="C71" s="10"/>
      <c r="D71" s="40"/>
      <c r="E71" s="40"/>
      <c r="F71" s="40"/>
      <c r="G71" s="40"/>
      <c r="H71" s="231"/>
      <c r="I71" s="40"/>
    </row>
    <row r="72" spans="2:31" x14ac:dyDescent="0.25">
      <c r="B72" s="193"/>
      <c r="C72" s="10"/>
      <c r="D72" s="40"/>
      <c r="E72" s="40"/>
      <c r="F72" s="40"/>
      <c r="G72" s="40"/>
      <c r="H72" s="231"/>
      <c r="I72" s="40"/>
    </row>
    <row r="73" spans="2:31" x14ac:dyDescent="0.25">
      <c r="B73" s="193"/>
      <c r="C73" s="10"/>
      <c r="D73" s="40"/>
      <c r="E73" s="40"/>
      <c r="F73" s="40"/>
      <c r="G73" s="40"/>
      <c r="H73" s="231"/>
      <c r="I73" s="40"/>
    </row>
    <row r="74" spans="2:31" x14ac:dyDescent="0.25">
      <c r="B74" s="193"/>
      <c r="C74" s="10"/>
      <c r="D74" s="40"/>
      <c r="E74" s="40"/>
      <c r="F74" s="40"/>
      <c r="G74" s="40"/>
      <c r="H74" s="231"/>
      <c r="I74" s="40"/>
    </row>
    <row r="92" spans="1:13" x14ac:dyDescent="0.25">
      <c r="L92" t="s">
        <v>65</v>
      </c>
      <c r="M92" s="2">
        <f>M110+K110-F110</f>
        <v>251.26000000000022</v>
      </c>
    </row>
    <row r="93" spans="1:13" x14ac:dyDescent="0.25">
      <c r="A93" s="554" t="s">
        <v>1</v>
      </c>
      <c r="B93" s="554" t="s">
        <v>2</v>
      </c>
      <c r="C93" s="554" t="s">
        <v>4</v>
      </c>
      <c r="D93" s="555" t="s">
        <v>5</v>
      </c>
      <c r="E93" s="555" t="s">
        <v>94</v>
      </c>
      <c r="F93" s="555" t="s">
        <v>60</v>
      </c>
      <c r="G93" s="554" t="s">
        <v>3</v>
      </c>
      <c r="H93" s="554" t="s">
        <v>6</v>
      </c>
      <c r="I93" s="555" t="s">
        <v>7</v>
      </c>
      <c r="J93" s="555" t="s">
        <v>95</v>
      </c>
      <c r="K93" s="555" t="s">
        <v>61</v>
      </c>
      <c r="L93" s="554" t="s">
        <v>37</v>
      </c>
      <c r="M93" s="554" t="s">
        <v>38</v>
      </c>
    </row>
    <row r="94" spans="1:13" x14ac:dyDescent="0.25">
      <c r="A94" s="556" t="s">
        <v>201</v>
      </c>
      <c r="B94" s="537">
        <v>42488</v>
      </c>
      <c r="C94" s="538">
        <v>100</v>
      </c>
      <c r="D94" s="540">
        <v>13.8</v>
      </c>
      <c r="E94" s="540">
        <v>0</v>
      </c>
      <c r="F94" s="540">
        <f t="shared" ref="F94:F100" si="67">D94*C94+E94</f>
        <v>1380</v>
      </c>
      <c r="G94" s="537">
        <v>42515</v>
      </c>
      <c r="H94" s="538">
        <v>100</v>
      </c>
      <c r="I94" s="540">
        <v>13.59</v>
      </c>
      <c r="J94" s="540">
        <v>0.03</v>
      </c>
      <c r="K94" s="540">
        <f t="shared" ref="K94:K99" si="68">I94*H94-J94</f>
        <v>1358.97</v>
      </c>
      <c r="L94" s="537">
        <v>42614</v>
      </c>
      <c r="M94" s="540">
        <v>45</v>
      </c>
    </row>
    <row r="95" spans="1:13" x14ac:dyDescent="0.25">
      <c r="A95" s="558" t="s">
        <v>71</v>
      </c>
      <c r="B95" s="537">
        <v>42507</v>
      </c>
      <c r="C95" s="538">
        <v>100</v>
      </c>
      <c r="D95" s="540">
        <v>13.08</v>
      </c>
      <c r="E95" s="540">
        <v>0</v>
      </c>
      <c r="F95" s="540">
        <f t="shared" si="67"/>
        <v>1308</v>
      </c>
      <c r="G95" s="537">
        <v>42559</v>
      </c>
      <c r="H95" s="557">
        <v>100</v>
      </c>
      <c r="I95" s="540">
        <v>13.08</v>
      </c>
      <c r="J95" s="540">
        <v>0.03</v>
      </c>
      <c r="K95" s="540">
        <f t="shared" si="68"/>
        <v>1307.97</v>
      </c>
      <c r="L95" s="537">
        <v>42705</v>
      </c>
      <c r="M95" s="540">
        <v>37.5</v>
      </c>
    </row>
    <row r="96" spans="1:13" x14ac:dyDescent="0.25">
      <c r="A96" s="538"/>
      <c r="B96" s="537">
        <v>42545</v>
      </c>
      <c r="C96" s="538">
        <v>50</v>
      </c>
      <c r="D96" s="540">
        <v>12.75</v>
      </c>
      <c r="E96" s="540">
        <v>0</v>
      </c>
      <c r="F96" s="540">
        <f t="shared" si="67"/>
        <v>637.5</v>
      </c>
      <c r="G96" s="537">
        <v>42577</v>
      </c>
      <c r="H96" s="557">
        <v>50</v>
      </c>
      <c r="I96" s="540">
        <v>13.78</v>
      </c>
      <c r="J96" s="540">
        <v>0.02</v>
      </c>
      <c r="K96" s="540">
        <f t="shared" si="68"/>
        <v>688.98</v>
      </c>
      <c r="L96" s="538"/>
      <c r="M96" s="538"/>
    </row>
    <row r="97" spans="1:13" x14ac:dyDescent="0.25">
      <c r="A97" s="538"/>
      <c r="B97" s="537">
        <v>42545</v>
      </c>
      <c r="C97" s="538">
        <v>100</v>
      </c>
      <c r="D97" s="540">
        <v>12.75</v>
      </c>
      <c r="E97" s="540">
        <v>0</v>
      </c>
      <c r="F97" s="540">
        <f t="shared" si="67"/>
        <v>1275</v>
      </c>
      <c r="G97" s="537">
        <v>42620</v>
      </c>
      <c r="H97" s="557">
        <v>100</v>
      </c>
      <c r="I97" s="540">
        <v>12.7</v>
      </c>
      <c r="J97" s="540">
        <v>0.53</v>
      </c>
      <c r="K97" s="540">
        <f t="shared" si="68"/>
        <v>1269.47</v>
      </c>
      <c r="L97" s="538"/>
      <c r="M97" s="538"/>
    </row>
    <row r="98" spans="1:13" x14ac:dyDescent="0.25">
      <c r="A98" s="538"/>
      <c r="B98" s="537">
        <v>42548</v>
      </c>
      <c r="C98" s="538">
        <v>150</v>
      </c>
      <c r="D98" s="540">
        <v>12.18</v>
      </c>
      <c r="E98" s="540">
        <v>0</v>
      </c>
      <c r="F98" s="540">
        <f t="shared" si="67"/>
        <v>1827</v>
      </c>
      <c r="G98" s="537">
        <v>42684</v>
      </c>
      <c r="H98" s="557">
        <v>250</v>
      </c>
      <c r="I98" s="540">
        <v>11.94</v>
      </c>
      <c r="J98" s="540">
        <v>7.0000000000000007E-2</v>
      </c>
      <c r="K98" s="540">
        <f t="shared" si="68"/>
        <v>2984.93</v>
      </c>
      <c r="L98" s="538"/>
      <c r="M98" s="538"/>
    </row>
    <row r="99" spans="1:13" x14ac:dyDescent="0.25">
      <c r="A99" s="538"/>
      <c r="B99" s="537">
        <v>42627</v>
      </c>
      <c r="C99" s="538">
        <v>100</v>
      </c>
      <c r="D99" s="540">
        <v>12.14</v>
      </c>
      <c r="E99" s="540">
        <v>0</v>
      </c>
      <c r="F99" s="540">
        <f t="shared" si="67"/>
        <v>1214</v>
      </c>
      <c r="G99" s="537">
        <v>42711</v>
      </c>
      <c r="H99" s="557">
        <v>200</v>
      </c>
      <c r="I99" s="540">
        <v>12.68</v>
      </c>
      <c r="J99" s="540">
        <v>0.06</v>
      </c>
      <c r="K99" s="540">
        <f t="shared" si="68"/>
        <v>2535.94</v>
      </c>
      <c r="L99" s="538"/>
      <c r="M99" s="538"/>
    </row>
    <row r="100" spans="1:13" x14ac:dyDescent="0.25">
      <c r="A100" s="538"/>
      <c r="B100" s="537">
        <v>42670</v>
      </c>
      <c r="C100" s="538">
        <v>200</v>
      </c>
      <c r="D100" s="540">
        <v>11.68</v>
      </c>
      <c r="E100" s="540">
        <v>0</v>
      </c>
      <c r="F100" s="540">
        <f t="shared" si="67"/>
        <v>2336</v>
      </c>
      <c r="G100" s="538"/>
      <c r="H100" s="557"/>
      <c r="I100" s="540"/>
      <c r="J100" s="540"/>
      <c r="K100" s="540"/>
      <c r="L100" s="538"/>
      <c r="M100" s="538"/>
    </row>
    <row r="101" spans="1:13" x14ac:dyDescent="0.25">
      <c r="A101" s="538"/>
      <c r="B101" s="538"/>
      <c r="C101" s="538"/>
      <c r="D101" s="540"/>
      <c r="E101" s="540"/>
      <c r="F101" s="540"/>
      <c r="G101" s="538"/>
      <c r="H101" s="557"/>
      <c r="I101" s="540"/>
      <c r="J101" s="540"/>
      <c r="K101" s="540"/>
      <c r="L101" s="538"/>
      <c r="M101" s="538"/>
    </row>
    <row r="102" spans="1:13" x14ac:dyDescent="0.25">
      <c r="A102" s="538"/>
      <c r="B102" s="538"/>
      <c r="C102" s="538"/>
      <c r="D102" s="540"/>
      <c r="E102" s="540"/>
      <c r="F102" s="540"/>
      <c r="G102" s="538"/>
      <c r="H102" s="557"/>
      <c r="I102" s="540"/>
      <c r="J102" s="540"/>
      <c r="K102" s="540"/>
      <c r="L102" s="538"/>
      <c r="M102" s="538"/>
    </row>
    <row r="103" spans="1:13" x14ac:dyDescent="0.25">
      <c r="A103" s="538"/>
      <c r="B103" s="538"/>
      <c r="C103" s="538"/>
      <c r="D103" s="540"/>
      <c r="E103" s="540"/>
      <c r="F103" s="540"/>
      <c r="G103" s="538"/>
      <c r="H103" s="557"/>
      <c r="I103" s="540"/>
      <c r="J103" s="540"/>
      <c r="K103" s="540"/>
      <c r="L103" s="538"/>
      <c r="M103" s="538"/>
    </row>
    <row r="104" spans="1:13" x14ac:dyDescent="0.25">
      <c r="A104" s="538"/>
      <c r="B104" s="538"/>
      <c r="C104" s="538"/>
      <c r="D104" s="540"/>
      <c r="E104" s="540"/>
      <c r="F104" s="540"/>
      <c r="G104" s="538"/>
      <c r="H104" s="557"/>
      <c r="I104" s="540"/>
      <c r="J104" s="540"/>
      <c r="K104" s="540"/>
      <c r="L104" s="538"/>
      <c r="M104" s="538"/>
    </row>
    <row r="105" spans="1:13" x14ac:dyDescent="0.25">
      <c r="A105" s="538"/>
      <c r="B105" s="538"/>
      <c r="C105" s="538"/>
      <c r="D105" s="540"/>
      <c r="E105" s="540"/>
      <c r="F105" s="540"/>
      <c r="G105" s="538"/>
      <c r="H105" s="557"/>
      <c r="I105" s="540"/>
      <c r="J105" s="540"/>
      <c r="K105" s="540"/>
      <c r="L105" s="538"/>
      <c r="M105" s="538"/>
    </row>
    <row r="106" spans="1:13" x14ac:dyDescent="0.25">
      <c r="A106" s="538"/>
      <c r="B106" s="538"/>
      <c r="C106" s="538"/>
      <c r="D106" s="540"/>
      <c r="E106" s="540"/>
      <c r="F106" s="540"/>
      <c r="G106" s="538"/>
      <c r="H106" s="557"/>
      <c r="I106" s="540"/>
      <c r="J106" s="540"/>
      <c r="K106" s="540"/>
      <c r="L106" s="538"/>
      <c r="M106" s="538"/>
    </row>
    <row r="107" spans="1:13" x14ac:dyDescent="0.25">
      <c r="A107" s="538"/>
      <c r="B107" s="538"/>
      <c r="C107" s="538"/>
      <c r="D107" s="540"/>
      <c r="E107" s="540"/>
      <c r="F107" s="540"/>
      <c r="G107" s="538"/>
      <c r="H107" s="557"/>
      <c r="I107" s="540"/>
      <c r="J107" s="540"/>
      <c r="K107" s="540"/>
      <c r="L107" s="538"/>
      <c r="M107" s="538"/>
    </row>
    <row r="108" spans="1:13" x14ac:dyDescent="0.25">
      <c r="A108" s="538"/>
      <c r="B108" s="538"/>
      <c r="C108" s="538"/>
      <c r="D108" s="540"/>
      <c r="E108" s="540"/>
      <c r="F108" s="540"/>
      <c r="G108" s="538"/>
      <c r="H108" s="557"/>
      <c r="I108" s="540"/>
      <c r="J108" s="540"/>
      <c r="K108" s="540"/>
      <c r="L108" s="538"/>
      <c r="M108" s="538"/>
    </row>
    <row r="109" spans="1:13" x14ac:dyDescent="0.25">
      <c r="A109" s="538"/>
      <c r="B109" s="538"/>
      <c r="C109" s="538"/>
      <c r="D109" s="540"/>
      <c r="E109" s="540"/>
      <c r="F109" s="540"/>
      <c r="G109" s="538"/>
      <c r="H109" s="557"/>
      <c r="I109" s="540"/>
      <c r="J109" s="540"/>
      <c r="K109" s="540"/>
      <c r="L109" s="538"/>
      <c r="M109" s="538"/>
    </row>
    <row r="110" spans="1:13" x14ac:dyDescent="0.25">
      <c r="A110" s="559" t="s">
        <v>81</v>
      </c>
      <c r="B110" s="560"/>
      <c r="C110" s="560">
        <f>SUM(C94:C100)</f>
        <v>800</v>
      </c>
      <c r="D110" s="561"/>
      <c r="E110" s="561"/>
      <c r="F110" s="561">
        <f>SUM(F94:F100)</f>
        <v>9977.5</v>
      </c>
      <c r="G110" s="560"/>
      <c r="H110" s="560">
        <f>SUM(H94:H109)</f>
        <v>800</v>
      </c>
      <c r="I110" s="561"/>
      <c r="J110" s="561"/>
      <c r="K110" s="561">
        <f>SUM(K94:K109)</f>
        <v>10146.26</v>
      </c>
      <c r="L110" s="560"/>
      <c r="M110" s="561">
        <f>SUM(M94:M109)</f>
        <v>82.5</v>
      </c>
    </row>
    <row r="111" spans="1:13" ht="15.75" thickBot="1" x14ac:dyDescent="0.3">
      <c r="A111" s="562" t="s">
        <v>198</v>
      </c>
      <c r="B111" s="563"/>
      <c r="C111" s="564">
        <f>SumByColor($A$19,C94:C109)</f>
        <v>0</v>
      </c>
      <c r="D111" s="564"/>
      <c r="E111" s="564"/>
      <c r="F111" s="565">
        <f>SumByColor($A$19,F94:F109)</f>
        <v>0</v>
      </c>
      <c r="G111" s="564"/>
      <c r="H111" s="564">
        <f>SumByColor($A$19,H94:H109)</f>
        <v>0</v>
      </c>
      <c r="I111" s="564"/>
      <c r="J111" s="564"/>
      <c r="K111" s="565">
        <f>SumByColor($A$19,K94:K109)</f>
        <v>0</v>
      </c>
      <c r="L111" s="564"/>
      <c r="M111" s="565">
        <f t="shared" ref="M111" si="69">SumByColor($A$19,M94:M109)</f>
        <v>0</v>
      </c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30:F33">
    <cfRule type="expression" dxfId="737" priority="25">
      <formula>F30&gt;0</formula>
    </cfRule>
    <cfRule type="expression" dxfId="736" priority="26">
      <formula>F30&lt;0</formula>
    </cfRule>
  </conditionalFormatting>
  <conditionalFormatting sqref="F34:F42 F46:F74">
    <cfRule type="expression" dxfId="735" priority="21">
      <formula>F34&gt;0</formula>
    </cfRule>
    <cfRule type="expression" dxfId="734" priority="22">
      <formula>F34&lt;0</formula>
    </cfRule>
  </conditionalFormatting>
  <conditionalFormatting sqref="F34:F42 F46:F74">
    <cfRule type="expression" dxfId="733" priority="23">
      <formula>F34&gt;0</formula>
    </cfRule>
    <cfRule type="expression" dxfId="732" priority="24">
      <formula>F34&lt;0</formula>
    </cfRule>
  </conditionalFormatting>
  <conditionalFormatting sqref="H30:H42 H46:H74">
    <cfRule type="expression" dxfId="731" priority="19">
      <formula>H30&gt;0</formula>
    </cfRule>
    <cfRule type="expression" dxfId="730" priority="20">
      <formula>H30&lt;0</formula>
    </cfRule>
  </conditionalFormatting>
  <conditionalFormatting sqref="F25:F29">
    <cfRule type="expression" dxfId="729" priority="13">
      <formula>F25&gt;0</formula>
    </cfRule>
    <cfRule type="expression" dxfId="728" priority="14">
      <formula>F25&lt;0</formula>
    </cfRule>
  </conditionalFormatting>
  <conditionalFormatting sqref="H25:H29">
    <cfRule type="expression" dxfId="727" priority="11">
      <formula>H25&gt;0</formula>
    </cfRule>
    <cfRule type="expression" dxfId="726" priority="12">
      <formula>H25&lt;0</formula>
    </cfRule>
  </conditionalFormatting>
  <conditionalFormatting sqref="Q7">
    <cfRule type="expression" dxfId="725" priority="9">
      <formula>Q7&gt;0</formula>
    </cfRule>
    <cfRule type="expression" dxfId="724" priority="10">
      <formula>Q7&lt;0</formula>
    </cfRule>
  </conditionalFormatting>
  <conditionalFormatting sqref="Q8">
    <cfRule type="expression" dxfId="723" priority="7">
      <formula>Q8&gt;0</formula>
    </cfRule>
    <cfRule type="expression" dxfId="722" priority="8">
      <formula>Q8&lt;0</formula>
    </cfRule>
  </conditionalFormatting>
  <conditionalFormatting sqref="F43:F45">
    <cfRule type="expression" dxfId="721" priority="3">
      <formula>F43&gt;0</formula>
    </cfRule>
    <cfRule type="expression" dxfId="720" priority="4">
      <formula>F43&lt;0</formula>
    </cfRule>
  </conditionalFormatting>
  <conditionalFormatting sqref="F43:F45">
    <cfRule type="expression" dxfId="719" priority="5">
      <formula>F43&gt;0</formula>
    </cfRule>
    <cfRule type="expression" dxfId="718" priority="6">
      <formula>F43&lt;0</formula>
    </cfRule>
  </conditionalFormatting>
  <conditionalFormatting sqref="H43:H45">
    <cfRule type="expression" dxfId="717" priority="1">
      <formula>H43&gt;0</formula>
    </cfRule>
    <cfRule type="expression" dxfId="716" priority="2">
      <formula>H43&lt;0</formula>
    </cfRule>
  </conditionalFormatting>
  <hyperlinks>
    <hyperlink ref="A3" location="ACTIVE!A1" display="Back"/>
    <hyperlink ref="A95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30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8.5703125" customWidth="1"/>
    <col min="21" max="21" width="35" customWidth="1"/>
    <col min="23" max="23" width="12.7109375" customWidth="1"/>
    <col min="24" max="24" width="8.42578125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288</v>
      </c>
      <c r="B2" s="506">
        <v>42622</v>
      </c>
      <c r="C2" s="4">
        <v>15</v>
      </c>
      <c r="D2" s="3">
        <v>118.5</v>
      </c>
      <c r="E2" s="3">
        <v>0</v>
      </c>
      <c r="F2" s="3">
        <f>C2*D2+E2</f>
        <v>1777.5</v>
      </c>
      <c r="G2" s="506">
        <v>42760</v>
      </c>
      <c r="H2" s="82">
        <v>15</v>
      </c>
      <c r="I2" s="44">
        <v>112.7</v>
      </c>
      <c r="J2" s="44">
        <v>0.04</v>
      </c>
      <c r="K2" s="44">
        <f>H2*I2-J2</f>
        <v>1690.46</v>
      </c>
      <c r="L2" s="74">
        <v>42710</v>
      </c>
      <c r="M2" s="44">
        <v>16</v>
      </c>
      <c r="O2" s="11" t="s">
        <v>57</v>
      </c>
      <c r="Q2">
        <f>C18-H18</f>
        <v>30</v>
      </c>
      <c r="T2" s="1">
        <v>42568</v>
      </c>
      <c r="U2" t="s">
        <v>252</v>
      </c>
      <c r="W2" s="133">
        <v>42768</v>
      </c>
      <c r="X2" s="10">
        <v>112.82</v>
      </c>
      <c r="Y2" s="10">
        <v>113.62</v>
      </c>
      <c r="Z2" s="10">
        <v>112.77</v>
      </c>
      <c r="AA2" s="10">
        <v>113.57</v>
      </c>
      <c r="AB2" s="95">
        <v>7797000</v>
      </c>
      <c r="AC2" s="10">
        <v>113.57</v>
      </c>
      <c r="AD2" s="2">
        <f>Y2-Z2</f>
        <v>0.85000000000000853</v>
      </c>
      <c r="AE2" s="138">
        <f>AC2/AC3-1</f>
        <v>3.0027377903381058E-3</v>
      </c>
    </row>
    <row r="3" spans="1:31" x14ac:dyDescent="0.25">
      <c r="A3" s="23" t="s">
        <v>71</v>
      </c>
      <c r="B3" s="509">
        <v>42622</v>
      </c>
      <c r="C3" s="4">
        <v>5</v>
      </c>
      <c r="D3" s="3">
        <v>118.5</v>
      </c>
      <c r="E3" s="3">
        <v>0</v>
      </c>
      <c r="F3" s="3">
        <f>C3*D3+E3</f>
        <v>592.5</v>
      </c>
      <c r="G3" s="509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114.86799999999999</v>
      </c>
      <c r="T3" s="1" t="s">
        <v>253</v>
      </c>
      <c r="W3" s="133">
        <v>42767</v>
      </c>
      <c r="X3" s="10">
        <v>112.48</v>
      </c>
      <c r="Y3" s="10">
        <v>113.32</v>
      </c>
      <c r="Z3" s="10">
        <v>112.47</v>
      </c>
      <c r="AA3" s="10">
        <v>113.23</v>
      </c>
      <c r="AB3" s="95">
        <v>7058800</v>
      </c>
      <c r="AC3" s="10">
        <v>113.23</v>
      </c>
      <c r="AD3" s="2">
        <f t="shared" ref="AD3:AD66" si="0">Y3-Z3</f>
        <v>0.84999999999999432</v>
      </c>
      <c r="AE3" s="138">
        <f t="shared" ref="AE3:AE66" si="1">AC3/AC4-1</f>
        <v>-1.7660044150102916E-4</v>
      </c>
    </row>
    <row r="4" spans="1:31" x14ac:dyDescent="0.25">
      <c r="B4" s="509">
        <v>42704</v>
      </c>
      <c r="C4" s="4">
        <v>10</v>
      </c>
      <c r="D4" s="3">
        <v>111.48</v>
      </c>
      <c r="E4" s="3">
        <v>0</v>
      </c>
      <c r="F4" s="3">
        <f>C4*D4+E4</f>
        <v>1114.8</v>
      </c>
      <c r="G4" s="509"/>
      <c r="H4" s="185"/>
      <c r="I4" s="3"/>
      <c r="J4" s="3"/>
      <c r="K4" s="3"/>
      <c r="L4" s="4"/>
      <c r="M4" s="4"/>
      <c r="O4" s="11" t="s">
        <v>66</v>
      </c>
      <c r="Q4" s="55">
        <v>113.64</v>
      </c>
      <c r="R4" s="505">
        <v>5.9999999999999995E-4</v>
      </c>
      <c r="T4" s="163"/>
      <c r="U4" s="1"/>
      <c r="W4" s="133">
        <v>42766</v>
      </c>
      <c r="X4" s="10">
        <v>112.79</v>
      </c>
      <c r="Y4" s="10">
        <v>113.4</v>
      </c>
      <c r="Z4" s="10">
        <v>112.43</v>
      </c>
      <c r="AA4" s="10">
        <v>113.25</v>
      </c>
      <c r="AB4" s="95">
        <v>8588200</v>
      </c>
      <c r="AC4" s="10">
        <v>113.25</v>
      </c>
      <c r="AD4" s="2">
        <f t="shared" si="0"/>
        <v>0.96999999999999886</v>
      </c>
      <c r="AE4" s="138">
        <f t="shared" si="1"/>
        <v>1.0607265977193858E-3</v>
      </c>
    </row>
    <row r="5" spans="1:31" x14ac:dyDescent="0.25">
      <c r="B5" s="510">
        <v>42759</v>
      </c>
      <c r="C5" s="7">
        <v>15</v>
      </c>
      <c r="D5" s="44">
        <v>111.18</v>
      </c>
      <c r="E5" s="44">
        <v>0</v>
      </c>
      <c r="F5" s="44">
        <f>C5*D5+E5</f>
        <v>1667.7</v>
      </c>
      <c r="G5" s="509"/>
      <c r="H5" s="185"/>
      <c r="I5" s="3"/>
      <c r="J5" s="3"/>
      <c r="K5" s="3"/>
      <c r="L5" s="4"/>
      <c r="M5" s="4"/>
      <c r="O5" s="11" t="s">
        <v>67</v>
      </c>
      <c r="Q5" s="3">
        <f>Q4*Q2</f>
        <v>3409.2</v>
      </c>
      <c r="W5" s="133">
        <v>42765</v>
      </c>
      <c r="X5" s="10">
        <v>113.4</v>
      </c>
      <c r="Y5" s="10">
        <v>113.6</v>
      </c>
      <c r="Z5" s="10">
        <v>112.85</v>
      </c>
      <c r="AA5" s="10">
        <v>113.13</v>
      </c>
      <c r="AB5" s="95">
        <v>6884800</v>
      </c>
      <c r="AC5" s="10">
        <v>113.13</v>
      </c>
      <c r="AD5" s="2">
        <f t="shared" si="0"/>
        <v>0.75</v>
      </c>
      <c r="AE5" s="138">
        <f t="shared" si="1"/>
        <v>-2.2049744222967238E-3</v>
      </c>
    </row>
    <row r="6" spans="1:31" x14ac:dyDescent="0.25">
      <c r="B6" s="509"/>
      <c r="C6" s="4"/>
      <c r="D6" s="3"/>
      <c r="E6" s="3"/>
      <c r="F6" s="3"/>
      <c r="G6" s="509"/>
      <c r="H6" s="185"/>
      <c r="I6" s="3"/>
      <c r="J6" s="3"/>
      <c r="K6" s="3"/>
      <c r="L6" s="4"/>
      <c r="M6" s="4"/>
      <c r="O6" s="11" t="s">
        <v>64</v>
      </c>
      <c r="Q6" s="2">
        <f>Q3*Q2</f>
        <v>3446.04</v>
      </c>
      <c r="W6" s="133">
        <v>42762</v>
      </c>
      <c r="X6" s="10">
        <v>112</v>
      </c>
      <c r="Y6" s="10">
        <v>113.54</v>
      </c>
      <c r="Z6" s="10">
        <v>111.9</v>
      </c>
      <c r="AA6" s="10">
        <v>113.38</v>
      </c>
      <c r="AB6" s="95">
        <v>8813500</v>
      </c>
      <c r="AC6" s="10">
        <v>113.38</v>
      </c>
      <c r="AD6" s="2">
        <f t="shared" si="0"/>
        <v>1.6400000000000006</v>
      </c>
      <c r="AE6" s="138">
        <f t="shared" si="1"/>
        <v>1.3769670958512004E-2</v>
      </c>
    </row>
    <row r="7" spans="1:31" x14ac:dyDescent="0.25">
      <c r="B7" s="509"/>
      <c r="C7" s="4"/>
      <c r="D7" s="3"/>
      <c r="E7" s="3"/>
      <c r="F7" s="3"/>
      <c r="G7" s="509"/>
      <c r="H7" s="185"/>
      <c r="I7" s="3"/>
      <c r="J7" s="3"/>
      <c r="K7" s="3"/>
      <c r="L7" s="4"/>
      <c r="M7" s="4"/>
      <c r="O7" s="11" t="s">
        <v>181</v>
      </c>
      <c r="Q7" s="2">
        <f>Q10+Q8</f>
        <v>-36.840000000000146</v>
      </c>
      <c r="R7">
        <v>15</v>
      </c>
      <c r="W7" s="133">
        <v>42761</v>
      </c>
      <c r="X7" s="10">
        <v>112</v>
      </c>
      <c r="Y7" s="10">
        <v>112.84</v>
      </c>
      <c r="Z7" s="10">
        <v>111.6</v>
      </c>
      <c r="AA7" s="10">
        <v>111.84</v>
      </c>
      <c r="AB7" s="95">
        <v>10119600</v>
      </c>
      <c r="AC7" s="10">
        <v>111.84</v>
      </c>
      <c r="AD7" s="2">
        <f t="shared" si="0"/>
        <v>1.2400000000000091</v>
      </c>
      <c r="AE7" s="138">
        <f t="shared" si="1"/>
        <v>-8.5106382978722417E-3</v>
      </c>
    </row>
    <row r="8" spans="1:31" x14ac:dyDescent="0.25">
      <c r="B8" s="509"/>
      <c r="C8" s="4"/>
      <c r="D8" s="3"/>
      <c r="E8" s="3"/>
      <c r="F8" s="3"/>
      <c r="G8" s="509"/>
      <c r="H8" s="185"/>
      <c r="I8" s="3"/>
      <c r="J8" s="3"/>
      <c r="K8" s="3"/>
      <c r="L8" s="4"/>
      <c r="M8" s="4"/>
      <c r="O8" s="11" t="s">
        <v>184</v>
      </c>
      <c r="P8" s="34"/>
      <c r="Q8" s="2">
        <f>K18+M18-F18+Q2*Q4</f>
        <v>-36.840000000000146</v>
      </c>
      <c r="W8" s="133">
        <v>42760</v>
      </c>
      <c r="X8" s="10">
        <v>111.93</v>
      </c>
      <c r="Y8" s="10">
        <v>112.8</v>
      </c>
      <c r="Z8" s="10">
        <v>110.76</v>
      </c>
      <c r="AA8" s="10">
        <v>112.8</v>
      </c>
      <c r="AB8" s="95">
        <v>9291900</v>
      </c>
      <c r="AC8" s="10">
        <v>112.8</v>
      </c>
      <c r="AD8" s="2">
        <f t="shared" si="0"/>
        <v>2.039999999999992</v>
      </c>
      <c r="AE8" s="138">
        <f t="shared" si="1"/>
        <v>9.3056549749461759E-3</v>
      </c>
    </row>
    <row r="9" spans="1:31" x14ac:dyDescent="0.25">
      <c r="B9" s="509"/>
      <c r="C9" s="4"/>
      <c r="D9" s="3"/>
      <c r="E9" s="3"/>
      <c r="F9" s="3"/>
      <c r="G9" s="509"/>
      <c r="H9" s="185"/>
      <c r="I9" s="3"/>
      <c r="J9" s="3"/>
      <c r="K9" s="3"/>
      <c r="L9" s="4"/>
      <c r="M9" s="4"/>
      <c r="O9" s="11" t="s">
        <v>214</v>
      </c>
      <c r="Q9" s="138">
        <f>IF(Q2=0, 0, Q8/Q6)</f>
        <v>-1.0690531740780764E-2</v>
      </c>
      <c r="W9" s="133">
        <v>42759</v>
      </c>
      <c r="X9" s="10">
        <v>112.91</v>
      </c>
      <c r="Y9" s="10">
        <v>113.3</v>
      </c>
      <c r="Z9" s="10">
        <v>111.15</v>
      </c>
      <c r="AA9" s="10">
        <v>111.76</v>
      </c>
      <c r="AB9" s="95">
        <v>12382700</v>
      </c>
      <c r="AC9" s="10">
        <v>111.76</v>
      </c>
      <c r="AD9" s="2">
        <f t="shared" si="0"/>
        <v>2.1499999999999915</v>
      </c>
      <c r="AE9" s="138">
        <f t="shared" si="1"/>
        <v>-1.8874550083399111E-2</v>
      </c>
    </row>
    <row r="10" spans="1:31" x14ac:dyDescent="0.25">
      <c r="G10" s="30"/>
      <c r="H10" s="72"/>
      <c r="O10" s="11" t="s">
        <v>213</v>
      </c>
      <c r="P10" s="34"/>
      <c r="Q10" s="2">
        <v>0</v>
      </c>
      <c r="W10" s="133">
        <v>42758</v>
      </c>
      <c r="X10" s="10">
        <v>114.51</v>
      </c>
      <c r="Y10" s="10">
        <v>114.77</v>
      </c>
      <c r="Z10" s="10">
        <v>113.8</v>
      </c>
      <c r="AA10" s="10">
        <v>113.91</v>
      </c>
      <c r="AB10" s="95">
        <v>7197700</v>
      </c>
      <c r="AC10" s="10">
        <v>113.91</v>
      </c>
      <c r="AD10" s="2">
        <f t="shared" si="0"/>
        <v>0.96999999999999886</v>
      </c>
      <c r="AE10" s="138">
        <f t="shared" si="1"/>
        <v>-2.1024967148489671E-3</v>
      </c>
    </row>
    <row r="11" spans="1:31" x14ac:dyDescent="0.25">
      <c r="G11" s="30"/>
      <c r="H11" s="72"/>
      <c r="O11" s="11" t="s">
        <v>178</v>
      </c>
      <c r="P11" s="34"/>
      <c r="Q11" s="138">
        <f>IF(U58="N/A (N/A)", 0, VALUE(TRIM(CLEAN(MID(U58, FIND("(", U58)+1, 5)))))</f>
        <v>2.8299999999999999E-2</v>
      </c>
      <c r="W11" s="133">
        <v>42755</v>
      </c>
      <c r="X11" s="10">
        <v>114.49</v>
      </c>
      <c r="Y11" s="10">
        <v>115.03</v>
      </c>
      <c r="Z11" s="10">
        <v>114.08</v>
      </c>
      <c r="AA11" s="10">
        <v>114.15</v>
      </c>
      <c r="AB11" s="95">
        <v>7260100</v>
      </c>
      <c r="AC11" s="10">
        <v>114.15</v>
      </c>
      <c r="AD11" s="2">
        <f t="shared" si="0"/>
        <v>0.95000000000000284</v>
      </c>
      <c r="AE11" s="138">
        <f t="shared" si="1"/>
        <v>-4.378283712784814E-4</v>
      </c>
    </row>
    <row r="12" spans="1:31" x14ac:dyDescent="0.25">
      <c r="G12" s="30"/>
      <c r="H12" s="72"/>
      <c r="W12" s="133">
        <v>42754</v>
      </c>
      <c r="X12" s="10">
        <v>114.68</v>
      </c>
      <c r="Y12" s="10">
        <v>114.9</v>
      </c>
      <c r="Z12" s="10">
        <v>113.92</v>
      </c>
      <c r="AA12" s="10">
        <v>114.2</v>
      </c>
      <c r="AB12" s="95">
        <v>5506900</v>
      </c>
      <c r="AC12" s="10">
        <v>114.2</v>
      </c>
      <c r="AD12" s="2">
        <f t="shared" si="0"/>
        <v>0.98000000000000398</v>
      </c>
      <c r="AE12" s="138">
        <f t="shared" si="1"/>
        <v>-4.3591979075849885E-3</v>
      </c>
    </row>
    <row r="13" spans="1:31" x14ac:dyDescent="0.25">
      <c r="G13" s="30"/>
      <c r="H13" s="72"/>
      <c r="W13" s="133">
        <v>42753</v>
      </c>
      <c r="X13" s="10">
        <v>114.87</v>
      </c>
      <c r="Y13" s="10">
        <v>115.1</v>
      </c>
      <c r="Z13" s="10">
        <v>114.41</v>
      </c>
      <c r="AA13" s="10">
        <v>114.7</v>
      </c>
      <c r="AB13" s="95">
        <v>4998700</v>
      </c>
      <c r="AC13" s="10">
        <v>114.7</v>
      </c>
      <c r="AD13" s="2">
        <f t="shared" si="0"/>
        <v>0.68999999999999773</v>
      </c>
      <c r="AE13" s="138">
        <f t="shared" si="1"/>
        <v>-1.4799338382519567E-3</v>
      </c>
    </row>
    <row r="14" spans="1:31" x14ac:dyDescent="0.25">
      <c r="G14" s="30"/>
      <c r="H14" s="72"/>
      <c r="W14" s="133">
        <v>42752</v>
      </c>
      <c r="X14" s="10">
        <v>113.94</v>
      </c>
      <c r="Y14" s="10">
        <v>115.05</v>
      </c>
      <c r="Z14" s="10">
        <v>113.67</v>
      </c>
      <c r="AA14" s="10">
        <v>114.87</v>
      </c>
      <c r="AB14" s="95">
        <v>6244000</v>
      </c>
      <c r="AC14" s="10">
        <v>114.87</v>
      </c>
      <c r="AD14" s="2">
        <f t="shared" si="0"/>
        <v>1.3799999999999955</v>
      </c>
      <c r="AE14" s="138">
        <f t="shared" si="1"/>
        <v>2.3560209424084988E-3</v>
      </c>
    </row>
    <row r="15" spans="1:31" x14ac:dyDescent="0.25">
      <c r="G15" s="30"/>
      <c r="H15" s="72"/>
      <c r="W15" s="133">
        <v>42748</v>
      </c>
      <c r="X15" s="10">
        <v>114.94</v>
      </c>
      <c r="Y15" s="10">
        <v>115.02</v>
      </c>
      <c r="Z15" s="10">
        <v>114.44</v>
      </c>
      <c r="AA15" s="10">
        <v>114.6</v>
      </c>
      <c r="AB15" s="95">
        <v>4726200</v>
      </c>
      <c r="AC15" s="10">
        <v>114.6</v>
      </c>
      <c r="AD15" s="2">
        <f t="shared" si="0"/>
        <v>0.57999999999999829</v>
      </c>
      <c r="AE15" s="138">
        <f t="shared" si="1"/>
        <v>-1.7448961786781236E-4</v>
      </c>
    </row>
    <row r="16" spans="1:31" x14ac:dyDescent="0.25">
      <c r="G16" s="30"/>
      <c r="H16" s="72"/>
      <c r="W16" s="133">
        <v>42747</v>
      </c>
      <c r="X16" s="10">
        <v>114.27</v>
      </c>
      <c r="Y16" s="10">
        <v>114.73</v>
      </c>
      <c r="Z16" s="10">
        <v>113.37</v>
      </c>
      <c r="AA16" s="10">
        <v>114.62</v>
      </c>
      <c r="AB16" s="95">
        <v>6621400</v>
      </c>
      <c r="AC16" s="10">
        <v>114.62</v>
      </c>
      <c r="AD16" s="2">
        <f t="shared" si="0"/>
        <v>1.3599999999999994</v>
      </c>
      <c r="AE16" s="138">
        <f t="shared" si="1"/>
        <v>-9.5877277085332224E-4</v>
      </c>
    </row>
    <row r="17" spans="1:31" x14ac:dyDescent="0.25">
      <c r="G17" s="30"/>
      <c r="W17" s="133">
        <v>42746</v>
      </c>
      <c r="X17" s="10">
        <v>116.08</v>
      </c>
      <c r="Y17" s="10">
        <v>116.25</v>
      </c>
      <c r="Z17" s="10">
        <v>114.02</v>
      </c>
      <c r="AA17" s="10">
        <v>114.73</v>
      </c>
      <c r="AB17" s="95">
        <v>8778300</v>
      </c>
      <c r="AC17" s="10">
        <v>114.73</v>
      </c>
      <c r="AD17" s="2">
        <f t="shared" si="0"/>
        <v>2.230000000000004</v>
      </c>
      <c r="AE17" s="138">
        <f t="shared" si="1"/>
        <v>-1.2310606060605966E-2</v>
      </c>
    </row>
    <row r="18" spans="1:31" x14ac:dyDescent="0.25">
      <c r="A18" s="32" t="s">
        <v>81</v>
      </c>
      <c r="B18" s="511"/>
      <c r="C18" s="14">
        <f>SUM(C2:C6)</f>
        <v>45</v>
      </c>
      <c r="D18" s="18"/>
      <c r="E18" s="18"/>
      <c r="F18" s="18">
        <f>SUM(F2:F6)</f>
        <v>5152.5</v>
      </c>
      <c r="G18" s="14"/>
      <c r="H18" s="14">
        <f>SUM(H2:H5)</f>
        <v>15</v>
      </c>
      <c r="I18" s="18"/>
      <c r="J18" s="18"/>
      <c r="K18" s="18">
        <f>SUM(K2:K5)</f>
        <v>1690.46</v>
      </c>
      <c r="L18" s="14"/>
      <c r="M18" s="18">
        <f>SUM(M2:M10)</f>
        <v>16</v>
      </c>
      <c r="W18" s="133">
        <v>42745</v>
      </c>
      <c r="X18" s="10">
        <v>116.03</v>
      </c>
      <c r="Y18" s="10">
        <v>117</v>
      </c>
      <c r="Z18" s="10">
        <v>115.87</v>
      </c>
      <c r="AA18" s="10">
        <v>116.16</v>
      </c>
      <c r="AB18" s="95">
        <v>5271400</v>
      </c>
      <c r="AC18" s="10">
        <v>116.16</v>
      </c>
      <c r="AD18" s="2">
        <f t="shared" si="0"/>
        <v>1.1299999999999955</v>
      </c>
      <c r="AE18" s="138">
        <f t="shared" si="1"/>
        <v>-1.0319917440660964E-3</v>
      </c>
    </row>
    <row r="19" spans="1:31" ht="15.75" thickBot="1" x14ac:dyDescent="0.3">
      <c r="A19" s="356" t="s">
        <v>198</v>
      </c>
      <c r="B19" s="512"/>
      <c r="C19" s="358">
        <f>SumByColor($A$19,C2:C17)</f>
        <v>15</v>
      </c>
      <c r="D19" s="358"/>
      <c r="E19" s="358"/>
      <c r="F19" s="359">
        <f>SumByColor($A$19,F2:F17)</f>
        <v>1668</v>
      </c>
      <c r="G19" s="358"/>
      <c r="H19" s="358">
        <f>SumByColor($A$19,H2:H17)</f>
        <v>15</v>
      </c>
      <c r="I19" s="358"/>
      <c r="J19" s="358"/>
      <c r="K19" s="359">
        <f>SumByColor($A$19,K2:K17)</f>
        <v>1690</v>
      </c>
      <c r="L19" s="358"/>
      <c r="M19" s="359">
        <f t="shared" ref="M19" si="2">SumByColor($A$19,M2:M17)</f>
        <v>16</v>
      </c>
      <c r="W19" s="133">
        <v>42744</v>
      </c>
      <c r="X19" s="10">
        <v>116.35</v>
      </c>
      <c r="Y19" s="10">
        <v>116.61</v>
      </c>
      <c r="Z19" s="10">
        <v>115.89</v>
      </c>
      <c r="AA19" s="10">
        <v>116.28</v>
      </c>
      <c r="AB19" s="95">
        <v>5436600</v>
      </c>
      <c r="AC19" s="10">
        <v>116.28</v>
      </c>
      <c r="AD19" s="2">
        <f t="shared" si="0"/>
        <v>0.71999999999999886</v>
      </c>
      <c r="AE19" s="138">
        <f t="shared" si="1"/>
        <v>-1.7196904557181814E-4</v>
      </c>
    </row>
    <row r="20" spans="1:31" x14ac:dyDescent="0.25">
      <c r="W20" s="133">
        <v>42741</v>
      </c>
      <c r="X20" s="10">
        <v>116.67</v>
      </c>
      <c r="Y20" s="10">
        <v>117</v>
      </c>
      <c r="Z20" s="10">
        <v>115.76</v>
      </c>
      <c r="AA20" s="10">
        <v>116.3</v>
      </c>
      <c r="AB20" s="95">
        <v>4830400</v>
      </c>
      <c r="AC20" s="10">
        <v>116.3</v>
      </c>
      <c r="AD20" s="2">
        <f t="shared" si="0"/>
        <v>1.2399999999999949</v>
      </c>
      <c r="AE20" s="138">
        <f t="shared" si="1"/>
        <v>-4.792058873866134E-3</v>
      </c>
    </row>
    <row r="21" spans="1:31" x14ac:dyDescent="0.25">
      <c r="W21" s="133">
        <v>42740</v>
      </c>
      <c r="X21" s="10">
        <v>116</v>
      </c>
      <c r="Y21" s="10">
        <v>116.97</v>
      </c>
      <c r="Z21" s="10">
        <v>115.44</v>
      </c>
      <c r="AA21" s="10">
        <v>116.86</v>
      </c>
      <c r="AB21" s="95">
        <v>5735900</v>
      </c>
      <c r="AC21" s="10">
        <v>116.86</v>
      </c>
      <c r="AD21" s="2">
        <f t="shared" si="0"/>
        <v>1.5300000000000011</v>
      </c>
      <c r="AE21" s="138">
        <f t="shared" si="1"/>
        <v>1.0462602680501476E-2</v>
      </c>
    </row>
    <row r="22" spans="1:31" x14ac:dyDescent="0.25">
      <c r="W22" s="133">
        <v>42739</v>
      </c>
      <c r="X22" s="10">
        <v>115.5</v>
      </c>
      <c r="Y22" s="10">
        <v>116.23</v>
      </c>
      <c r="Z22" s="10">
        <v>115.31</v>
      </c>
      <c r="AA22" s="10">
        <v>115.65</v>
      </c>
      <c r="AB22" s="95">
        <v>5793000</v>
      </c>
      <c r="AC22" s="10">
        <v>115.65</v>
      </c>
      <c r="AD22" s="2">
        <f t="shared" si="0"/>
        <v>0.92000000000000171</v>
      </c>
      <c r="AE22" s="138">
        <f t="shared" si="1"/>
        <v>-1.6401933701657434E-3</v>
      </c>
    </row>
    <row r="23" spans="1:31" x14ac:dyDescent="0.25">
      <c r="W23" s="133">
        <v>42738</v>
      </c>
      <c r="X23" s="10">
        <v>115.78</v>
      </c>
      <c r="Y23" s="10">
        <v>116</v>
      </c>
      <c r="Z23" s="10">
        <v>115.23</v>
      </c>
      <c r="AA23" s="10">
        <v>115.84</v>
      </c>
      <c r="AB23" s="95">
        <v>5944700</v>
      </c>
      <c r="AC23" s="10">
        <v>115.84</v>
      </c>
      <c r="AD23" s="2">
        <f t="shared" si="0"/>
        <v>0.76999999999999602</v>
      </c>
      <c r="AE23" s="138">
        <f t="shared" si="1"/>
        <v>5.4682753233226133E-3</v>
      </c>
    </row>
    <row r="24" spans="1:31" x14ac:dyDescent="0.25">
      <c r="B24" s="513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155</v>
      </c>
      <c r="W24" s="133">
        <v>42734</v>
      </c>
      <c r="X24" s="10">
        <v>115.8</v>
      </c>
      <c r="Y24" s="10">
        <v>115.99</v>
      </c>
      <c r="Z24" s="10">
        <v>114.98</v>
      </c>
      <c r="AA24" s="10">
        <v>115.21</v>
      </c>
      <c r="AB24" s="95">
        <v>5497200</v>
      </c>
      <c r="AC24" s="10">
        <v>115.21</v>
      </c>
      <c r="AD24" s="2">
        <f t="shared" si="0"/>
        <v>1.0099999999999909</v>
      </c>
      <c r="AE24" s="138">
        <f t="shared" si="1"/>
        <v>-2.4244523335353874E-3</v>
      </c>
    </row>
    <row r="25" spans="1:31" x14ac:dyDescent="0.25">
      <c r="B25" s="157">
        <v>42622</v>
      </c>
      <c r="C25" s="237">
        <v>20</v>
      </c>
      <c r="D25" s="238">
        <v>118.5</v>
      </c>
      <c r="E25" s="40">
        <v>118.23</v>
      </c>
      <c r="F25" s="40">
        <f t="shared" ref="F25" si="3">C25*(E25-D25)</f>
        <v>-5.3999999999999204</v>
      </c>
      <c r="G25" s="40">
        <f t="shared" ref="G25" si="4">D25*C25</f>
        <v>2370</v>
      </c>
      <c r="H25" s="231">
        <f t="shared" ref="H25" si="5">(E25-D25)/D25</f>
        <v>-2.2784810126581941E-3</v>
      </c>
      <c r="I25" s="40"/>
      <c r="W25" s="133">
        <v>42733</v>
      </c>
      <c r="X25" s="10">
        <v>115.23</v>
      </c>
      <c r="Y25" s="10">
        <v>115.87</v>
      </c>
      <c r="Z25" s="10">
        <v>115.01</v>
      </c>
      <c r="AA25" s="10">
        <v>115.49</v>
      </c>
      <c r="AB25" s="95">
        <v>2977500</v>
      </c>
      <c r="AC25" s="10">
        <v>115.49</v>
      </c>
      <c r="AD25" s="2">
        <f t="shared" si="0"/>
        <v>0.85999999999999943</v>
      </c>
      <c r="AE25" s="138">
        <f t="shared" si="1"/>
        <v>3.388357949609011E-3</v>
      </c>
    </row>
    <row r="26" spans="1:31" x14ac:dyDescent="0.25">
      <c r="B26" s="157">
        <v>42627</v>
      </c>
      <c r="C26" s="10">
        <v>20</v>
      </c>
      <c r="D26" s="40">
        <v>118.5</v>
      </c>
      <c r="E26" s="40">
        <v>117.86</v>
      </c>
      <c r="F26" s="40">
        <f t="shared" ref="F26" si="6">C26*(E26-D26)</f>
        <v>-12.800000000000011</v>
      </c>
      <c r="G26" s="40">
        <f t="shared" ref="G26" si="7">D26*C26</f>
        <v>2370</v>
      </c>
      <c r="H26" s="231">
        <f t="shared" ref="H26" si="8">(E26-D26)/D26</f>
        <v>-5.400843881856545E-3</v>
      </c>
      <c r="I26" s="40"/>
      <c r="W26" s="133">
        <v>42732</v>
      </c>
      <c r="X26" s="10">
        <v>115.88</v>
      </c>
      <c r="Y26" s="10">
        <v>116.16</v>
      </c>
      <c r="Z26" s="10">
        <v>115.05</v>
      </c>
      <c r="AA26" s="10">
        <v>115.1</v>
      </c>
      <c r="AB26" s="95">
        <v>3170800</v>
      </c>
      <c r="AC26" s="10">
        <v>115.1</v>
      </c>
      <c r="AD26" s="2">
        <f t="shared" si="0"/>
        <v>1.1099999999999994</v>
      </c>
      <c r="AE26" s="138">
        <f t="shared" si="1"/>
        <v>-6.9881804848589413E-3</v>
      </c>
    </row>
    <row r="27" spans="1:31" x14ac:dyDescent="0.25">
      <c r="B27" s="157">
        <v>42634</v>
      </c>
      <c r="C27" s="10">
        <v>20</v>
      </c>
      <c r="D27" s="40">
        <v>118.5</v>
      </c>
      <c r="E27" s="40">
        <v>118.91</v>
      </c>
      <c r="F27" s="40">
        <f t="shared" ref="F27" si="9">C27*(E27-D27)</f>
        <v>8.1999999999999318</v>
      </c>
      <c r="G27" s="40">
        <f t="shared" ref="G27" si="10">D27*C27</f>
        <v>2370</v>
      </c>
      <c r="H27" s="231">
        <f t="shared" ref="H27" si="11">(E27-D27)/D27</f>
        <v>3.4599156118143171E-3</v>
      </c>
      <c r="I27" s="40"/>
      <c r="W27" s="133">
        <v>42731</v>
      </c>
      <c r="X27" s="10">
        <v>115.89</v>
      </c>
      <c r="Y27" s="10">
        <v>116</v>
      </c>
      <c r="Z27" s="10">
        <v>115.38</v>
      </c>
      <c r="AA27" s="10">
        <v>115.91</v>
      </c>
      <c r="AB27" s="95">
        <v>3232600</v>
      </c>
      <c r="AC27" s="10">
        <v>115.91</v>
      </c>
      <c r="AD27" s="2">
        <f t="shared" si="0"/>
        <v>0.62000000000000455</v>
      </c>
      <c r="AE27" s="138">
        <f t="shared" si="1"/>
        <v>-4.3118316660917255E-4</v>
      </c>
    </row>
    <row r="28" spans="1:31" x14ac:dyDescent="0.25">
      <c r="B28" s="157">
        <v>42651</v>
      </c>
      <c r="C28" s="10">
        <v>20</v>
      </c>
      <c r="D28" s="40">
        <v>118.5</v>
      </c>
      <c r="E28" s="40">
        <v>119.24</v>
      </c>
      <c r="F28" s="40">
        <f t="shared" ref="F28" si="12">C28*(E28-D28)</f>
        <v>14.799999999999898</v>
      </c>
      <c r="G28" s="40">
        <f t="shared" ref="G28" si="13">D28*C28</f>
        <v>2370</v>
      </c>
      <c r="H28" s="231">
        <f t="shared" ref="H28" si="14">(E28-D28)/D28</f>
        <v>6.2447257383965813E-3</v>
      </c>
      <c r="I28" s="40"/>
      <c r="W28" s="133">
        <v>42727</v>
      </c>
      <c r="X28" s="10">
        <v>115.4</v>
      </c>
      <c r="Y28" s="10">
        <v>116.32</v>
      </c>
      <c r="Z28" s="10">
        <v>115.3</v>
      </c>
      <c r="AA28" s="10">
        <v>115.96</v>
      </c>
      <c r="AB28" s="95">
        <v>2992500</v>
      </c>
      <c r="AC28" s="10">
        <v>115.96</v>
      </c>
      <c r="AD28" s="2">
        <f t="shared" si="0"/>
        <v>1.019999999999996</v>
      </c>
      <c r="AE28" s="138">
        <f t="shared" si="1"/>
        <v>4.5045045045044585E-3</v>
      </c>
    </row>
    <row r="29" spans="1:31" x14ac:dyDescent="0.25">
      <c r="B29" s="157">
        <v>42664</v>
      </c>
      <c r="C29" s="10">
        <v>20</v>
      </c>
      <c r="D29" s="40">
        <v>118.5</v>
      </c>
      <c r="E29" s="40">
        <v>113.44</v>
      </c>
      <c r="F29" s="40">
        <f t="shared" ref="F29" si="15">C29*(E29-D29)</f>
        <v>-101.20000000000005</v>
      </c>
      <c r="G29" s="40">
        <f t="shared" ref="G29" si="16">D29*C29</f>
        <v>2370</v>
      </c>
      <c r="H29" s="231">
        <f t="shared" ref="H29" si="17">(E29-D29)/D29</f>
        <v>-4.2700421940928289E-2</v>
      </c>
      <c r="I29" s="40"/>
      <c r="W29" s="133">
        <v>42726</v>
      </c>
      <c r="X29" s="10">
        <v>115</v>
      </c>
      <c r="Y29" s="10">
        <v>115.53</v>
      </c>
      <c r="Z29" s="10">
        <v>113.88</v>
      </c>
      <c r="AA29" s="10">
        <v>115.44</v>
      </c>
      <c r="AB29" s="95">
        <v>4600700</v>
      </c>
      <c r="AC29" s="10">
        <v>115.44</v>
      </c>
      <c r="AD29" s="2">
        <f t="shared" si="0"/>
        <v>1.6500000000000057</v>
      </c>
      <c r="AE29" s="138">
        <f t="shared" si="1"/>
        <v>1.1273957158961512E-3</v>
      </c>
    </row>
    <row r="30" spans="1:31" x14ac:dyDescent="0.25">
      <c r="B30" s="157">
        <v>42674</v>
      </c>
      <c r="C30" s="10">
        <v>20</v>
      </c>
      <c r="D30" s="40">
        <v>118.5</v>
      </c>
      <c r="E30" s="40">
        <v>115.99</v>
      </c>
      <c r="F30" s="40">
        <f t="shared" ref="F30" si="18">C30*(E30-D30)</f>
        <v>-50.200000000000102</v>
      </c>
      <c r="G30" s="40">
        <f t="shared" ref="G30" si="19">D30*C30</f>
        <v>2370</v>
      </c>
      <c r="H30" s="231">
        <f t="shared" ref="H30" si="20">(E30-D30)/D30</f>
        <v>-2.1181434599156161E-2</v>
      </c>
      <c r="I30" s="40"/>
      <c r="W30" s="133">
        <v>42725</v>
      </c>
      <c r="X30" s="10">
        <v>116.2</v>
      </c>
      <c r="Y30" s="10">
        <v>116.2</v>
      </c>
      <c r="Z30" s="10">
        <v>114.74</v>
      </c>
      <c r="AA30" s="10">
        <v>115.31</v>
      </c>
      <c r="AB30" s="95">
        <v>5907600</v>
      </c>
      <c r="AC30" s="10">
        <v>115.31</v>
      </c>
      <c r="AD30" s="2">
        <f t="shared" si="0"/>
        <v>1.460000000000008</v>
      </c>
      <c r="AE30" s="138">
        <f t="shared" si="1"/>
        <v>-3.0261110150440196E-3</v>
      </c>
    </row>
    <row r="31" spans="1:31" x14ac:dyDescent="0.25">
      <c r="B31" s="157">
        <v>42702</v>
      </c>
      <c r="C31" s="10">
        <v>20</v>
      </c>
      <c r="D31" s="40">
        <v>118.5</v>
      </c>
      <c r="E31" s="40">
        <v>114.13</v>
      </c>
      <c r="F31" s="40">
        <f t="shared" ref="F31:F35" si="21">C31*(E31-D31)</f>
        <v>-87.400000000000091</v>
      </c>
      <c r="G31" s="40">
        <f t="shared" ref="G31:G35" si="22">D31*C31</f>
        <v>2370</v>
      </c>
      <c r="H31" s="231">
        <f t="shared" ref="H31:H35" si="23">(E31-D31)/D31</f>
        <v>-3.6877637130801728E-2</v>
      </c>
      <c r="I31" s="40"/>
      <c r="W31" s="133">
        <v>42724</v>
      </c>
      <c r="X31" s="10">
        <v>115.98</v>
      </c>
      <c r="Y31" s="10">
        <v>116.25</v>
      </c>
      <c r="Z31" s="10">
        <v>114.91</v>
      </c>
      <c r="AA31" s="10">
        <v>115.66</v>
      </c>
      <c r="AB31" s="95">
        <v>5493900</v>
      </c>
      <c r="AC31" s="10">
        <v>115.66</v>
      </c>
      <c r="AD31" s="2">
        <f t="shared" si="0"/>
        <v>1.3400000000000034</v>
      </c>
      <c r="AE31" s="138">
        <f t="shared" si="1"/>
        <v>-3.102913290811915E-3</v>
      </c>
    </row>
    <row r="32" spans="1:31" x14ac:dyDescent="0.25">
      <c r="B32" s="157">
        <v>42704</v>
      </c>
      <c r="C32" s="10">
        <v>30</v>
      </c>
      <c r="D32" s="40">
        <v>116.16</v>
      </c>
      <c r="E32" s="40">
        <v>111.3</v>
      </c>
      <c r="F32" s="40">
        <f t="shared" si="21"/>
        <v>-145.79999999999998</v>
      </c>
      <c r="G32" s="40">
        <f t="shared" si="22"/>
        <v>3484.7999999999997</v>
      </c>
      <c r="H32" s="231">
        <f t="shared" si="23"/>
        <v>-4.1838842975206611E-2</v>
      </c>
      <c r="I32" s="40"/>
      <c r="W32" s="133">
        <v>42723</v>
      </c>
      <c r="X32" s="10">
        <v>116.07</v>
      </c>
      <c r="Y32" s="10">
        <v>116.66</v>
      </c>
      <c r="Z32" s="10">
        <v>115.94</v>
      </c>
      <c r="AA32" s="10">
        <v>116.02</v>
      </c>
      <c r="AB32" s="95">
        <v>5858600</v>
      </c>
      <c r="AC32" s="10">
        <v>116.02</v>
      </c>
      <c r="AD32" s="2">
        <f t="shared" si="0"/>
        <v>0.71999999999999886</v>
      </c>
      <c r="AE32" s="138">
        <f t="shared" si="1"/>
        <v>1.2081463583017982E-3</v>
      </c>
    </row>
    <row r="33" spans="1:31" x14ac:dyDescent="0.25">
      <c r="B33" s="157">
        <v>42711</v>
      </c>
      <c r="C33" s="10">
        <v>30</v>
      </c>
      <c r="D33" s="40">
        <v>115.6267</v>
      </c>
      <c r="E33" s="40">
        <v>111.1</v>
      </c>
      <c r="F33" s="40">
        <f t="shared" si="21"/>
        <v>-135.80100000000016</v>
      </c>
      <c r="G33" s="40">
        <f t="shared" si="22"/>
        <v>3468.8009999999999</v>
      </c>
      <c r="H33" s="231">
        <f t="shared" si="23"/>
        <v>-3.9149262237874169E-2</v>
      </c>
      <c r="I33" s="236"/>
      <c r="W33" s="133">
        <v>42720</v>
      </c>
      <c r="X33" s="10">
        <v>116.41</v>
      </c>
      <c r="Y33" s="10">
        <v>116.46</v>
      </c>
      <c r="Z33" s="10">
        <v>115.46</v>
      </c>
      <c r="AA33" s="10">
        <v>115.88</v>
      </c>
      <c r="AB33" s="95">
        <v>10615500</v>
      </c>
      <c r="AC33" s="10">
        <v>115.88</v>
      </c>
      <c r="AD33" s="2">
        <f t="shared" si="0"/>
        <v>1</v>
      </c>
      <c r="AE33" s="138">
        <f t="shared" si="1"/>
        <v>-8.6288722064065126E-5</v>
      </c>
    </row>
    <row r="34" spans="1:31" x14ac:dyDescent="0.25">
      <c r="B34" s="157">
        <v>42759</v>
      </c>
      <c r="C34" s="7">
        <v>45</v>
      </c>
      <c r="D34" s="44">
        <v>114.14530000000001</v>
      </c>
      <c r="E34" s="40">
        <v>111.89</v>
      </c>
      <c r="F34" s="40">
        <f t="shared" si="21"/>
        <v>-101.48850000000024</v>
      </c>
      <c r="G34" s="40">
        <f t="shared" si="22"/>
        <v>5136.5385000000006</v>
      </c>
      <c r="H34" s="231">
        <f t="shared" si="23"/>
        <v>-1.9758150357483011E-2</v>
      </c>
      <c r="I34" s="40">
        <v>110</v>
      </c>
      <c r="W34" s="133">
        <v>42719</v>
      </c>
      <c r="X34" s="10">
        <v>115.33</v>
      </c>
      <c r="Y34" s="10">
        <v>115.92</v>
      </c>
      <c r="Z34" s="10">
        <v>114.89</v>
      </c>
      <c r="AA34" s="10">
        <v>115.89</v>
      </c>
      <c r="AB34" s="95">
        <v>6735500</v>
      </c>
      <c r="AC34" s="10">
        <v>115.89</v>
      </c>
      <c r="AD34" s="2">
        <f t="shared" si="0"/>
        <v>1.0300000000000011</v>
      </c>
      <c r="AE34" s="138">
        <f t="shared" si="1"/>
        <v>7.8267675450038876E-3</v>
      </c>
    </row>
    <row r="35" spans="1:31" x14ac:dyDescent="0.25">
      <c r="A35" t="s">
        <v>458</v>
      </c>
      <c r="B35" s="157">
        <v>42760</v>
      </c>
      <c r="C35" s="10">
        <v>30</v>
      </c>
      <c r="D35" s="40">
        <v>114.86799999999999</v>
      </c>
      <c r="E35" s="40">
        <v>112.8</v>
      </c>
      <c r="F35" s="40">
        <f t="shared" si="21"/>
        <v>-62.039999999999935</v>
      </c>
      <c r="G35" s="40">
        <f t="shared" si="22"/>
        <v>3446.04</v>
      </c>
      <c r="H35" s="231">
        <f t="shared" si="23"/>
        <v>-1.8003273322422242E-2</v>
      </c>
      <c r="I35" s="40"/>
      <c r="W35" s="133">
        <v>42718</v>
      </c>
      <c r="X35" s="10">
        <v>116.12</v>
      </c>
      <c r="Y35" s="10">
        <v>117.3</v>
      </c>
      <c r="Z35" s="10">
        <v>114.58</v>
      </c>
      <c r="AA35" s="10">
        <v>114.99</v>
      </c>
      <c r="AB35" s="95">
        <v>9121900</v>
      </c>
      <c r="AC35" s="10">
        <v>114.99</v>
      </c>
      <c r="AD35" s="2">
        <f t="shared" si="0"/>
        <v>2.7199999999999989</v>
      </c>
      <c r="AE35" s="138">
        <f t="shared" si="1"/>
        <v>-7.7659849857624197E-3</v>
      </c>
    </row>
    <row r="36" spans="1:31" x14ac:dyDescent="0.25">
      <c r="B36" s="157"/>
      <c r="C36" s="10"/>
      <c r="D36" s="40"/>
      <c r="E36" s="40"/>
      <c r="F36" s="40"/>
      <c r="G36" s="40"/>
      <c r="H36" s="231"/>
      <c r="I36" s="40"/>
      <c r="W36" s="133">
        <v>42717</v>
      </c>
      <c r="X36" s="10">
        <v>115.53</v>
      </c>
      <c r="Y36" s="10">
        <v>115.97</v>
      </c>
      <c r="Z36" s="10">
        <v>115.01</v>
      </c>
      <c r="AA36" s="10">
        <v>115.89</v>
      </c>
      <c r="AB36" s="95">
        <v>6589000</v>
      </c>
      <c r="AC36" s="10">
        <v>115.89</v>
      </c>
      <c r="AD36" s="2">
        <f t="shared" si="0"/>
        <v>0.95999999999999375</v>
      </c>
      <c r="AE36" s="138">
        <f t="shared" si="1"/>
        <v>4.5943134535366692E-3</v>
      </c>
    </row>
    <row r="37" spans="1:31" x14ac:dyDescent="0.25">
      <c r="B37" s="157"/>
      <c r="C37" s="10"/>
      <c r="D37" s="40"/>
      <c r="E37" s="40"/>
      <c r="F37" s="40"/>
      <c r="G37" s="40"/>
      <c r="H37" s="231"/>
      <c r="I37" s="40"/>
      <c r="W37" s="133">
        <v>42716</v>
      </c>
      <c r="X37" s="10">
        <v>112.69</v>
      </c>
      <c r="Y37" s="10">
        <v>115.4</v>
      </c>
      <c r="Z37" s="10">
        <v>112.58</v>
      </c>
      <c r="AA37" s="10">
        <v>115.36</v>
      </c>
      <c r="AB37" s="95">
        <v>9518600</v>
      </c>
      <c r="AC37" s="10">
        <v>115.36</v>
      </c>
      <c r="AD37" s="2">
        <f t="shared" si="0"/>
        <v>2.8200000000000074</v>
      </c>
      <c r="AE37" s="138">
        <f t="shared" si="1"/>
        <v>2.761446641724552E-2</v>
      </c>
    </row>
    <row r="38" spans="1:31" x14ac:dyDescent="0.25">
      <c r="B38" s="157"/>
      <c r="C38" s="10"/>
      <c r="D38" s="40"/>
      <c r="E38" s="40"/>
      <c r="F38" s="40"/>
      <c r="G38" s="40"/>
      <c r="H38" s="231"/>
      <c r="I38" s="40"/>
      <c r="W38" s="133">
        <v>42713</v>
      </c>
      <c r="X38" s="10">
        <v>111.41</v>
      </c>
      <c r="Y38" s="10">
        <v>112.43</v>
      </c>
      <c r="Z38" s="10">
        <v>111.2</v>
      </c>
      <c r="AA38" s="10">
        <v>112.26</v>
      </c>
      <c r="AB38" s="95">
        <v>7659400</v>
      </c>
      <c r="AC38" s="10">
        <v>112.26</v>
      </c>
      <c r="AD38" s="2">
        <f t="shared" si="0"/>
        <v>1.230000000000004</v>
      </c>
      <c r="AE38" s="138">
        <f t="shared" si="1"/>
        <v>1.1442472294801442E-2</v>
      </c>
    </row>
    <row r="39" spans="1:31" x14ac:dyDescent="0.25">
      <c r="B39" s="157"/>
      <c r="C39" s="10"/>
      <c r="D39" s="40"/>
      <c r="E39" s="40"/>
      <c r="F39" s="40"/>
      <c r="G39" s="40"/>
      <c r="H39" s="231"/>
      <c r="I39" s="40"/>
      <c r="W39" s="133">
        <v>42712</v>
      </c>
      <c r="X39" s="10">
        <v>110.54</v>
      </c>
      <c r="Y39" s="10">
        <v>111.2</v>
      </c>
      <c r="Z39" s="10">
        <v>109.93</v>
      </c>
      <c r="AA39" s="10">
        <v>110.99</v>
      </c>
      <c r="AB39" s="95">
        <v>7766900</v>
      </c>
      <c r="AC39" s="10">
        <v>110.99</v>
      </c>
      <c r="AD39" s="2">
        <f t="shared" si="0"/>
        <v>1.269999999999996</v>
      </c>
      <c r="AE39" s="138">
        <f t="shared" si="1"/>
        <v>-9.9009900990099098E-4</v>
      </c>
    </row>
    <row r="40" spans="1:31" ht="20.25" thickBot="1" x14ac:dyDescent="0.35">
      <c r="B40" s="157"/>
      <c r="C40" s="10"/>
      <c r="D40" s="40"/>
      <c r="E40" s="40"/>
      <c r="F40" s="40"/>
      <c r="G40" s="40"/>
      <c r="H40" s="231"/>
      <c r="I40" s="40"/>
      <c r="O40" s="638" t="s">
        <v>78</v>
      </c>
      <c r="P40" s="638"/>
      <c r="W40" s="133">
        <v>42711</v>
      </c>
      <c r="X40" s="10">
        <v>111.89</v>
      </c>
      <c r="Y40" s="10">
        <v>111.89</v>
      </c>
      <c r="Z40" s="10">
        <v>109.32</v>
      </c>
      <c r="AA40" s="10">
        <v>111.1</v>
      </c>
      <c r="AB40" s="95">
        <v>11656300</v>
      </c>
      <c r="AC40" s="10">
        <v>111.1</v>
      </c>
      <c r="AD40" s="2">
        <f t="shared" si="0"/>
        <v>2.5700000000000074</v>
      </c>
      <c r="AE40" s="138">
        <f t="shared" si="1"/>
        <v>-8.5668391932893773E-3</v>
      </c>
    </row>
    <row r="41" spans="1:31" ht="15.75" thickTop="1" x14ac:dyDescent="0.25">
      <c r="B41" s="157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125.004</v>
      </c>
      <c r="Q41" s="2"/>
      <c r="W41" s="133">
        <v>42710</v>
      </c>
      <c r="X41" s="10">
        <v>112.24</v>
      </c>
      <c r="Y41" s="10">
        <v>113.2</v>
      </c>
      <c r="Z41" s="10">
        <v>111.85</v>
      </c>
      <c r="AA41" s="10">
        <v>112.06</v>
      </c>
      <c r="AB41" s="95">
        <v>6430100</v>
      </c>
      <c r="AC41" s="10">
        <v>112.06</v>
      </c>
      <c r="AD41" s="2">
        <f t="shared" si="0"/>
        <v>1.3500000000000085</v>
      </c>
      <c r="AE41" s="138">
        <f t="shared" si="1"/>
        <v>1.0720028586743702E-3</v>
      </c>
    </row>
    <row r="42" spans="1:31" ht="20.25" thickBot="1" x14ac:dyDescent="0.35">
      <c r="B42" s="157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24">O42*$Q$4</f>
        <v>123.86760000000001</v>
      </c>
      <c r="Q42" s="2"/>
      <c r="T42" s="91" t="s">
        <v>113</v>
      </c>
      <c r="W42" s="133">
        <v>42709</v>
      </c>
      <c r="X42" s="10">
        <v>112.4</v>
      </c>
      <c r="Y42" s="10">
        <v>112.42</v>
      </c>
      <c r="Z42" s="10">
        <v>111.73</v>
      </c>
      <c r="AA42" s="10">
        <v>111.94</v>
      </c>
      <c r="AB42" s="95">
        <v>5427300</v>
      </c>
      <c r="AC42" s="10">
        <v>111.94</v>
      </c>
      <c r="AD42" s="2">
        <f t="shared" si="0"/>
        <v>0.68999999999999773</v>
      </c>
      <c r="AE42" s="138">
        <f t="shared" si="1"/>
        <v>-1.7863522686667466E-4</v>
      </c>
    </row>
    <row r="43" spans="1:31" ht="15.75" thickTop="1" x14ac:dyDescent="0.25">
      <c r="B43" s="157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24"/>
        <v>122.73120000000002</v>
      </c>
      <c r="Q43" s="2"/>
      <c r="T43" s="128" t="s">
        <v>98</v>
      </c>
      <c r="U43" s="129">
        <v>113.23</v>
      </c>
      <c r="W43" s="133">
        <v>42706</v>
      </c>
      <c r="X43" s="10">
        <v>111.72</v>
      </c>
      <c r="Y43" s="10">
        <v>112.53</v>
      </c>
      <c r="Z43" s="10">
        <v>111.44</v>
      </c>
      <c r="AA43" s="10">
        <v>111.96</v>
      </c>
      <c r="AB43" s="95">
        <v>6159700</v>
      </c>
      <c r="AC43" s="10">
        <v>111.96</v>
      </c>
      <c r="AD43" s="2">
        <f t="shared" si="0"/>
        <v>1.0900000000000034</v>
      </c>
      <c r="AE43" s="138">
        <f t="shared" si="1"/>
        <v>5.2073980966063083E-3</v>
      </c>
    </row>
    <row r="44" spans="1:31" x14ac:dyDescent="0.25">
      <c r="B44" s="157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24"/>
        <v>121.59480000000001</v>
      </c>
      <c r="Q44" s="2"/>
      <c r="T44" s="93" t="s">
        <v>99</v>
      </c>
      <c r="U44" s="130">
        <v>112.82</v>
      </c>
      <c r="W44" s="133">
        <v>42705</v>
      </c>
      <c r="X44" s="10">
        <v>111.36</v>
      </c>
      <c r="Y44" s="10">
        <v>111.54</v>
      </c>
      <c r="Z44" s="10">
        <v>111</v>
      </c>
      <c r="AA44" s="10">
        <v>111.38</v>
      </c>
      <c r="AB44" s="95">
        <v>8105700</v>
      </c>
      <c r="AC44" s="10">
        <v>111.38</v>
      </c>
      <c r="AD44" s="2">
        <f t="shared" si="0"/>
        <v>0.54000000000000625</v>
      </c>
      <c r="AE44" s="138">
        <f t="shared" si="1"/>
        <v>7.1877807726861143E-4</v>
      </c>
    </row>
    <row r="45" spans="1:31" x14ac:dyDescent="0.25">
      <c r="B45" s="157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24"/>
        <v>120.45840000000001</v>
      </c>
      <c r="Q45" s="2"/>
      <c r="T45" s="93" t="s">
        <v>100</v>
      </c>
      <c r="U45" s="130" t="s">
        <v>129</v>
      </c>
      <c r="W45" s="133">
        <v>42704</v>
      </c>
      <c r="X45" s="10">
        <v>112.19</v>
      </c>
      <c r="Y45" s="10">
        <v>112.52</v>
      </c>
      <c r="Z45" s="10">
        <v>111.3</v>
      </c>
      <c r="AA45" s="10">
        <v>111.3</v>
      </c>
      <c r="AB45" s="95">
        <v>11014500</v>
      </c>
      <c r="AC45" s="10">
        <v>111.3</v>
      </c>
      <c r="AD45" s="2">
        <f t="shared" si="0"/>
        <v>1.2199999999999989</v>
      </c>
      <c r="AE45" s="138">
        <f t="shared" si="1"/>
        <v>-1.049075391180665E-2</v>
      </c>
    </row>
    <row r="46" spans="1:31" x14ac:dyDescent="0.25">
      <c r="B46" s="157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24"/>
        <v>119.322</v>
      </c>
      <c r="Q46" s="2"/>
      <c r="T46" s="93" t="s">
        <v>101</v>
      </c>
      <c r="U46" s="130" t="s">
        <v>129</v>
      </c>
      <c r="W46" s="133">
        <v>42703</v>
      </c>
      <c r="X46" s="10">
        <v>112.95</v>
      </c>
      <c r="Y46" s="10">
        <v>113.41</v>
      </c>
      <c r="Z46" s="10">
        <v>112.17</v>
      </c>
      <c r="AA46" s="10">
        <v>112.48</v>
      </c>
      <c r="AB46" s="95">
        <v>7751800</v>
      </c>
      <c r="AC46" s="10">
        <v>112.48</v>
      </c>
      <c r="AD46" s="2">
        <f t="shared" si="0"/>
        <v>1.2399999999999949</v>
      </c>
      <c r="AE46" s="138">
        <f t="shared" si="1"/>
        <v>-5.7456024043135434E-3</v>
      </c>
    </row>
    <row r="47" spans="1:31" x14ac:dyDescent="0.25">
      <c r="B47" s="157"/>
      <c r="C47" s="10"/>
      <c r="D47" s="40"/>
      <c r="E47" s="40"/>
      <c r="F47" s="40"/>
      <c r="G47" s="40"/>
      <c r="H47" s="231"/>
      <c r="I47" s="236"/>
      <c r="O47" s="83">
        <v>1.04</v>
      </c>
      <c r="P47" s="83">
        <f t="shared" si="24"/>
        <v>118.18560000000001</v>
      </c>
      <c r="Q47" s="2"/>
      <c r="T47" s="93" t="s">
        <v>102</v>
      </c>
      <c r="U47" s="130">
        <v>124.78</v>
      </c>
      <c r="W47" s="133">
        <v>42702</v>
      </c>
      <c r="X47" s="10">
        <v>113.79</v>
      </c>
      <c r="Y47" s="10">
        <v>114.12</v>
      </c>
      <c r="Z47" s="10">
        <v>113.05</v>
      </c>
      <c r="AA47" s="10">
        <v>113.13</v>
      </c>
      <c r="AB47" s="95">
        <v>9025700</v>
      </c>
      <c r="AC47" s="10">
        <v>113.13</v>
      </c>
      <c r="AD47" s="2">
        <f t="shared" si="0"/>
        <v>1.0700000000000074</v>
      </c>
      <c r="AE47" s="138">
        <f t="shared" si="1"/>
        <v>-8.7619381407166852E-3</v>
      </c>
    </row>
    <row r="48" spans="1:31" x14ac:dyDescent="0.25">
      <c r="B48" s="157"/>
      <c r="C48" s="10"/>
      <c r="D48" s="40"/>
      <c r="E48" s="40"/>
      <c r="F48" s="40"/>
      <c r="G48" s="40"/>
      <c r="H48" s="231"/>
      <c r="I48" s="40"/>
      <c r="O48" s="83">
        <v>1.03</v>
      </c>
      <c r="P48" s="83">
        <f t="shared" si="24"/>
        <v>117.0492</v>
      </c>
      <c r="Q48" s="2"/>
      <c r="T48" s="93" t="s">
        <v>103</v>
      </c>
      <c r="U48" s="130">
        <v>0.67225199999999996</v>
      </c>
      <c r="W48" s="133">
        <v>42699</v>
      </c>
      <c r="X48" s="10">
        <v>113.6</v>
      </c>
      <c r="Y48" s="10">
        <v>114.23</v>
      </c>
      <c r="Z48" s="10">
        <v>113.38</v>
      </c>
      <c r="AA48" s="10">
        <v>114.13</v>
      </c>
      <c r="AB48" s="95">
        <v>3433300</v>
      </c>
      <c r="AC48" s="10">
        <v>114.13</v>
      </c>
      <c r="AD48" s="2">
        <f t="shared" si="0"/>
        <v>0.85000000000000853</v>
      </c>
      <c r="AE48" s="138">
        <f t="shared" si="1"/>
        <v>9.3747236225347752E-3</v>
      </c>
    </row>
    <row r="49" spans="2:31" x14ac:dyDescent="0.25">
      <c r="B49" s="157"/>
      <c r="C49" s="10"/>
      <c r="D49" s="40"/>
      <c r="E49" s="40"/>
      <c r="F49" s="40"/>
      <c r="G49" s="40"/>
      <c r="H49" s="231"/>
      <c r="I49" s="40"/>
      <c r="O49" s="83">
        <v>1.02</v>
      </c>
      <c r="P49" s="83">
        <f t="shared" si="24"/>
        <v>115.9128</v>
      </c>
      <c r="Q49" s="2"/>
      <c r="T49" s="93" t="s">
        <v>104</v>
      </c>
      <c r="U49" s="130" t="s">
        <v>451</v>
      </c>
      <c r="W49" s="133">
        <v>42697</v>
      </c>
      <c r="X49" s="10">
        <v>112.25</v>
      </c>
      <c r="Y49" s="10">
        <v>113.43</v>
      </c>
      <c r="Z49" s="10">
        <v>111.56</v>
      </c>
      <c r="AA49" s="10">
        <v>113.07</v>
      </c>
      <c r="AB49" s="95">
        <v>7892600</v>
      </c>
      <c r="AC49" s="10">
        <v>113.07</v>
      </c>
      <c r="AD49" s="2">
        <f t="shared" si="0"/>
        <v>1.8700000000000045</v>
      </c>
      <c r="AE49" s="138">
        <f t="shared" si="1"/>
        <v>2.9270888770622783E-3</v>
      </c>
    </row>
    <row r="50" spans="2:31" x14ac:dyDescent="0.25">
      <c r="B50" s="157"/>
      <c r="C50" s="10"/>
      <c r="D50" s="40"/>
      <c r="E50" s="40"/>
      <c r="F50" s="40"/>
      <c r="G50" s="40"/>
      <c r="H50" s="231"/>
      <c r="I50" s="40"/>
      <c r="O50" s="83">
        <v>1.01</v>
      </c>
      <c r="P50" s="83">
        <f t="shared" si="24"/>
        <v>114.7764</v>
      </c>
      <c r="Q50" s="2"/>
      <c r="T50" s="93"/>
      <c r="U50" s="130"/>
      <c r="W50" s="133">
        <v>42696</v>
      </c>
      <c r="X50" s="10">
        <v>114.59</v>
      </c>
      <c r="Y50" s="10">
        <v>115</v>
      </c>
      <c r="Z50" s="10">
        <v>112.27</v>
      </c>
      <c r="AA50" s="10">
        <v>112.74</v>
      </c>
      <c r="AB50" s="95">
        <v>11649700</v>
      </c>
      <c r="AC50" s="10">
        <v>112.74</v>
      </c>
      <c r="AD50" s="2">
        <f t="shared" si="0"/>
        <v>2.730000000000004</v>
      </c>
      <c r="AE50" s="138">
        <f t="shared" si="1"/>
        <v>-1.9652173913043525E-2</v>
      </c>
    </row>
    <row r="51" spans="2:31" x14ac:dyDescent="0.25">
      <c r="B51" s="157"/>
      <c r="C51" s="10"/>
      <c r="D51" s="40"/>
      <c r="E51" s="40"/>
      <c r="F51" s="40"/>
      <c r="G51" s="40"/>
      <c r="H51" s="231"/>
      <c r="I51" s="40"/>
      <c r="O51" s="83">
        <v>1</v>
      </c>
      <c r="P51" s="83">
        <f t="shared" si="24"/>
        <v>113.64</v>
      </c>
      <c r="Q51" s="2"/>
      <c r="T51" s="93" t="s">
        <v>105</v>
      </c>
      <c r="U51" s="130" t="s">
        <v>577</v>
      </c>
      <c r="W51" s="133">
        <v>42695</v>
      </c>
      <c r="X51" s="10">
        <v>115.44</v>
      </c>
      <c r="Y51" s="10">
        <v>115.68</v>
      </c>
      <c r="Z51" s="10">
        <v>114.8</v>
      </c>
      <c r="AA51" s="10">
        <v>115</v>
      </c>
      <c r="AB51" s="95">
        <v>5843300</v>
      </c>
      <c r="AC51" s="10">
        <v>115</v>
      </c>
      <c r="AD51" s="2">
        <f t="shared" si="0"/>
        <v>0.88000000000000966</v>
      </c>
      <c r="AE51" s="138">
        <f t="shared" si="1"/>
        <v>-3.1206657420249639E-3</v>
      </c>
    </row>
    <row r="52" spans="2:31" x14ac:dyDescent="0.25">
      <c r="B52" s="157"/>
      <c r="C52" s="10"/>
      <c r="D52" s="40"/>
      <c r="E52" s="40"/>
      <c r="F52" s="40"/>
      <c r="G52" s="40"/>
      <c r="H52" s="231"/>
      <c r="I52" s="40"/>
      <c r="O52" s="83">
        <v>0.99</v>
      </c>
      <c r="P52" s="83">
        <f t="shared" si="24"/>
        <v>112.50360000000001</v>
      </c>
      <c r="Q52" s="2"/>
      <c r="T52" s="93" t="s">
        <v>106</v>
      </c>
      <c r="U52" s="130" t="s">
        <v>452</v>
      </c>
      <c r="W52" s="133">
        <v>42692</v>
      </c>
      <c r="X52" s="10">
        <v>115.79</v>
      </c>
      <c r="Y52" s="10">
        <v>115.92</v>
      </c>
      <c r="Z52" s="10">
        <v>114.81</v>
      </c>
      <c r="AA52" s="10">
        <v>115.36</v>
      </c>
      <c r="AB52" s="95">
        <v>7717800</v>
      </c>
      <c r="AC52" s="10">
        <v>115.36</v>
      </c>
      <c r="AD52" s="2">
        <f t="shared" si="0"/>
        <v>1.1099999999999994</v>
      </c>
      <c r="AE52" s="138" t="e">
        <f t="shared" si="1"/>
        <v>#DIV/0!</v>
      </c>
    </row>
    <row r="53" spans="2:31" x14ac:dyDescent="0.25">
      <c r="B53" s="157"/>
      <c r="C53" s="10"/>
      <c r="D53" s="40"/>
      <c r="E53" s="40"/>
      <c r="F53" s="40"/>
      <c r="G53" s="40"/>
      <c r="H53" s="231"/>
      <c r="I53" s="40"/>
      <c r="O53" s="83">
        <v>0.98</v>
      </c>
      <c r="P53" s="83">
        <f t="shared" si="24"/>
        <v>111.3672</v>
      </c>
      <c r="Q53" s="2"/>
      <c r="T53" s="93" t="s">
        <v>107</v>
      </c>
      <c r="U53" s="131">
        <v>7826308</v>
      </c>
      <c r="W53" s="133">
        <v>42692</v>
      </c>
      <c r="X53" s="10" t="s">
        <v>289</v>
      </c>
      <c r="Y53" s="10"/>
      <c r="Z53" s="10"/>
      <c r="AA53" s="10"/>
      <c r="AB53" s="95"/>
      <c r="AC53" s="10"/>
      <c r="AD53" s="2">
        <f t="shared" si="0"/>
        <v>0</v>
      </c>
      <c r="AE53" s="138">
        <f t="shared" si="1"/>
        <v>-1</v>
      </c>
    </row>
    <row r="54" spans="2:31" x14ac:dyDescent="0.25">
      <c r="B54" s="157"/>
      <c r="C54" s="10"/>
      <c r="D54" s="40"/>
      <c r="E54" s="40"/>
      <c r="F54" s="40"/>
      <c r="G54" s="40"/>
      <c r="H54" s="231"/>
      <c r="I54" s="40"/>
      <c r="O54" s="83">
        <v>0.97</v>
      </c>
      <c r="P54" s="83">
        <f t="shared" si="24"/>
        <v>110.2308</v>
      </c>
      <c r="T54" s="93" t="s">
        <v>110</v>
      </c>
      <c r="U54" s="131">
        <v>7311990</v>
      </c>
      <c r="W54" s="133">
        <v>42691</v>
      </c>
      <c r="X54" s="10">
        <v>116.68</v>
      </c>
      <c r="Y54" s="10">
        <v>116.68</v>
      </c>
      <c r="Z54" s="10">
        <v>116.12</v>
      </c>
      <c r="AA54" s="10">
        <v>116.57</v>
      </c>
      <c r="AB54" s="95">
        <v>5730300</v>
      </c>
      <c r="AC54" s="10">
        <v>115.77</v>
      </c>
      <c r="AD54" s="2">
        <f t="shared" si="0"/>
        <v>0.56000000000000227</v>
      </c>
      <c r="AE54" s="138">
        <f t="shared" si="1"/>
        <v>1.8172377985461452E-3</v>
      </c>
    </row>
    <row r="55" spans="2:31" x14ac:dyDescent="0.25">
      <c r="B55" s="157"/>
      <c r="C55" s="10"/>
      <c r="D55" s="40"/>
      <c r="E55" s="40"/>
      <c r="F55" s="40"/>
      <c r="G55" s="40"/>
      <c r="H55" s="231"/>
      <c r="I55" s="40"/>
      <c r="O55" s="83">
        <v>0.96</v>
      </c>
      <c r="P55" s="83">
        <f t="shared" si="24"/>
        <v>109.09439999999999</v>
      </c>
      <c r="T55" s="93" t="s">
        <v>108</v>
      </c>
      <c r="U55" s="130" t="s">
        <v>578</v>
      </c>
      <c r="W55" s="133">
        <v>42690</v>
      </c>
      <c r="X55" s="10">
        <v>116.65</v>
      </c>
      <c r="Y55" s="10">
        <v>116.78</v>
      </c>
      <c r="Z55" s="10">
        <v>116.08</v>
      </c>
      <c r="AA55" s="10">
        <v>116.36</v>
      </c>
      <c r="AB55" s="95">
        <v>6594800</v>
      </c>
      <c r="AC55" s="10">
        <v>115.56</v>
      </c>
      <c r="AD55" s="2">
        <f t="shared" si="0"/>
        <v>0.70000000000000284</v>
      </c>
      <c r="AE55" s="138">
        <f t="shared" si="1"/>
        <v>3.4626038781171431E-4</v>
      </c>
    </row>
    <row r="56" spans="2:31" x14ac:dyDescent="0.25">
      <c r="B56" s="157"/>
      <c r="C56" s="10"/>
      <c r="D56" s="40"/>
      <c r="E56" s="40"/>
      <c r="F56" s="40"/>
      <c r="G56" s="40"/>
      <c r="H56" s="231"/>
      <c r="I56" s="40"/>
      <c r="O56" s="83">
        <v>0.95</v>
      </c>
      <c r="P56" s="83">
        <f t="shared" si="24"/>
        <v>107.958</v>
      </c>
      <c r="T56" s="93" t="s">
        <v>111</v>
      </c>
      <c r="U56" s="130">
        <v>19.149999999999999</v>
      </c>
      <c r="W56" s="133">
        <v>42689</v>
      </c>
      <c r="X56" s="10">
        <v>116.4</v>
      </c>
      <c r="Y56" s="10">
        <v>116.69</v>
      </c>
      <c r="Z56" s="10">
        <v>115.82</v>
      </c>
      <c r="AA56" s="10">
        <v>116.32</v>
      </c>
      <c r="AB56" s="95">
        <v>7446700</v>
      </c>
      <c r="AC56" s="10">
        <v>115.52</v>
      </c>
      <c r="AD56" s="2">
        <f t="shared" si="0"/>
        <v>0.87000000000000455</v>
      </c>
      <c r="AE56" s="138">
        <f t="shared" si="1"/>
        <v>-2.4179620034542326E-3</v>
      </c>
    </row>
    <row r="57" spans="2:31" x14ac:dyDescent="0.25">
      <c r="B57" s="157"/>
      <c r="C57" s="10"/>
      <c r="D57" s="40"/>
      <c r="E57" s="40"/>
      <c r="F57" s="40"/>
      <c r="G57" s="40"/>
      <c r="H57" s="231"/>
      <c r="I57" s="40"/>
      <c r="O57" s="83">
        <v>0.94</v>
      </c>
      <c r="P57" s="83">
        <f t="shared" si="24"/>
        <v>106.82159999999999</v>
      </c>
      <c r="T57" s="93" t="s">
        <v>112</v>
      </c>
      <c r="U57" s="130">
        <v>5.93</v>
      </c>
      <c r="W57" s="133">
        <v>42688</v>
      </c>
      <c r="X57" s="10">
        <v>118.58</v>
      </c>
      <c r="Y57" s="10">
        <v>118.99</v>
      </c>
      <c r="Z57" s="10">
        <v>116.5</v>
      </c>
      <c r="AA57" s="10">
        <v>116.6</v>
      </c>
      <c r="AB57" s="95">
        <v>10054900</v>
      </c>
      <c r="AC57" s="10">
        <v>115.8</v>
      </c>
      <c r="AD57" s="2">
        <f t="shared" si="0"/>
        <v>2.4899999999999949</v>
      </c>
      <c r="AE57" s="138">
        <f t="shared" si="1"/>
        <v>-1.5808261091279974E-2</v>
      </c>
    </row>
    <row r="58" spans="2:31" x14ac:dyDescent="0.25">
      <c r="B58" s="157"/>
      <c r="C58" s="10"/>
      <c r="D58" s="40"/>
      <c r="E58" s="40"/>
      <c r="F58" s="40"/>
      <c r="G58" s="40"/>
      <c r="H58" s="231"/>
      <c r="I58" s="40"/>
      <c r="O58" s="83">
        <v>0.93</v>
      </c>
      <c r="P58" s="83">
        <f t="shared" si="24"/>
        <v>105.68520000000001</v>
      </c>
      <c r="T58" s="93" t="s">
        <v>109</v>
      </c>
      <c r="U58" s="130" t="s">
        <v>509</v>
      </c>
      <c r="W58" s="133">
        <v>42685</v>
      </c>
      <c r="X58" s="10">
        <v>119.49</v>
      </c>
      <c r="Y58" s="10">
        <v>119.49</v>
      </c>
      <c r="Z58" s="10">
        <v>118.13</v>
      </c>
      <c r="AA58" s="10">
        <v>118.47</v>
      </c>
      <c r="AB58" s="95">
        <v>8134800</v>
      </c>
      <c r="AC58" s="10">
        <v>117.66</v>
      </c>
      <c r="AD58" s="2">
        <f t="shared" si="0"/>
        <v>1.3599999999999994</v>
      </c>
      <c r="AE58" s="138">
        <f t="shared" si="1"/>
        <v>-8.9285714285713969E-3</v>
      </c>
    </row>
    <row r="59" spans="2:31" x14ac:dyDescent="0.25">
      <c r="B59" s="157"/>
      <c r="C59" s="10"/>
      <c r="D59" s="40"/>
      <c r="E59" s="40"/>
      <c r="F59" s="40"/>
      <c r="G59" s="40"/>
      <c r="H59" s="231"/>
      <c r="I59" s="40"/>
      <c r="O59" s="83">
        <v>0.92</v>
      </c>
      <c r="P59" s="83">
        <f t="shared" si="24"/>
        <v>104.5488</v>
      </c>
      <c r="W59" s="133">
        <v>42684</v>
      </c>
      <c r="X59" s="10">
        <v>120.77</v>
      </c>
      <c r="Y59" s="10">
        <v>121.1</v>
      </c>
      <c r="Z59" s="10">
        <v>119.02</v>
      </c>
      <c r="AA59" s="10">
        <v>119.54</v>
      </c>
      <c r="AB59" s="95">
        <v>11904500</v>
      </c>
      <c r="AC59" s="10">
        <v>118.72</v>
      </c>
      <c r="AD59" s="2">
        <f t="shared" si="0"/>
        <v>2.0799999999999983</v>
      </c>
      <c r="AE59" s="138">
        <f t="shared" si="1"/>
        <v>-6.3608972212922943E-3</v>
      </c>
    </row>
    <row r="60" spans="2:31" x14ac:dyDescent="0.25">
      <c r="B60" s="157"/>
      <c r="C60" s="10"/>
      <c r="D60" s="40"/>
      <c r="E60" s="40"/>
      <c r="F60" s="40"/>
      <c r="G60" s="40"/>
      <c r="H60" s="231"/>
      <c r="I60" s="40"/>
      <c r="O60" s="83">
        <v>0.91</v>
      </c>
      <c r="P60" s="83">
        <f t="shared" si="24"/>
        <v>103.41240000000001</v>
      </c>
      <c r="W60" s="133">
        <v>42683</v>
      </c>
      <c r="X60" s="10">
        <v>120</v>
      </c>
      <c r="Y60" s="10">
        <v>122.5</v>
      </c>
      <c r="Z60" s="10">
        <v>118.1</v>
      </c>
      <c r="AA60" s="10">
        <v>120.31</v>
      </c>
      <c r="AB60" s="95">
        <v>16220000</v>
      </c>
      <c r="AC60" s="10">
        <v>119.48</v>
      </c>
      <c r="AD60" s="2">
        <f t="shared" si="0"/>
        <v>4.4000000000000057</v>
      </c>
      <c r="AE60" s="138">
        <f t="shared" si="1"/>
        <v>2.7784946236559138E-2</v>
      </c>
    </row>
    <row r="61" spans="2:31" x14ac:dyDescent="0.25">
      <c r="B61" s="157"/>
      <c r="C61" s="10"/>
      <c r="D61" s="40"/>
      <c r="E61" s="40"/>
      <c r="F61" s="40"/>
      <c r="G61" s="40"/>
      <c r="H61" s="231"/>
      <c r="I61" s="40"/>
      <c r="O61" s="83">
        <v>0.9</v>
      </c>
      <c r="P61" s="83">
        <f t="shared" si="24"/>
        <v>102.276</v>
      </c>
      <c r="W61" s="133">
        <v>42682</v>
      </c>
      <c r="X61" s="10">
        <v>116.48</v>
      </c>
      <c r="Y61" s="10">
        <v>117.57</v>
      </c>
      <c r="Z61" s="10">
        <v>116.47</v>
      </c>
      <c r="AA61" s="10">
        <v>117.05</v>
      </c>
      <c r="AB61" s="95">
        <v>6675300</v>
      </c>
      <c r="AC61" s="10">
        <v>116.25</v>
      </c>
      <c r="AD61" s="2">
        <f t="shared" si="0"/>
        <v>1.0999999999999943</v>
      </c>
      <c r="AE61" s="138">
        <f t="shared" si="1"/>
        <v>3.3661315380630885E-3</v>
      </c>
    </row>
    <row r="62" spans="2:31" x14ac:dyDescent="0.25">
      <c r="B62" s="157"/>
      <c r="C62" s="10"/>
      <c r="D62" s="40"/>
      <c r="E62" s="40"/>
      <c r="F62" s="40"/>
      <c r="G62" s="40"/>
      <c r="H62" s="231"/>
      <c r="I62" s="40"/>
      <c r="W62" s="133">
        <v>42681</v>
      </c>
      <c r="X62" s="10">
        <v>115.89</v>
      </c>
      <c r="Y62" s="10">
        <v>116.72</v>
      </c>
      <c r="Z62" s="10">
        <v>115.84</v>
      </c>
      <c r="AA62" s="10">
        <v>116.66</v>
      </c>
      <c r="AB62" s="95">
        <v>6398200</v>
      </c>
      <c r="AC62" s="10">
        <v>115.86</v>
      </c>
      <c r="AD62" s="2">
        <f t="shared" si="0"/>
        <v>0.87999999999999545</v>
      </c>
      <c r="AE62" s="138">
        <f t="shared" si="1"/>
        <v>1.3470958712386238E-2</v>
      </c>
    </row>
    <row r="63" spans="2:31" x14ac:dyDescent="0.25">
      <c r="B63" s="157"/>
      <c r="C63" s="10"/>
      <c r="D63" s="40"/>
      <c r="E63" s="40"/>
      <c r="F63" s="40"/>
      <c r="G63" s="40"/>
      <c r="H63" s="231"/>
      <c r="I63" s="40"/>
      <c r="W63" s="133">
        <v>42678</v>
      </c>
      <c r="X63" s="10">
        <v>115.04</v>
      </c>
      <c r="Y63" s="10">
        <v>115.94</v>
      </c>
      <c r="Z63" s="10">
        <v>115.04</v>
      </c>
      <c r="AA63" s="10">
        <v>115.11</v>
      </c>
      <c r="AB63" s="95">
        <v>7160600</v>
      </c>
      <c r="AC63" s="10">
        <v>114.32</v>
      </c>
      <c r="AD63" s="2">
        <f t="shared" si="0"/>
        <v>0.89999999999999147</v>
      </c>
      <c r="AE63" s="138">
        <f t="shared" si="1"/>
        <v>7.0028011204481544E-4</v>
      </c>
    </row>
    <row r="64" spans="2:31" x14ac:dyDescent="0.25">
      <c r="B64" s="157"/>
      <c r="C64" s="10"/>
      <c r="D64" s="40"/>
      <c r="E64" s="40"/>
      <c r="F64" s="40"/>
      <c r="G64" s="40"/>
      <c r="H64" s="231"/>
      <c r="I64" s="40"/>
      <c r="W64" s="133">
        <v>42677</v>
      </c>
      <c r="X64" s="10">
        <v>114.88</v>
      </c>
      <c r="Y64" s="10">
        <v>115.44</v>
      </c>
      <c r="Z64" s="10">
        <v>114.75</v>
      </c>
      <c r="AA64" s="10">
        <v>115.03</v>
      </c>
      <c r="AB64" s="95">
        <v>6227100</v>
      </c>
      <c r="AC64" s="10">
        <v>114.24</v>
      </c>
      <c r="AD64" s="2">
        <f t="shared" si="0"/>
        <v>0.68999999999999773</v>
      </c>
      <c r="AE64" s="138">
        <f t="shared" si="1"/>
        <v>1.4903129657228842E-3</v>
      </c>
    </row>
    <row r="65" spans="2:31" x14ac:dyDescent="0.25">
      <c r="B65" s="157"/>
      <c r="C65" s="10"/>
      <c r="D65" s="40"/>
      <c r="E65" s="40"/>
      <c r="F65" s="40"/>
      <c r="G65" s="40"/>
      <c r="H65" s="231"/>
      <c r="I65" s="40"/>
      <c r="W65" s="133">
        <v>42676</v>
      </c>
      <c r="X65" s="10">
        <v>115.52</v>
      </c>
      <c r="Y65" s="10">
        <v>115.76</v>
      </c>
      <c r="Z65" s="10">
        <v>114.83</v>
      </c>
      <c r="AA65" s="10">
        <v>114.86</v>
      </c>
      <c r="AB65" s="95">
        <v>6591300</v>
      </c>
      <c r="AC65" s="10">
        <v>114.07</v>
      </c>
      <c r="AD65" s="2">
        <f t="shared" si="0"/>
        <v>0.93000000000000682</v>
      </c>
      <c r="AE65" s="138">
        <f t="shared" si="1"/>
        <v>-4.1903099083370199E-3</v>
      </c>
    </row>
    <row r="66" spans="2:31" x14ac:dyDescent="0.25">
      <c r="B66" s="157"/>
      <c r="C66" s="10"/>
      <c r="D66" s="40"/>
      <c r="E66" s="40"/>
      <c r="F66" s="40"/>
      <c r="G66" s="40"/>
      <c r="H66" s="231"/>
      <c r="I66" s="40"/>
      <c r="W66" s="133">
        <v>42675</v>
      </c>
      <c r="X66" s="10">
        <v>114.76</v>
      </c>
      <c r="Y66" s="10">
        <v>115.94</v>
      </c>
      <c r="Z66" s="10">
        <v>114.63</v>
      </c>
      <c r="AA66" s="10">
        <v>115.34</v>
      </c>
      <c r="AB66" s="95">
        <v>7591900</v>
      </c>
      <c r="AC66" s="10">
        <v>114.55</v>
      </c>
      <c r="AD66" s="2">
        <f t="shared" si="0"/>
        <v>1.3100000000000023</v>
      </c>
      <c r="AE66" s="138">
        <f t="shared" si="1"/>
        <v>-5.5560378505078445E-3</v>
      </c>
    </row>
    <row r="67" spans="2:31" x14ac:dyDescent="0.25">
      <c r="B67" s="157"/>
      <c r="C67" s="10"/>
      <c r="D67" s="40"/>
      <c r="E67" s="40"/>
      <c r="F67" s="40"/>
      <c r="G67" s="40"/>
      <c r="H67" s="231"/>
      <c r="I67" s="40"/>
      <c r="W67" s="133">
        <v>42674</v>
      </c>
      <c r="X67" s="10">
        <v>115.28</v>
      </c>
      <c r="Y67" s="10">
        <v>116.23</v>
      </c>
      <c r="Z67" s="10">
        <v>114.5</v>
      </c>
      <c r="AA67" s="10">
        <v>115.99</v>
      </c>
      <c r="AB67" s="95">
        <v>8552500</v>
      </c>
      <c r="AC67" s="10">
        <v>115.19</v>
      </c>
      <c r="AD67" s="2">
        <f>Y67-Z67</f>
        <v>1.730000000000004</v>
      </c>
      <c r="AE67" s="138" t="e">
        <f>AC67/#REF!-1</f>
        <v>#REF!</v>
      </c>
    </row>
    <row r="68" spans="2:31" x14ac:dyDescent="0.25">
      <c r="B68" s="157"/>
      <c r="C68" s="10"/>
      <c r="D68" s="40"/>
      <c r="E68" s="40"/>
      <c r="F68" s="40"/>
      <c r="G68" s="40"/>
      <c r="H68" s="231"/>
      <c r="I68" s="40"/>
      <c r="W68" s="133">
        <v>42671</v>
      </c>
      <c r="X68" s="10">
        <v>115.82</v>
      </c>
      <c r="Y68" s="10">
        <v>115.91</v>
      </c>
      <c r="Z68" s="10">
        <v>114.57</v>
      </c>
      <c r="AA68" s="10">
        <v>115.33</v>
      </c>
      <c r="AB68" s="95">
        <v>8813300</v>
      </c>
      <c r="AC68" s="10">
        <v>114.54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157"/>
      <c r="C69" s="10"/>
      <c r="D69" s="40"/>
      <c r="E69" s="40"/>
      <c r="F69" s="40"/>
      <c r="G69" s="40"/>
      <c r="H69" s="231"/>
      <c r="I69" s="40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{7AB8E5AC-E815-441A-82CC-9E73D39FC8B9}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715" priority="9">
      <formula>F33&gt;0</formula>
    </cfRule>
    <cfRule type="expression" dxfId="714" priority="10">
      <formula>F33&lt;0</formula>
    </cfRule>
  </conditionalFormatting>
  <conditionalFormatting sqref="Q7">
    <cfRule type="expression" dxfId="713" priority="7">
      <formula>Q7&gt;0</formula>
    </cfRule>
    <cfRule type="expression" dxfId="712" priority="8">
      <formula>Q7&lt;0</formula>
    </cfRule>
  </conditionalFormatting>
  <conditionalFormatting sqref="Q8">
    <cfRule type="expression" dxfId="711" priority="5">
      <formula>Q8&gt;0</formula>
    </cfRule>
    <cfRule type="expression" dxfId="710" priority="6">
      <formula>Q8&lt;0</formula>
    </cfRule>
  </conditionalFormatting>
  <conditionalFormatting sqref="F25:F32">
    <cfRule type="expression" dxfId="709" priority="3">
      <formula>F25&gt;0</formula>
    </cfRule>
    <cfRule type="expression" dxfId="708" priority="4">
      <formula>F25&lt;0</formula>
    </cfRule>
  </conditionalFormatting>
  <conditionalFormatting sqref="H25:H32">
    <cfRule type="expression" dxfId="707" priority="1">
      <formula>H25&gt;0</formula>
    </cfRule>
    <cfRule type="expression" dxfId="706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AB8E5AC-E815-441A-82CC-9E73D39FC8B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272"/>
  <sheetViews>
    <sheetView workbookViewId="0">
      <pane ySplit="1" topLeftCell="A92" activePane="bottomLeft" state="frozen"/>
      <selection activeCell="A2" sqref="A2"/>
      <selection pane="bottomLeft" activeCell="C103" sqref="C103:F103"/>
    </sheetView>
  </sheetViews>
  <sheetFormatPr defaultRowHeight="15" x14ac:dyDescent="0.25"/>
  <cols>
    <col min="1" max="1" width="11.28515625" customWidth="1"/>
    <col min="4" max="4" width="9.140625" style="80"/>
    <col min="5" max="5" width="9.140625" style="2"/>
    <col min="6" max="6" width="10.5703125" style="2" bestFit="1" customWidth="1"/>
    <col min="7" max="7" width="9.5703125" bestFit="1" customWidth="1"/>
    <col min="9" max="9" width="15" style="80" bestFit="1" customWidth="1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8.5703125" customWidth="1"/>
    <col min="21" max="21" width="36" style="34" customWidth="1"/>
    <col min="23" max="23" width="10.5703125" style="30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8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8" t="s">
        <v>7</v>
      </c>
      <c r="J1" s="21" t="s">
        <v>95</v>
      </c>
      <c r="K1" s="21" t="s">
        <v>61</v>
      </c>
      <c r="L1" s="15" t="s">
        <v>37</v>
      </c>
      <c r="M1" s="15" t="s">
        <v>38</v>
      </c>
      <c r="T1" s="11" t="s">
        <v>70</v>
      </c>
      <c r="U1" s="33"/>
      <c r="W1" s="122" t="s">
        <v>114</v>
      </c>
      <c r="X1" s="111" t="s">
        <v>115</v>
      </c>
      <c r="Y1" s="111" t="s">
        <v>116</v>
      </c>
      <c r="Z1" s="111" t="s">
        <v>117</v>
      </c>
      <c r="AA1" s="111" t="s">
        <v>118</v>
      </c>
      <c r="AB1" s="108" t="s">
        <v>119</v>
      </c>
      <c r="AC1" s="108" t="s">
        <v>120</v>
      </c>
      <c r="AD1" s="11" t="s">
        <v>126</v>
      </c>
      <c r="AE1" s="11" t="s">
        <v>128</v>
      </c>
    </row>
    <row r="2" spans="1:42" x14ac:dyDescent="0.25">
      <c r="A2" s="6" t="s">
        <v>17</v>
      </c>
      <c r="B2" s="459">
        <v>42153</v>
      </c>
      <c r="C2" s="7">
        <v>1</v>
      </c>
      <c r="D2" s="79">
        <v>20.3</v>
      </c>
      <c r="E2" s="44">
        <v>0</v>
      </c>
      <c r="F2" s="44">
        <f>C2*D2</f>
        <v>20.3</v>
      </c>
      <c r="G2" s="459">
        <v>42235</v>
      </c>
      <c r="H2" s="7">
        <v>600</v>
      </c>
      <c r="I2" s="79">
        <v>17.55</v>
      </c>
      <c r="J2" s="44">
        <v>0.19</v>
      </c>
      <c r="K2" s="44">
        <f>H2*I2-J2</f>
        <v>10529.81</v>
      </c>
      <c r="L2" t="s">
        <v>80</v>
      </c>
      <c r="O2" s="11" t="s">
        <v>57</v>
      </c>
      <c r="Q2">
        <f>C107-H107</f>
        <v>2000</v>
      </c>
      <c r="T2" s="158"/>
      <c r="U2" s="34" t="s">
        <v>243</v>
      </c>
      <c r="W2" s="123">
        <v>42768</v>
      </c>
      <c r="X2" s="41">
        <v>11.49</v>
      </c>
      <c r="Y2" s="41">
        <v>11.6</v>
      </c>
      <c r="Z2" s="41">
        <v>11.31</v>
      </c>
      <c r="AA2" s="41">
        <v>11.51</v>
      </c>
      <c r="AB2" s="104">
        <v>3936400</v>
      </c>
      <c r="AC2" s="9">
        <v>11.51</v>
      </c>
      <c r="AD2" s="2">
        <f>Y2-Z2</f>
        <v>0.28999999999999915</v>
      </c>
      <c r="AE2" s="138">
        <f>AC2/AC3-1</f>
        <v>3.4873583260679464E-3</v>
      </c>
    </row>
    <row r="3" spans="1:42" x14ac:dyDescent="0.25">
      <c r="A3" s="23" t="s">
        <v>71</v>
      </c>
      <c r="B3" s="459">
        <v>42164</v>
      </c>
      <c r="C3" s="7">
        <v>10</v>
      </c>
      <c r="D3" s="79">
        <v>19.79</v>
      </c>
      <c r="E3" s="44">
        <v>0</v>
      </c>
      <c r="F3" s="44">
        <f t="shared" ref="F3:F24" si="0">C3*D3</f>
        <v>197.89999999999998</v>
      </c>
      <c r="G3" s="459">
        <v>42235</v>
      </c>
      <c r="H3" s="7">
        <v>400</v>
      </c>
      <c r="I3" s="79">
        <v>17.559999999999999</v>
      </c>
      <c r="J3" s="44">
        <v>0.13</v>
      </c>
      <c r="K3" s="44">
        <f>H3*I3-J3</f>
        <v>7023.869999999999</v>
      </c>
      <c r="O3" s="11" t="s">
        <v>75</v>
      </c>
      <c r="Q3" s="495">
        <f>IF(Q2=0, Q4, (F107-K107)/Q2)</f>
        <v>24.734090000000084</v>
      </c>
      <c r="T3" s="163">
        <v>42640</v>
      </c>
      <c r="U3" s="34" t="s">
        <v>275</v>
      </c>
      <c r="W3" s="123">
        <v>42767</v>
      </c>
      <c r="X3" s="41">
        <v>11.81</v>
      </c>
      <c r="Y3" s="41">
        <v>11.88</v>
      </c>
      <c r="Z3" s="41">
        <v>11.42</v>
      </c>
      <c r="AA3" s="41">
        <v>11.47</v>
      </c>
      <c r="AB3" s="104">
        <v>4503900</v>
      </c>
      <c r="AC3" s="9">
        <v>11.47</v>
      </c>
      <c r="AD3" s="2">
        <f t="shared" ref="AD3:AD66" si="1">Y3-Z3</f>
        <v>0.46000000000000085</v>
      </c>
      <c r="AE3" s="138">
        <f t="shared" ref="AE3:AE66" si="2">AC3/AC4-1</f>
        <v>-2.7966101694915313E-2</v>
      </c>
      <c r="AJ3" s="235"/>
      <c r="AL3" s="234"/>
      <c r="AO3" s="234"/>
    </row>
    <row r="4" spans="1:42" x14ac:dyDescent="0.25">
      <c r="B4" s="459">
        <v>42164</v>
      </c>
      <c r="C4" s="7">
        <v>50</v>
      </c>
      <c r="D4" s="79">
        <v>19.7</v>
      </c>
      <c r="E4" s="44">
        <v>0</v>
      </c>
      <c r="F4" s="44">
        <f t="shared" si="0"/>
        <v>985</v>
      </c>
      <c r="G4" s="459">
        <v>42265</v>
      </c>
      <c r="H4" s="82">
        <v>411</v>
      </c>
      <c r="I4" s="79">
        <v>15.83</v>
      </c>
      <c r="J4" s="44">
        <v>0.12</v>
      </c>
      <c r="K4" s="44">
        <f t="shared" ref="K4:K12" si="3">H4*I4-J4</f>
        <v>6506.01</v>
      </c>
      <c r="O4" s="11" t="s">
        <v>66</v>
      </c>
      <c r="Q4" s="56">
        <v>11.65</v>
      </c>
      <c r="R4" s="505">
        <v>1.2200000000000001E-2</v>
      </c>
      <c r="T4" s="1"/>
      <c r="W4" s="123">
        <v>42766</v>
      </c>
      <c r="X4" s="41">
        <v>11.46</v>
      </c>
      <c r="Y4" s="41">
        <v>11.85</v>
      </c>
      <c r="Z4" s="41">
        <v>11.46</v>
      </c>
      <c r="AA4" s="41">
        <v>11.8</v>
      </c>
      <c r="AB4" s="104">
        <v>3043800</v>
      </c>
      <c r="AC4" s="9">
        <v>11.8</v>
      </c>
      <c r="AD4" s="2">
        <f t="shared" si="1"/>
        <v>0.38999999999999879</v>
      </c>
      <c r="AE4" s="138">
        <f t="shared" si="2"/>
        <v>2.1645021645021689E-2</v>
      </c>
      <c r="AL4" s="234"/>
      <c r="AO4" s="234"/>
    </row>
    <row r="5" spans="1:42" x14ac:dyDescent="0.25">
      <c r="B5" s="459">
        <v>42166</v>
      </c>
      <c r="C5" s="7">
        <v>39</v>
      </c>
      <c r="D5" s="79">
        <v>19.25</v>
      </c>
      <c r="E5" s="44">
        <v>0</v>
      </c>
      <c r="F5" s="44">
        <f t="shared" si="0"/>
        <v>750.75</v>
      </c>
      <c r="G5" s="459">
        <v>42284</v>
      </c>
      <c r="H5" s="82">
        <v>650</v>
      </c>
      <c r="I5" s="79">
        <v>15.07</v>
      </c>
      <c r="J5" s="44">
        <v>0.18</v>
      </c>
      <c r="K5" s="44">
        <f t="shared" si="3"/>
        <v>9795.32</v>
      </c>
      <c r="O5" s="11" t="s">
        <v>67</v>
      </c>
      <c r="Q5" s="2">
        <f>Q4*Q2</f>
        <v>23300</v>
      </c>
      <c r="T5" s="1"/>
      <c r="W5" s="123">
        <v>42765</v>
      </c>
      <c r="X5" s="41">
        <v>11.75</v>
      </c>
      <c r="Y5" s="41">
        <v>11.77</v>
      </c>
      <c r="Z5" s="41">
        <v>11.43</v>
      </c>
      <c r="AA5" s="41">
        <v>11.55</v>
      </c>
      <c r="AB5" s="104">
        <v>2967600</v>
      </c>
      <c r="AC5" s="9">
        <v>11.55</v>
      </c>
      <c r="AD5" s="2">
        <f t="shared" si="1"/>
        <v>0.33999999999999986</v>
      </c>
      <c r="AE5" s="138">
        <f t="shared" si="2"/>
        <v>-1.869158878504662E-2</v>
      </c>
      <c r="AL5" s="234"/>
      <c r="AO5" s="234"/>
    </row>
    <row r="6" spans="1:42" x14ac:dyDescent="0.25">
      <c r="B6" s="459">
        <v>42174</v>
      </c>
      <c r="C6" s="4">
        <v>20</v>
      </c>
      <c r="D6" s="240">
        <v>19.059999999999999</v>
      </c>
      <c r="E6" s="3">
        <v>0</v>
      </c>
      <c r="F6" s="3">
        <f t="shared" si="0"/>
        <v>381.2</v>
      </c>
      <c r="G6" s="459">
        <v>42284</v>
      </c>
      <c r="H6" s="82">
        <v>100</v>
      </c>
      <c r="I6" s="79">
        <v>15.25</v>
      </c>
      <c r="J6" s="44">
        <v>0.03</v>
      </c>
      <c r="K6" s="44">
        <f t="shared" si="3"/>
        <v>1524.97</v>
      </c>
      <c r="O6" s="11" t="s">
        <v>64</v>
      </c>
      <c r="Q6" s="2">
        <f>Q3*Q2</f>
        <v>49468.180000000168</v>
      </c>
      <c r="W6" s="123">
        <v>42762</v>
      </c>
      <c r="X6" s="41">
        <v>11.77</v>
      </c>
      <c r="Y6" s="41">
        <v>11.83</v>
      </c>
      <c r="Z6" s="41">
        <v>11.66</v>
      </c>
      <c r="AA6" s="41">
        <v>11.77</v>
      </c>
      <c r="AB6" s="104">
        <v>2288800</v>
      </c>
      <c r="AC6" s="9">
        <v>11.77</v>
      </c>
      <c r="AD6" s="2">
        <f t="shared" si="1"/>
        <v>0.16999999999999993</v>
      </c>
      <c r="AE6" s="138">
        <f t="shared" si="2"/>
        <v>0</v>
      </c>
      <c r="AL6" s="234"/>
      <c r="AO6" s="234"/>
    </row>
    <row r="7" spans="1:42" x14ac:dyDescent="0.25">
      <c r="B7" s="459">
        <v>42177</v>
      </c>
      <c r="C7" s="4">
        <v>20</v>
      </c>
      <c r="D7" s="240">
        <v>18.899999999999999</v>
      </c>
      <c r="E7" s="3">
        <v>0</v>
      </c>
      <c r="F7" s="3">
        <f t="shared" si="0"/>
        <v>378</v>
      </c>
      <c r="G7" s="459">
        <v>42285</v>
      </c>
      <c r="H7" s="82">
        <v>639</v>
      </c>
      <c r="I7" s="79">
        <v>15.95</v>
      </c>
      <c r="J7" s="44">
        <v>0.19</v>
      </c>
      <c r="K7" s="44">
        <f t="shared" si="3"/>
        <v>10191.859999999999</v>
      </c>
      <c r="O7" s="11" t="s">
        <v>181</v>
      </c>
      <c r="Q7" s="2">
        <f>Q10+Q8</f>
        <v>-26168.180000000168</v>
      </c>
      <c r="R7">
        <v>1500</v>
      </c>
      <c r="W7" s="123">
        <v>42761</v>
      </c>
      <c r="X7" s="41">
        <v>11.83</v>
      </c>
      <c r="Y7" s="41">
        <v>11.91</v>
      </c>
      <c r="Z7" s="41">
        <v>11.67</v>
      </c>
      <c r="AA7" s="41">
        <v>11.77</v>
      </c>
      <c r="AB7" s="104">
        <v>8485200</v>
      </c>
      <c r="AC7" s="9">
        <v>11.77</v>
      </c>
      <c r="AD7" s="2">
        <f t="shared" si="1"/>
        <v>0.24000000000000021</v>
      </c>
      <c r="AE7" s="138">
        <f t="shared" si="2"/>
        <v>-3.3869602032177148E-3</v>
      </c>
      <c r="AL7" s="234"/>
      <c r="AO7" s="234"/>
    </row>
    <row r="8" spans="1:42" x14ac:dyDescent="0.25">
      <c r="B8" s="459">
        <v>42185</v>
      </c>
      <c r="C8" s="4">
        <v>50</v>
      </c>
      <c r="D8" s="240">
        <v>18.72</v>
      </c>
      <c r="E8" s="3">
        <v>0</v>
      </c>
      <c r="F8" s="3">
        <f t="shared" si="0"/>
        <v>936</v>
      </c>
      <c r="G8" s="459">
        <v>42291</v>
      </c>
      <c r="H8" s="82">
        <v>1009</v>
      </c>
      <c r="I8" s="79">
        <v>16.48</v>
      </c>
      <c r="J8" s="44">
        <v>0.31</v>
      </c>
      <c r="K8" s="44">
        <f t="shared" si="3"/>
        <v>16628.009999999998</v>
      </c>
      <c r="O8" s="11" t="s">
        <v>184</v>
      </c>
      <c r="P8" s="34"/>
      <c r="Q8" s="2">
        <f>K107+M107-F107+Q2*Q4</f>
        <v>-26168.180000000168</v>
      </c>
      <c r="R8" s="166"/>
      <c r="W8" s="123">
        <v>42760</v>
      </c>
      <c r="X8" s="41">
        <v>11.87</v>
      </c>
      <c r="Y8" s="41">
        <v>11.94</v>
      </c>
      <c r="Z8" s="41">
        <v>11.76</v>
      </c>
      <c r="AA8" s="41">
        <v>11.81</v>
      </c>
      <c r="AB8" s="104">
        <v>6298600</v>
      </c>
      <c r="AC8" s="9">
        <v>11.81</v>
      </c>
      <c r="AD8" s="2">
        <f t="shared" si="1"/>
        <v>0.17999999999999972</v>
      </c>
      <c r="AE8" s="138">
        <f t="shared" si="2"/>
        <v>-2.5337837837837718E-3</v>
      </c>
      <c r="AL8" s="234"/>
      <c r="AO8" s="234"/>
    </row>
    <row r="9" spans="1:42" x14ac:dyDescent="0.25">
      <c r="B9" s="459">
        <v>42187</v>
      </c>
      <c r="C9" s="4">
        <v>1000</v>
      </c>
      <c r="D9" s="240">
        <v>18.45</v>
      </c>
      <c r="E9" s="3">
        <v>0</v>
      </c>
      <c r="F9" s="3">
        <f t="shared" si="0"/>
        <v>18450</v>
      </c>
      <c r="G9" s="459">
        <v>42327</v>
      </c>
      <c r="H9" s="82">
        <v>3006</v>
      </c>
      <c r="I9" s="79">
        <v>14.75</v>
      </c>
      <c r="J9" s="44">
        <v>0.82</v>
      </c>
      <c r="K9" s="44">
        <f t="shared" si="3"/>
        <v>44337.68</v>
      </c>
      <c r="O9" s="11" t="s">
        <v>214</v>
      </c>
      <c r="Q9" s="138">
        <f>IF(Q2=0, 0, Q8/Q6)</f>
        <v>-0.52899015084040046</v>
      </c>
      <c r="W9" s="123">
        <v>42759</v>
      </c>
      <c r="X9" s="41">
        <v>11.76</v>
      </c>
      <c r="Y9" s="41">
        <v>11.96</v>
      </c>
      <c r="Z9" s="41">
        <v>11.72</v>
      </c>
      <c r="AA9" s="41">
        <v>11.84</v>
      </c>
      <c r="AB9" s="104">
        <v>3617400</v>
      </c>
      <c r="AC9" s="9">
        <v>11.84</v>
      </c>
      <c r="AD9" s="2">
        <f t="shared" si="1"/>
        <v>0.24000000000000021</v>
      </c>
      <c r="AE9" s="138">
        <f t="shared" si="2"/>
        <v>1.1101622544833489E-2</v>
      </c>
      <c r="AL9" s="234"/>
      <c r="AO9" s="234"/>
    </row>
    <row r="10" spans="1:42" x14ac:dyDescent="0.25">
      <c r="B10" s="459">
        <v>42187</v>
      </c>
      <c r="C10">
        <v>2000</v>
      </c>
      <c r="D10" s="80">
        <v>18.399999999999999</v>
      </c>
      <c r="E10" s="2">
        <v>0</v>
      </c>
      <c r="F10" s="2">
        <f t="shared" si="0"/>
        <v>36800</v>
      </c>
      <c r="G10" s="459">
        <v>42331</v>
      </c>
      <c r="H10" s="82">
        <v>1000</v>
      </c>
      <c r="I10" s="79">
        <v>14.55</v>
      </c>
      <c r="J10" s="44">
        <v>0.27</v>
      </c>
      <c r="K10" s="44">
        <f t="shared" si="3"/>
        <v>14549.73</v>
      </c>
      <c r="O10" s="11" t="s">
        <v>213</v>
      </c>
      <c r="P10" s="34"/>
      <c r="Q10" s="2">
        <v>0</v>
      </c>
      <c r="W10" s="123">
        <v>42758</v>
      </c>
      <c r="X10" s="41">
        <v>12.08</v>
      </c>
      <c r="Y10" s="41">
        <v>12.16</v>
      </c>
      <c r="Z10" s="41">
        <v>11.63</v>
      </c>
      <c r="AA10" s="41">
        <v>11.71</v>
      </c>
      <c r="AB10" s="104">
        <v>5840800</v>
      </c>
      <c r="AC10" s="9">
        <v>11.71</v>
      </c>
      <c r="AD10" s="2">
        <f t="shared" si="1"/>
        <v>0.52999999999999936</v>
      </c>
      <c r="AE10" s="138">
        <f t="shared" si="2"/>
        <v>-2.9826014913007404E-2</v>
      </c>
      <c r="AL10" s="234"/>
      <c r="AO10" s="234"/>
    </row>
    <row r="11" spans="1:42" x14ac:dyDescent="0.25">
      <c r="B11" s="459">
        <v>42187</v>
      </c>
      <c r="C11">
        <v>210</v>
      </c>
      <c r="D11" s="80">
        <v>18.12</v>
      </c>
      <c r="E11" s="2">
        <v>0</v>
      </c>
      <c r="F11" s="2">
        <f t="shared" si="0"/>
        <v>3805.2000000000003</v>
      </c>
      <c r="G11" s="459">
        <v>42341</v>
      </c>
      <c r="H11" s="82">
        <v>1000</v>
      </c>
      <c r="I11" s="79">
        <v>14.78</v>
      </c>
      <c r="J11" s="44">
        <v>0.28000000000000003</v>
      </c>
      <c r="K11" s="44">
        <f t="shared" si="3"/>
        <v>14779.72</v>
      </c>
      <c r="O11" s="11" t="s">
        <v>178</v>
      </c>
      <c r="P11" s="34"/>
      <c r="Q11" s="138">
        <f>IF(U58="N/A (N/A)", 0, VALUE(TRIM(CLEAN(MID(U58, FIND("(", U58)+1, 5)))))</f>
        <v>0</v>
      </c>
      <c r="T11" s="11"/>
      <c r="W11" s="123">
        <v>42755</v>
      </c>
      <c r="X11" s="41">
        <v>12.33</v>
      </c>
      <c r="Y11" s="41">
        <v>12.43</v>
      </c>
      <c r="Z11" s="41">
        <v>12</v>
      </c>
      <c r="AA11" s="41">
        <v>12.07</v>
      </c>
      <c r="AB11" s="104">
        <v>4522900</v>
      </c>
      <c r="AC11" s="9">
        <v>12.07</v>
      </c>
      <c r="AD11" s="2">
        <f t="shared" si="1"/>
        <v>0.42999999999999972</v>
      </c>
      <c r="AE11" s="138">
        <f t="shared" si="2"/>
        <v>-9.8441345365052335E-3</v>
      </c>
      <c r="AL11" s="234"/>
      <c r="AO11" s="234"/>
    </row>
    <row r="12" spans="1:42" x14ac:dyDescent="0.25">
      <c r="B12" s="459">
        <v>42207</v>
      </c>
      <c r="C12" s="4">
        <v>30</v>
      </c>
      <c r="D12" s="240">
        <v>17.3</v>
      </c>
      <c r="E12" s="3">
        <v>0</v>
      </c>
      <c r="F12" s="3">
        <f t="shared" si="0"/>
        <v>519</v>
      </c>
      <c r="G12" s="459">
        <v>42341</v>
      </c>
      <c r="H12" s="82">
        <v>100</v>
      </c>
      <c r="I12" s="79">
        <v>14.8</v>
      </c>
      <c r="J12" s="44">
        <v>0.03</v>
      </c>
      <c r="K12" s="44">
        <f t="shared" si="3"/>
        <v>1479.97</v>
      </c>
      <c r="W12" s="123">
        <v>42754</v>
      </c>
      <c r="X12" s="41">
        <v>12.18</v>
      </c>
      <c r="Y12" s="41">
        <v>12.29</v>
      </c>
      <c r="Z12" s="41">
        <v>12.09</v>
      </c>
      <c r="AA12" s="41">
        <v>12.19</v>
      </c>
      <c r="AB12" s="104">
        <v>3993400</v>
      </c>
      <c r="AC12" s="9">
        <v>12.19</v>
      </c>
      <c r="AD12" s="2">
        <f t="shared" si="1"/>
        <v>0.19999999999999929</v>
      </c>
      <c r="AE12" s="138">
        <f t="shared" si="2"/>
        <v>-8.1967213114753079E-4</v>
      </c>
      <c r="AL12" s="234"/>
      <c r="AO12" s="234"/>
    </row>
    <row r="13" spans="1:42" x14ac:dyDescent="0.25">
      <c r="B13" s="459">
        <v>42207</v>
      </c>
      <c r="C13" s="4">
        <v>20</v>
      </c>
      <c r="D13" s="240">
        <v>17.399999999999999</v>
      </c>
      <c r="E13" s="3">
        <v>0</v>
      </c>
      <c r="F13" s="3">
        <f t="shared" si="0"/>
        <v>348</v>
      </c>
      <c r="G13" s="458"/>
      <c r="H13" s="7"/>
      <c r="I13" s="79"/>
      <c r="J13" s="44"/>
      <c r="K13" s="44"/>
      <c r="W13" s="123">
        <v>42753</v>
      </c>
      <c r="X13" s="41">
        <v>12.37</v>
      </c>
      <c r="Y13" s="41">
        <v>12.44</v>
      </c>
      <c r="Z13" s="41">
        <v>12.19</v>
      </c>
      <c r="AA13" s="41">
        <v>12.2</v>
      </c>
      <c r="AB13" s="104">
        <v>3716800</v>
      </c>
      <c r="AC13" s="9">
        <v>12.2</v>
      </c>
      <c r="AD13" s="2">
        <f t="shared" si="1"/>
        <v>0.25</v>
      </c>
      <c r="AE13" s="138">
        <f t="shared" si="2"/>
        <v>-1.6921837228041969E-2</v>
      </c>
    </row>
    <row r="14" spans="1:42" x14ac:dyDescent="0.25">
      <c r="B14" s="459">
        <v>42208</v>
      </c>
      <c r="C14" s="4">
        <v>100</v>
      </c>
      <c r="D14" s="240">
        <v>17.100000000000001</v>
      </c>
      <c r="E14" s="3">
        <v>0</v>
      </c>
      <c r="F14" s="3">
        <f t="shared" si="0"/>
        <v>1710.0000000000002</v>
      </c>
      <c r="G14" s="501"/>
      <c r="H14" s="7"/>
      <c r="I14" s="79"/>
      <c r="J14" s="44"/>
      <c r="K14" s="44"/>
      <c r="W14" s="123">
        <v>42752</v>
      </c>
      <c r="X14" s="41">
        <v>12.35</v>
      </c>
      <c r="Y14" s="41">
        <v>12.6</v>
      </c>
      <c r="Z14" s="41">
        <v>12.19</v>
      </c>
      <c r="AA14" s="41">
        <v>12.41</v>
      </c>
      <c r="AB14" s="104">
        <v>3685700</v>
      </c>
      <c r="AC14" s="9">
        <v>12.41</v>
      </c>
      <c r="AD14" s="2">
        <f t="shared" si="1"/>
        <v>0.41000000000000014</v>
      </c>
      <c r="AE14" s="138">
        <f t="shared" si="2"/>
        <v>1.4717906786590351E-2</v>
      </c>
    </row>
    <row r="15" spans="1:42" x14ac:dyDescent="0.25">
      <c r="B15" s="459">
        <v>42208</v>
      </c>
      <c r="C15" s="4">
        <v>50</v>
      </c>
      <c r="D15" s="240">
        <v>16.96</v>
      </c>
      <c r="E15" s="3">
        <v>0</v>
      </c>
      <c r="F15" s="3">
        <f t="shared" si="0"/>
        <v>848</v>
      </c>
      <c r="G15" s="501"/>
      <c r="H15" s="82"/>
      <c r="I15" s="79"/>
      <c r="J15" s="44"/>
      <c r="K15" s="44"/>
      <c r="V15" s="2"/>
      <c r="W15" s="123">
        <v>42748</v>
      </c>
      <c r="X15" s="41">
        <v>12.09</v>
      </c>
      <c r="Y15" s="41">
        <v>12.24</v>
      </c>
      <c r="Z15" s="41">
        <v>12.09</v>
      </c>
      <c r="AA15" s="41">
        <v>12.23</v>
      </c>
      <c r="AB15" s="104">
        <v>2467800</v>
      </c>
      <c r="AC15" s="9">
        <v>12.23</v>
      </c>
      <c r="AD15" s="2">
        <f t="shared" si="1"/>
        <v>0.15000000000000036</v>
      </c>
      <c r="AE15" s="138">
        <f t="shared" si="2"/>
        <v>8.2440230832645511E-3</v>
      </c>
      <c r="AL15" s="234"/>
      <c r="AO15" s="234"/>
      <c r="AP15" s="234"/>
    </row>
    <row r="16" spans="1:42" x14ac:dyDescent="0.25">
      <c r="B16" s="459">
        <v>42222</v>
      </c>
      <c r="C16" s="4">
        <v>200</v>
      </c>
      <c r="D16" s="240">
        <v>17.739999999999998</v>
      </c>
      <c r="E16" s="3">
        <v>0</v>
      </c>
      <c r="F16" s="3">
        <f t="shared" si="0"/>
        <v>3547.9999999999995</v>
      </c>
      <c r="G16" s="501"/>
      <c r="H16" s="82"/>
      <c r="I16" s="79"/>
      <c r="J16" s="44"/>
      <c r="K16" s="44"/>
      <c r="V16" s="2"/>
      <c r="W16" s="123">
        <v>42747</v>
      </c>
      <c r="X16" s="41">
        <v>12.04</v>
      </c>
      <c r="Y16" s="41">
        <v>12.18</v>
      </c>
      <c r="Z16" s="41">
        <v>11.99</v>
      </c>
      <c r="AA16" s="41">
        <v>12.13</v>
      </c>
      <c r="AB16" s="104">
        <v>2737000</v>
      </c>
      <c r="AC16" s="9">
        <v>12.13</v>
      </c>
      <c r="AD16" s="2">
        <f t="shared" si="1"/>
        <v>0.1899999999999995</v>
      </c>
      <c r="AE16" s="138">
        <f t="shared" si="2"/>
        <v>8.2508250825097385E-4</v>
      </c>
    </row>
    <row r="17" spans="2:42" x14ac:dyDescent="0.25">
      <c r="B17" s="459">
        <v>42222</v>
      </c>
      <c r="C17" s="4">
        <v>200</v>
      </c>
      <c r="D17" s="240">
        <v>17.850000000000001</v>
      </c>
      <c r="E17" s="3">
        <v>0</v>
      </c>
      <c r="F17" s="3">
        <f t="shared" si="0"/>
        <v>3570.0000000000005</v>
      </c>
      <c r="G17" s="501"/>
      <c r="H17" s="82"/>
      <c r="I17" s="79"/>
      <c r="J17" s="44"/>
      <c r="K17" s="44"/>
      <c r="V17" s="2"/>
      <c r="W17" s="123">
        <v>42746</v>
      </c>
      <c r="X17" s="41">
        <v>11.89</v>
      </c>
      <c r="Y17" s="41">
        <v>12.16</v>
      </c>
      <c r="Z17" s="41">
        <v>11.89</v>
      </c>
      <c r="AA17" s="41">
        <v>12.12</v>
      </c>
      <c r="AB17" s="104">
        <v>2583900</v>
      </c>
      <c r="AC17" s="9">
        <v>12.12</v>
      </c>
      <c r="AD17" s="2">
        <f t="shared" si="1"/>
        <v>0.26999999999999957</v>
      </c>
      <c r="AE17" s="138">
        <f t="shared" si="2"/>
        <v>2.2784810126582178E-2</v>
      </c>
      <c r="AL17" s="234"/>
      <c r="AO17" s="234"/>
      <c r="AP17" s="234"/>
    </row>
    <row r="18" spans="2:42" x14ac:dyDescent="0.25">
      <c r="B18" s="459">
        <v>42223</v>
      </c>
      <c r="C18" s="7">
        <v>300</v>
      </c>
      <c r="D18" s="79">
        <v>17.149999999999999</v>
      </c>
      <c r="E18" s="44">
        <v>0</v>
      </c>
      <c r="F18" s="44">
        <f t="shared" si="0"/>
        <v>5145</v>
      </c>
      <c r="G18" s="501"/>
      <c r="H18" s="82"/>
      <c r="I18" s="79"/>
      <c r="J18" s="44"/>
      <c r="K18" s="44"/>
      <c r="V18" s="2"/>
      <c r="W18" s="123">
        <v>42745</v>
      </c>
      <c r="X18" s="41">
        <v>11.87</v>
      </c>
      <c r="Y18" s="41">
        <v>11.89</v>
      </c>
      <c r="Z18" s="41">
        <v>11.7</v>
      </c>
      <c r="AA18" s="41">
        <v>11.85</v>
      </c>
      <c r="AB18" s="104">
        <v>2020600</v>
      </c>
      <c r="AC18" s="9">
        <v>11.85</v>
      </c>
      <c r="AD18" s="2">
        <f t="shared" si="1"/>
        <v>0.19000000000000128</v>
      </c>
      <c r="AE18" s="138">
        <f t="shared" si="2"/>
        <v>1.6906170752324368E-3</v>
      </c>
    </row>
    <row r="19" spans="2:42" x14ac:dyDescent="0.25">
      <c r="B19" s="459">
        <v>42223</v>
      </c>
      <c r="C19" s="7">
        <v>200</v>
      </c>
      <c r="D19" s="79">
        <v>17.170000000000002</v>
      </c>
      <c r="E19" s="44">
        <v>0</v>
      </c>
      <c r="F19" s="44">
        <f t="shared" si="0"/>
        <v>3434.0000000000005</v>
      </c>
      <c r="G19" s="501"/>
      <c r="H19" s="82"/>
      <c r="I19" s="79"/>
      <c r="J19" s="44"/>
      <c r="K19" s="44"/>
      <c r="W19" s="123">
        <v>42744</v>
      </c>
      <c r="X19" s="41">
        <v>12.04</v>
      </c>
      <c r="Y19" s="41">
        <v>12.04</v>
      </c>
      <c r="Z19" s="41">
        <v>11.77</v>
      </c>
      <c r="AA19" s="41">
        <v>11.83</v>
      </c>
      <c r="AB19" s="104">
        <v>2341900</v>
      </c>
      <c r="AC19" s="9">
        <v>11.83</v>
      </c>
      <c r="AD19" s="2">
        <f t="shared" si="1"/>
        <v>0.26999999999999957</v>
      </c>
      <c r="AE19" s="138">
        <f t="shared" si="2"/>
        <v>-1.988400994200501E-2</v>
      </c>
      <c r="AL19" s="234"/>
      <c r="AO19" s="234"/>
    </row>
    <row r="20" spans="2:42" x14ac:dyDescent="0.25">
      <c r="B20" s="459">
        <v>42223</v>
      </c>
      <c r="C20" s="4">
        <v>100</v>
      </c>
      <c r="D20" s="240">
        <v>17.37</v>
      </c>
      <c r="E20" s="3">
        <v>0</v>
      </c>
      <c r="F20" s="3">
        <f t="shared" si="0"/>
        <v>1737</v>
      </c>
      <c r="G20" s="458"/>
      <c r="H20" s="7"/>
      <c r="I20" s="79"/>
      <c r="J20" s="44"/>
      <c r="K20" s="44"/>
      <c r="W20" s="123">
        <v>42741</v>
      </c>
      <c r="X20" s="41">
        <v>11.7</v>
      </c>
      <c r="Y20" s="41">
        <v>12.09</v>
      </c>
      <c r="Z20" s="41">
        <v>11.59</v>
      </c>
      <c r="AA20" s="41">
        <v>12.07</v>
      </c>
      <c r="AB20" s="104">
        <v>3296700</v>
      </c>
      <c r="AC20" s="9">
        <v>12.07</v>
      </c>
      <c r="AD20" s="2">
        <f t="shared" si="1"/>
        <v>0.5</v>
      </c>
      <c r="AE20" s="138">
        <f t="shared" si="2"/>
        <v>3.5162950257289882E-2</v>
      </c>
    </row>
    <row r="21" spans="2:42" x14ac:dyDescent="0.25">
      <c r="B21" s="459">
        <v>42227</v>
      </c>
      <c r="C21" s="7">
        <v>100</v>
      </c>
      <c r="D21" s="79">
        <v>17.100000000000001</v>
      </c>
      <c r="E21" s="44">
        <v>0</v>
      </c>
      <c r="F21" s="44">
        <f t="shared" si="0"/>
        <v>1710.0000000000002</v>
      </c>
      <c r="G21" s="458"/>
      <c r="H21" s="7"/>
      <c r="I21" s="79"/>
      <c r="J21" s="44"/>
      <c r="K21" s="44"/>
      <c r="W21" s="123">
        <v>42740</v>
      </c>
      <c r="X21" s="41">
        <v>11.76</v>
      </c>
      <c r="Y21" s="41">
        <v>11.82</v>
      </c>
      <c r="Z21" s="41">
        <v>11.6</v>
      </c>
      <c r="AA21" s="41">
        <v>11.66</v>
      </c>
      <c r="AB21" s="104">
        <v>5572300</v>
      </c>
      <c r="AC21" s="9">
        <v>11.66</v>
      </c>
      <c r="AD21" s="2">
        <f t="shared" si="1"/>
        <v>0.22000000000000064</v>
      </c>
      <c r="AE21" s="138">
        <f t="shared" si="2"/>
        <v>-3.4188034188032956E-3</v>
      </c>
    </row>
    <row r="22" spans="2:42" x14ac:dyDescent="0.25">
      <c r="B22" s="459">
        <v>42229</v>
      </c>
      <c r="C22" s="7">
        <v>100</v>
      </c>
      <c r="D22" s="79">
        <v>16.89</v>
      </c>
      <c r="E22" s="44">
        <v>0</v>
      </c>
      <c r="F22" s="44">
        <f t="shared" si="0"/>
        <v>1689</v>
      </c>
      <c r="G22" s="458"/>
      <c r="H22" s="7"/>
      <c r="I22" s="79"/>
      <c r="J22" s="44"/>
      <c r="K22" s="44"/>
      <c r="W22" s="123">
        <v>42739</v>
      </c>
      <c r="X22" s="41">
        <v>11.42</v>
      </c>
      <c r="Y22" s="41">
        <v>11.8</v>
      </c>
      <c r="Z22" s="41">
        <v>11.42</v>
      </c>
      <c r="AA22" s="41">
        <v>11.7</v>
      </c>
      <c r="AB22" s="104">
        <v>5951100</v>
      </c>
      <c r="AC22" s="9">
        <v>11.7</v>
      </c>
      <c r="AD22" s="2">
        <f t="shared" si="1"/>
        <v>0.38000000000000078</v>
      </c>
      <c r="AE22" s="138">
        <f t="shared" si="2"/>
        <v>2.1834061135371119E-2</v>
      </c>
    </row>
    <row r="23" spans="2:42" x14ac:dyDescent="0.25">
      <c r="B23" s="459">
        <v>42233</v>
      </c>
      <c r="C23" s="7">
        <v>100</v>
      </c>
      <c r="D23" s="79">
        <v>16.5</v>
      </c>
      <c r="E23" s="44">
        <v>0</v>
      </c>
      <c r="F23" s="44">
        <f t="shared" si="0"/>
        <v>1650</v>
      </c>
      <c r="G23" s="458"/>
      <c r="H23" s="82"/>
      <c r="I23" s="79"/>
      <c r="J23" s="44"/>
      <c r="K23" s="44"/>
      <c r="M23" s="2"/>
      <c r="W23" s="123">
        <v>42738</v>
      </c>
      <c r="X23" s="41">
        <v>11.46</v>
      </c>
      <c r="Y23" s="41">
        <v>11.54</v>
      </c>
      <c r="Z23" s="41">
        <v>11.32</v>
      </c>
      <c r="AA23" s="41">
        <v>11.45</v>
      </c>
      <c r="AB23" s="104">
        <v>3167400</v>
      </c>
      <c r="AC23" s="9">
        <v>11.45</v>
      </c>
      <c r="AD23" s="2">
        <f t="shared" si="1"/>
        <v>0.21999999999999886</v>
      </c>
      <c r="AE23" s="138">
        <f t="shared" si="2"/>
        <v>1.7497812773403787E-3</v>
      </c>
    </row>
    <row r="24" spans="2:42" x14ac:dyDescent="0.25">
      <c r="B24" s="459">
        <v>42234</v>
      </c>
      <c r="C24" s="7">
        <v>100</v>
      </c>
      <c r="D24" s="79">
        <v>16.600000000000001</v>
      </c>
      <c r="E24" s="44">
        <v>0</v>
      </c>
      <c r="F24" s="44">
        <f t="shared" si="0"/>
        <v>1660.0000000000002</v>
      </c>
      <c r="G24" s="458"/>
      <c r="H24" s="82"/>
      <c r="I24" s="79"/>
      <c r="J24" s="44"/>
      <c r="K24" s="44"/>
      <c r="W24" s="123">
        <v>42734</v>
      </c>
      <c r="X24" s="41">
        <v>11.61</v>
      </c>
      <c r="Y24" s="41">
        <v>11.61</v>
      </c>
      <c r="Z24" s="41">
        <v>11.4</v>
      </c>
      <c r="AA24" s="41">
        <v>11.43</v>
      </c>
      <c r="AB24" s="104">
        <v>2775400</v>
      </c>
      <c r="AC24" s="9">
        <v>11.43</v>
      </c>
      <c r="AD24" s="2">
        <f t="shared" si="1"/>
        <v>0.20999999999999908</v>
      </c>
      <c r="AE24" s="138">
        <f t="shared" si="2"/>
        <v>-1.8041237113402109E-2</v>
      </c>
    </row>
    <row r="25" spans="2:42" x14ac:dyDescent="0.25">
      <c r="B25" s="459">
        <v>42244</v>
      </c>
      <c r="C25" s="7">
        <v>200</v>
      </c>
      <c r="D25" s="79">
        <v>15.4</v>
      </c>
      <c r="E25" s="44">
        <v>0</v>
      </c>
      <c r="F25" s="44">
        <f t="shared" ref="F25:F36" si="4">C25*D25</f>
        <v>3080</v>
      </c>
      <c r="G25" s="458"/>
      <c r="H25" s="82"/>
      <c r="I25" s="79"/>
      <c r="J25" s="44"/>
      <c r="K25" s="44"/>
      <c r="W25" s="123">
        <v>42733</v>
      </c>
      <c r="X25" s="41">
        <v>11.45</v>
      </c>
      <c r="Y25" s="41">
        <v>11.65</v>
      </c>
      <c r="Z25" s="41">
        <v>11.39</v>
      </c>
      <c r="AA25" s="41">
        <v>11.64</v>
      </c>
      <c r="AB25" s="104">
        <v>2924800</v>
      </c>
      <c r="AC25" s="9">
        <v>11.64</v>
      </c>
      <c r="AD25" s="2">
        <f t="shared" si="1"/>
        <v>0.25999999999999979</v>
      </c>
      <c r="AE25" s="138">
        <f t="shared" si="2"/>
        <v>1.5706806282722585E-2</v>
      </c>
      <c r="AL25" s="234"/>
      <c r="AO25" s="234"/>
    </row>
    <row r="26" spans="2:42" x14ac:dyDescent="0.25">
      <c r="B26" s="459">
        <v>42257</v>
      </c>
      <c r="C26" s="7">
        <v>200</v>
      </c>
      <c r="D26" s="79">
        <v>15.02</v>
      </c>
      <c r="E26" s="44">
        <v>0</v>
      </c>
      <c r="F26" s="44">
        <f t="shared" si="4"/>
        <v>3004</v>
      </c>
      <c r="G26" s="458"/>
      <c r="H26" s="82"/>
      <c r="I26" s="79"/>
      <c r="J26" s="44"/>
      <c r="K26" s="44"/>
      <c r="W26" s="123">
        <v>42732</v>
      </c>
      <c r="X26" s="41">
        <v>11.78</v>
      </c>
      <c r="Y26" s="41">
        <v>11.79</v>
      </c>
      <c r="Z26" s="41">
        <v>11.46</v>
      </c>
      <c r="AA26" s="41">
        <v>11.46</v>
      </c>
      <c r="AB26" s="104">
        <v>3649000</v>
      </c>
      <c r="AC26" s="9">
        <v>11.46</v>
      </c>
      <c r="AD26" s="2">
        <f t="shared" si="1"/>
        <v>0.32999999999999829</v>
      </c>
      <c r="AE26" s="138">
        <f t="shared" si="2"/>
        <v>-2.1349274124679796E-2</v>
      </c>
    </row>
    <row r="27" spans="2:42" x14ac:dyDescent="0.25">
      <c r="B27" s="459">
        <v>42270</v>
      </c>
      <c r="C27" s="7">
        <v>100</v>
      </c>
      <c r="D27" s="79">
        <v>15.55</v>
      </c>
      <c r="E27" s="44">
        <v>0</v>
      </c>
      <c r="F27" s="44">
        <f t="shared" si="4"/>
        <v>1555</v>
      </c>
      <c r="G27" s="458"/>
      <c r="H27" s="7"/>
      <c r="I27" s="79"/>
      <c r="J27" s="44"/>
      <c r="K27" s="44"/>
      <c r="W27" s="123">
        <v>42731</v>
      </c>
      <c r="X27" s="41">
        <v>11.69</v>
      </c>
      <c r="Y27" s="41">
        <v>11.81</v>
      </c>
      <c r="Z27" s="41">
        <v>11.6</v>
      </c>
      <c r="AA27" s="41">
        <v>11.71</v>
      </c>
      <c r="AB27" s="104">
        <v>2661400</v>
      </c>
      <c r="AC27" s="9">
        <v>11.71</v>
      </c>
      <c r="AD27" s="2">
        <f t="shared" si="1"/>
        <v>0.21000000000000085</v>
      </c>
      <c r="AE27" s="138">
        <f t="shared" si="2"/>
        <v>6.0137457044673326E-3</v>
      </c>
      <c r="AL27" s="234"/>
      <c r="AO27" s="234"/>
    </row>
    <row r="28" spans="2:42" x14ac:dyDescent="0.25">
      <c r="B28" s="459">
        <v>42270</v>
      </c>
      <c r="C28" s="7">
        <v>400</v>
      </c>
      <c r="D28" s="79">
        <v>15.52</v>
      </c>
      <c r="E28" s="44">
        <v>0</v>
      </c>
      <c r="F28" s="44">
        <f t="shared" si="4"/>
        <v>6208</v>
      </c>
      <c r="G28" s="458"/>
      <c r="H28" s="7"/>
      <c r="I28" s="79"/>
      <c r="J28" s="44"/>
      <c r="K28" s="44"/>
      <c r="W28" s="123">
        <v>42727</v>
      </c>
      <c r="X28" s="41">
        <v>11.58</v>
      </c>
      <c r="Y28" s="41">
        <v>11.67</v>
      </c>
      <c r="Z28" s="41">
        <v>11.47</v>
      </c>
      <c r="AA28" s="41">
        <v>11.64</v>
      </c>
      <c r="AB28" s="104">
        <v>1850000</v>
      </c>
      <c r="AC28" s="9">
        <v>11.64</v>
      </c>
      <c r="AD28" s="2">
        <f t="shared" si="1"/>
        <v>0.19999999999999929</v>
      </c>
      <c r="AE28" s="138">
        <f t="shared" si="2"/>
        <v>8.6655112651647936E-3</v>
      </c>
    </row>
    <row r="29" spans="2:42" x14ac:dyDescent="0.25">
      <c r="B29" s="459">
        <v>42272</v>
      </c>
      <c r="C29" s="7">
        <v>100</v>
      </c>
      <c r="D29" s="79">
        <v>14.95</v>
      </c>
      <c r="E29" s="44">
        <v>0</v>
      </c>
      <c r="F29" s="44">
        <f t="shared" si="4"/>
        <v>1495</v>
      </c>
      <c r="G29" s="458"/>
      <c r="H29" s="7"/>
      <c r="I29" s="79"/>
      <c r="J29" s="44"/>
      <c r="K29" s="44"/>
      <c r="W29" s="123">
        <v>42726</v>
      </c>
      <c r="X29" s="41">
        <v>11.53</v>
      </c>
      <c r="Y29" s="41">
        <v>11.64</v>
      </c>
      <c r="Z29" s="41">
        <v>11.45</v>
      </c>
      <c r="AA29" s="41">
        <v>11.54</v>
      </c>
      <c r="AB29" s="104">
        <v>4786100</v>
      </c>
      <c r="AC29" s="9">
        <v>11.54</v>
      </c>
      <c r="AD29" s="2">
        <f t="shared" si="1"/>
        <v>0.19000000000000128</v>
      </c>
      <c r="AE29" s="138">
        <f t="shared" si="2"/>
        <v>2.6064291920069316E-3</v>
      </c>
    </row>
    <row r="30" spans="2:42" x14ac:dyDescent="0.25">
      <c r="B30" s="459">
        <v>42272</v>
      </c>
      <c r="C30" s="7">
        <v>100</v>
      </c>
      <c r="D30" s="79">
        <v>14.65</v>
      </c>
      <c r="E30" s="44">
        <v>0</v>
      </c>
      <c r="F30" s="44">
        <f t="shared" si="4"/>
        <v>1465</v>
      </c>
      <c r="G30" s="501">
        <v>42361</v>
      </c>
      <c r="H30" s="82">
        <v>500</v>
      </c>
      <c r="I30" s="79">
        <v>12.65</v>
      </c>
      <c r="J30" s="44">
        <v>0.12</v>
      </c>
      <c r="K30" s="44">
        <f>H30*I30-J30</f>
        <v>6324.88</v>
      </c>
      <c r="W30" s="123">
        <v>42725</v>
      </c>
      <c r="X30" s="41">
        <v>11.49</v>
      </c>
      <c r="Y30" s="41">
        <v>11.67</v>
      </c>
      <c r="Z30" s="41">
        <v>11.44</v>
      </c>
      <c r="AA30" s="41">
        <v>11.51</v>
      </c>
      <c r="AB30" s="104">
        <v>2531700</v>
      </c>
      <c r="AC30" s="9">
        <v>11.51</v>
      </c>
      <c r="AD30" s="2">
        <f t="shared" si="1"/>
        <v>0.23000000000000043</v>
      </c>
      <c r="AE30" s="138">
        <f t="shared" si="2"/>
        <v>3.4873583260679464E-3</v>
      </c>
    </row>
    <row r="31" spans="2:42" x14ac:dyDescent="0.25">
      <c r="B31" s="459">
        <v>42272</v>
      </c>
      <c r="C31" s="7">
        <v>400</v>
      </c>
      <c r="D31" s="79">
        <v>14.4</v>
      </c>
      <c r="E31" s="44">
        <v>0</v>
      </c>
      <c r="F31" s="44">
        <f t="shared" si="4"/>
        <v>5760</v>
      </c>
      <c r="G31" s="501">
        <v>42361</v>
      </c>
      <c r="H31" s="82">
        <v>1500</v>
      </c>
      <c r="I31" s="79">
        <v>12.77</v>
      </c>
      <c r="J31" s="44">
        <v>1.64</v>
      </c>
      <c r="K31" s="44">
        <f>H31*I31-J31</f>
        <v>19153.36</v>
      </c>
      <c r="Q31" s="2"/>
      <c r="W31" s="123">
        <v>42724</v>
      </c>
      <c r="X31" s="41">
        <v>11.63</v>
      </c>
      <c r="Y31" s="41">
        <v>11.69</v>
      </c>
      <c r="Z31" s="41">
        <v>11.43</v>
      </c>
      <c r="AA31" s="41">
        <v>11.47</v>
      </c>
      <c r="AB31" s="104">
        <v>2599500</v>
      </c>
      <c r="AC31" s="9">
        <v>11.47</v>
      </c>
      <c r="AD31" s="2">
        <f t="shared" si="1"/>
        <v>0.25999999999999979</v>
      </c>
      <c r="AE31" s="138">
        <f t="shared" si="2"/>
        <v>-1.713796058269057E-2</v>
      </c>
      <c r="AL31" s="234"/>
      <c r="AO31" s="234"/>
    </row>
    <row r="32" spans="2:42" x14ac:dyDescent="0.25">
      <c r="B32" s="459">
        <v>42285</v>
      </c>
      <c r="C32" s="7">
        <v>639</v>
      </c>
      <c r="D32" s="79">
        <v>15.78</v>
      </c>
      <c r="E32" s="44">
        <v>0</v>
      </c>
      <c r="F32" s="44">
        <f t="shared" si="4"/>
        <v>10083.42</v>
      </c>
      <c r="G32" s="501">
        <v>42361</v>
      </c>
      <c r="H32" s="82">
        <v>100</v>
      </c>
      <c r="I32" s="79">
        <v>12.77</v>
      </c>
      <c r="J32" s="44">
        <v>0</v>
      </c>
      <c r="K32" s="44">
        <f t="shared" ref="K32" si="5">H32*I32-J32</f>
        <v>1277</v>
      </c>
      <c r="Q32" s="2"/>
      <c r="W32" s="123">
        <v>42723</v>
      </c>
      <c r="X32" s="41">
        <v>11.6</v>
      </c>
      <c r="Y32" s="41">
        <v>11.73</v>
      </c>
      <c r="Z32" s="41">
        <v>11.48</v>
      </c>
      <c r="AA32" s="41">
        <v>11.67</v>
      </c>
      <c r="AB32" s="104">
        <v>3753100</v>
      </c>
      <c r="AC32" s="9">
        <v>11.67</v>
      </c>
      <c r="AD32" s="2">
        <f t="shared" si="1"/>
        <v>0.25</v>
      </c>
      <c r="AE32" s="138">
        <f t="shared" si="2"/>
        <v>9.5155709342560346E-3</v>
      </c>
    </row>
    <row r="33" spans="2:41" x14ac:dyDescent="0.25">
      <c r="B33" s="459">
        <v>42292</v>
      </c>
      <c r="C33" s="7">
        <v>1100</v>
      </c>
      <c r="D33" s="79">
        <v>16.350000000000001</v>
      </c>
      <c r="E33" s="44">
        <v>0</v>
      </c>
      <c r="F33" s="44">
        <f t="shared" si="4"/>
        <v>17985</v>
      </c>
      <c r="G33" s="501">
        <v>42361</v>
      </c>
      <c r="H33" s="82">
        <v>100</v>
      </c>
      <c r="I33" s="79">
        <v>12.77</v>
      </c>
      <c r="J33" s="44">
        <v>0</v>
      </c>
      <c r="K33" s="44">
        <f t="shared" ref="K33:K45" si="6">H33*I33-J33</f>
        <v>1277</v>
      </c>
      <c r="Q33" s="2"/>
      <c r="W33" s="123">
        <v>42720</v>
      </c>
      <c r="X33" s="41">
        <v>11.45</v>
      </c>
      <c r="Y33" s="41">
        <v>11.67</v>
      </c>
      <c r="Z33" s="41">
        <v>11.45</v>
      </c>
      <c r="AA33" s="41">
        <v>11.56</v>
      </c>
      <c r="AB33" s="104">
        <v>18758200</v>
      </c>
      <c r="AC33" s="9">
        <v>11.56</v>
      </c>
      <c r="AD33" s="2">
        <f t="shared" si="1"/>
        <v>0.22000000000000064</v>
      </c>
      <c r="AE33" s="138">
        <f t="shared" si="2"/>
        <v>5.2173913043478404E-3</v>
      </c>
      <c r="AL33" s="234"/>
      <c r="AO33" s="234"/>
    </row>
    <row r="34" spans="2:41" x14ac:dyDescent="0.25">
      <c r="B34" s="459">
        <v>42292</v>
      </c>
      <c r="C34" s="7">
        <v>300</v>
      </c>
      <c r="D34" s="79">
        <v>16</v>
      </c>
      <c r="E34" s="44">
        <v>0</v>
      </c>
      <c r="F34" s="44">
        <f t="shared" si="4"/>
        <v>4800</v>
      </c>
      <c r="G34" s="501">
        <v>42361</v>
      </c>
      <c r="H34" s="82">
        <v>200</v>
      </c>
      <c r="I34" s="79">
        <v>12.77</v>
      </c>
      <c r="J34" s="44">
        <v>0</v>
      </c>
      <c r="K34" s="44">
        <f t="shared" si="6"/>
        <v>2554</v>
      </c>
      <c r="W34" s="123">
        <v>42719</v>
      </c>
      <c r="X34" s="41">
        <v>11.33</v>
      </c>
      <c r="Y34" s="41">
        <v>11.54</v>
      </c>
      <c r="Z34" s="41">
        <v>11.21</v>
      </c>
      <c r="AA34" s="41">
        <v>11.5</v>
      </c>
      <c r="AB34" s="104">
        <v>4116700</v>
      </c>
      <c r="AC34" s="9">
        <v>11.5</v>
      </c>
      <c r="AD34" s="2">
        <f t="shared" si="1"/>
        <v>0.32999999999999829</v>
      </c>
      <c r="AE34" s="138">
        <f t="shared" si="2"/>
        <v>1.2323943661971981E-2</v>
      </c>
    </row>
    <row r="35" spans="2:41" x14ac:dyDescent="0.25">
      <c r="B35" s="459">
        <v>42297</v>
      </c>
      <c r="C35" s="7">
        <v>500</v>
      </c>
      <c r="D35" s="79">
        <v>16.100000000000001</v>
      </c>
      <c r="E35" s="44">
        <v>0</v>
      </c>
      <c r="F35" s="44">
        <f t="shared" si="4"/>
        <v>8050.0000000000009</v>
      </c>
      <c r="G35" s="501">
        <v>42361</v>
      </c>
      <c r="H35" s="82">
        <v>200</v>
      </c>
      <c r="I35" s="79">
        <v>12.77</v>
      </c>
      <c r="J35" s="44">
        <v>0</v>
      </c>
      <c r="K35" s="44">
        <f t="shared" si="6"/>
        <v>2554</v>
      </c>
      <c r="W35" s="123">
        <v>42718</v>
      </c>
      <c r="X35" s="41">
        <v>11.57</v>
      </c>
      <c r="Y35" s="41">
        <v>11.71</v>
      </c>
      <c r="Z35" s="41">
        <v>11.35</v>
      </c>
      <c r="AA35" s="41">
        <v>11.36</v>
      </c>
      <c r="AB35" s="104">
        <v>3446100</v>
      </c>
      <c r="AC35" s="9">
        <v>11.36</v>
      </c>
      <c r="AD35" s="2">
        <f t="shared" si="1"/>
        <v>0.36000000000000121</v>
      </c>
      <c r="AE35" s="138">
        <f t="shared" si="2"/>
        <v>-1.730103806228378E-2</v>
      </c>
      <c r="AL35" s="234"/>
      <c r="AO35" s="234"/>
    </row>
    <row r="36" spans="2:41" x14ac:dyDescent="0.25">
      <c r="B36" s="459">
        <v>42303</v>
      </c>
      <c r="C36" s="7">
        <v>300</v>
      </c>
      <c r="D36" s="79">
        <v>15.76</v>
      </c>
      <c r="E36" s="44">
        <v>0</v>
      </c>
      <c r="F36" s="44">
        <f t="shared" si="4"/>
        <v>4728</v>
      </c>
      <c r="G36" s="501">
        <v>42361</v>
      </c>
      <c r="H36" s="82">
        <v>100</v>
      </c>
      <c r="I36" s="79">
        <v>12.77</v>
      </c>
      <c r="J36" s="44">
        <v>0</v>
      </c>
      <c r="K36" s="44">
        <f t="shared" si="6"/>
        <v>1277</v>
      </c>
      <c r="W36" s="123">
        <v>42717</v>
      </c>
      <c r="X36" s="41">
        <v>11.54</v>
      </c>
      <c r="Y36" s="41">
        <v>11.63</v>
      </c>
      <c r="Z36" s="41">
        <v>11.43</v>
      </c>
      <c r="AA36" s="41">
        <v>11.56</v>
      </c>
      <c r="AB36" s="104">
        <v>3397400</v>
      </c>
      <c r="AC36" s="9">
        <v>11.56</v>
      </c>
      <c r="AD36" s="2">
        <f t="shared" si="1"/>
        <v>0.20000000000000107</v>
      </c>
      <c r="AE36" s="138">
        <f t="shared" si="2"/>
        <v>1.1373578302712239E-2</v>
      </c>
    </row>
    <row r="37" spans="2:41" x14ac:dyDescent="0.25">
      <c r="B37" s="459">
        <v>42312</v>
      </c>
      <c r="C37" s="7">
        <v>200</v>
      </c>
      <c r="D37" s="79">
        <v>14.94</v>
      </c>
      <c r="E37" s="44">
        <v>6.95</v>
      </c>
      <c r="F37" s="44">
        <f t="shared" ref="F37:F60" si="7">C37*D37+E37</f>
        <v>2994.95</v>
      </c>
      <c r="G37" s="501">
        <v>42361</v>
      </c>
      <c r="H37" s="82">
        <v>200</v>
      </c>
      <c r="I37" s="79">
        <v>12.77</v>
      </c>
      <c r="J37" s="44">
        <v>0</v>
      </c>
      <c r="K37" s="44">
        <f t="shared" si="6"/>
        <v>2554</v>
      </c>
      <c r="W37" s="123">
        <v>42716</v>
      </c>
      <c r="X37" s="41">
        <v>11.59</v>
      </c>
      <c r="Y37" s="41">
        <v>11.78</v>
      </c>
      <c r="Z37" s="41">
        <v>11.37</v>
      </c>
      <c r="AA37" s="41">
        <v>11.43</v>
      </c>
      <c r="AB37" s="104">
        <v>4009800</v>
      </c>
      <c r="AC37" s="9">
        <v>11.43</v>
      </c>
      <c r="AD37" s="2">
        <f t="shared" si="1"/>
        <v>0.41000000000000014</v>
      </c>
      <c r="AE37" s="138">
        <f t="shared" si="2"/>
        <v>-1.9725557461406584E-2</v>
      </c>
    </row>
    <row r="38" spans="2:41" x14ac:dyDescent="0.25">
      <c r="B38" s="459">
        <v>42318</v>
      </c>
      <c r="C38" s="7">
        <v>270</v>
      </c>
      <c r="D38" s="79">
        <v>15.05</v>
      </c>
      <c r="E38" s="44">
        <v>0</v>
      </c>
      <c r="F38" s="44">
        <f t="shared" si="7"/>
        <v>4063.5</v>
      </c>
      <c r="G38" s="501">
        <v>42361</v>
      </c>
      <c r="H38" s="82">
        <v>200</v>
      </c>
      <c r="I38" s="79">
        <v>12.77</v>
      </c>
      <c r="J38" s="44">
        <v>0</v>
      </c>
      <c r="K38" s="44">
        <f t="shared" si="6"/>
        <v>2554</v>
      </c>
      <c r="W38" s="123">
        <v>42713</v>
      </c>
      <c r="X38" s="41">
        <v>11.4</v>
      </c>
      <c r="Y38" s="41">
        <v>11.74</v>
      </c>
      <c r="Z38" s="41">
        <v>11.28</v>
      </c>
      <c r="AA38" s="41">
        <v>11.66</v>
      </c>
      <c r="AB38" s="104">
        <v>9061400</v>
      </c>
      <c r="AC38" s="9">
        <v>11.66</v>
      </c>
      <c r="AD38" s="2">
        <f t="shared" si="1"/>
        <v>0.46000000000000085</v>
      </c>
      <c r="AE38" s="138">
        <f t="shared" si="2"/>
        <v>3.3687943262411313E-2</v>
      </c>
    </row>
    <row r="39" spans="2:41" x14ac:dyDescent="0.25">
      <c r="B39" s="459">
        <v>42320</v>
      </c>
      <c r="C39" s="7">
        <v>1000</v>
      </c>
      <c r="D39" s="79">
        <v>14.48</v>
      </c>
      <c r="E39" s="44">
        <v>0</v>
      </c>
      <c r="F39" s="44">
        <f t="shared" si="7"/>
        <v>14480</v>
      </c>
      <c r="G39" s="501">
        <v>42361</v>
      </c>
      <c r="H39" s="82">
        <v>200</v>
      </c>
      <c r="I39" s="79">
        <v>12.77</v>
      </c>
      <c r="J39" s="44">
        <v>0</v>
      </c>
      <c r="K39" s="44">
        <f t="shared" si="6"/>
        <v>2554</v>
      </c>
      <c r="W39" s="123">
        <v>42712</v>
      </c>
      <c r="X39" s="41">
        <v>11.05</v>
      </c>
      <c r="Y39" s="41">
        <v>11.41</v>
      </c>
      <c r="Z39" s="41">
        <v>10.95</v>
      </c>
      <c r="AA39" s="41">
        <v>11.28</v>
      </c>
      <c r="AB39" s="104">
        <v>6680000</v>
      </c>
      <c r="AC39" s="9">
        <v>11.28</v>
      </c>
      <c r="AD39" s="2">
        <f t="shared" si="1"/>
        <v>0.46000000000000085</v>
      </c>
      <c r="AE39" s="138">
        <f t="shared" si="2"/>
        <v>1.9891500904158921E-2</v>
      </c>
    </row>
    <row r="40" spans="2:41" x14ac:dyDescent="0.25">
      <c r="B40" s="459">
        <v>42320</v>
      </c>
      <c r="C40" s="7">
        <v>6</v>
      </c>
      <c r="D40" s="79">
        <v>14.3</v>
      </c>
      <c r="E40" s="44">
        <v>0</v>
      </c>
      <c r="F40" s="44">
        <f t="shared" si="7"/>
        <v>85.800000000000011</v>
      </c>
      <c r="G40" s="501">
        <v>42361</v>
      </c>
      <c r="H40" s="82">
        <v>200</v>
      </c>
      <c r="I40" s="79">
        <v>12.77</v>
      </c>
      <c r="J40" s="44">
        <v>0</v>
      </c>
      <c r="K40" s="44">
        <f t="shared" si="6"/>
        <v>2554</v>
      </c>
      <c r="W40" s="123">
        <v>42711</v>
      </c>
      <c r="X40" s="41">
        <v>11.1</v>
      </c>
      <c r="Y40" s="41">
        <v>11.21</v>
      </c>
      <c r="Z40" s="41">
        <v>11.05</v>
      </c>
      <c r="AA40" s="41">
        <v>11.06</v>
      </c>
      <c r="AB40" s="104">
        <v>5592200</v>
      </c>
      <c r="AC40" s="9">
        <v>11.06</v>
      </c>
      <c r="AD40" s="2">
        <f t="shared" si="1"/>
        <v>0.16000000000000014</v>
      </c>
      <c r="AE40" s="138">
        <f t="shared" si="2"/>
        <v>-3.6036036036035668E-3</v>
      </c>
    </row>
    <row r="41" spans="2:41" x14ac:dyDescent="0.25">
      <c r="B41" s="459">
        <v>42327</v>
      </c>
      <c r="C41" s="7">
        <v>2000</v>
      </c>
      <c r="D41" s="79">
        <v>14.74</v>
      </c>
      <c r="E41" s="44">
        <v>0</v>
      </c>
      <c r="F41" s="44">
        <f t="shared" si="7"/>
        <v>29480</v>
      </c>
      <c r="G41" s="501">
        <v>42361</v>
      </c>
      <c r="H41" s="82">
        <v>200</v>
      </c>
      <c r="I41" s="79">
        <v>12.77</v>
      </c>
      <c r="J41" s="44">
        <v>0</v>
      </c>
      <c r="K41" s="44">
        <f t="shared" si="6"/>
        <v>2554</v>
      </c>
      <c r="W41" s="123">
        <v>42710</v>
      </c>
      <c r="X41" s="41">
        <v>10.9</v>
      </c>
      <c r="Y41" s="41">
        <v>11.16</v>
      </c>
      <c r="Z41" s="41">
        <v>10.89</v>
      </c>
      <c r="AA41" s="41">
        <v>11.1</v>
      </c>
      <c r="AB41" s="104">
        <v>6864300</v>
      </c>
      <c r="AC41" s="9">
        <v>11.1</v>
      </c>
      <c r="AD41" s="2">
        <f t="shared" si="1"/>
        <v>0.26999999999999957</v>
      </c>
      <c r="AE41" s="138">
        <f t="shared" si="2"/>
        <v>2.4930747922437657E-2</v>
      </c>
      <c r="AL41" s="234"/>
      <c r="AO41" s="234"/>
    </row>
    <row r="42" spans="2:41" ht="20.25" thickBot="1" x14ac:dyDescent="0.35">
      <c r="B42" s="459">
        <v>42328</v>
      </c>
      <c r="C42" s="7">
        <v>1000</v>
      </c>
      <c r="D42" s="79">
        <v>14.45</v>
      </c>
      <c r="E42" s="44">
        <v>0</v>
      </c>
      <c r="F42" s="44">
        <f t="shared" si="7"/>
        <v>14450</v>
      </c>
      <c r="G42" s="501">
        <v>42361</v>
      </c>
      <c r="H42" s="82">
        <v>200</v>
      </c>
      <c r="I42" s="79">
        <v>12.77</v>
      </c>
      <c r="J42" s="44">
        <v>0</v>
      </c>
      <c r="K42" s="44">
        <f t="shared" si="6"/>
        <v>2554</v>
      </c>
      <c r="O42" s="374" t="s">
        <v>78</v>
      </c>
      <c r="P42" s="374"/>
      <c r="T42" s="105" t="s">
        <v>92</v>
      </c>
      <c r="U42" s="109"/>
      <c r="W42" s="123">
        <v>42709</v>
      </c>
      <c r="X42" s="41">
        <v>10.52</v>
      </c>
      <c r="Y42" s="41">
        <v>10.86</v>
      </c>
      <c r="Z42" s="41">
        <v>10.45</v>
      </c>
      <c r="AA42" s="41">
        <v>10.83</v>
      </c>
      <c r="AB42" s="104">
        <v>4338100</v>
      </c>
      <c r="AC42" s="9">
        <v>10.83</v>
      </c>
      <c r="AD42" s="2">
        <f t="shared" si="1"/>
        <v>0.41000000000000014</v>
      </c>
      <c r="AE42" s="138">
        <f t="shared" si="2"/>
        <v>3.1428571428571361E-2</v>
      </c>
    </row>
    <row r="43" spans="2:41" ht="15.75" thickTop="1" x14ac:dyDescent="0.25">
      <c r="B43" s="459">
        <v>42340</v>
      </c>
      <c r="C43" s="7">
        <v>1000</v>
      </c>
      <c r="D43" s="79">
        <v>14.439</v>
      </c>
      <c r="E43" s="44">
        <v>0</v>
      </c>
      <c r="F43" s="44">
        <f t="shared" si="7"/>
        <v>14439</v>
      </c>
      <c r="G43" s="501">
        <v>42361</v>
      </c>
      <c r="H43" s="82">
        <v>300</v>
      </c>
      <c r="I43" s="79">
        <v>12.77</v>
      </c>
      <c r="J43" s="44">
        <v>0</v>
      </c>
      <c r="K43" s="44">
        <f t="shared" si="6"/>
        <v>3831</v>
      </c>
      <c r="O43" s="83">
        <v>1.1000000000000001</v>
      </c>
      <c r="P43" s="83">
        <f>O43*$Q$4</f>
        <v>12.815000000000001</v>
      </c>
      <c r="T43" s="108" t="s">
        <v>98</v>
      </c>
      <c r="U43" s="106">
        <v>11.47</v>
      </c>
      <c r="W43" s="123">
        <v>42706</v>
      </c>
      <c r="X43" s="41">
        <v>10.52</v>
      </c>
      <c r="Y43" s="41">
        <v>10.76</v>
      </c>
      <c r="Z43" s="41">
        <v>10.41</v>
      </c>
      <c r="AA43" s="41">
        <v>10.5</v>
      </c>
      <c r="AB43" s="104">
        <v>6667000</v>
      </c>
      <c r="AC43" s="9">
        <v>10.5</v>
      </c>
      <c r="AD43" s="2">
        <f t="shared" si="1"/>
        <v>0.34999999999999964</v>
      </c>
      <c r="AE43" s="138">
        <f t="shared" si="2"/>
        <v>8.6455331412103043E-3</v>
      </c>
    </row>
    <row r="44" spans="2:41" x14ac:dyDescent="0.25">
      <c r="B44" s="459">
        <v>42345</v>
      </c>
      <c r="C44" s="7">
        <v>1100</v>
      </c>
      <c r="D44" s="79">
        <v>14.27</v>
      </c>
      <c r="E44" s="44">
        <v>0</v>
      </c>
      <c r="F44" s="44">
        <f t="shared" si="7"/>
        <v>15697</v>
      </c>
      <c r="G44" s="501">
        <v>42361</v>
      </c>
      <c r="H44" s="82">
        <v>200</v>
      </c>
      <c r="I44" s="79">
        <v>12.77</v>
      </c>
      <c r="J44" s="44">
        <v>0</v>
      </c>
      <c r="K44" s="44">
        <f t="shared" si="6"/>
        <v>2554</v>
      </c>
      <c r="O44" s="83">
        <v>1.0900000000000001</v>
      </c>
      <c r="P44" s="83">
        <f t="shared" ref="P44:P63" si="8">O44*$Q$4</f>
        <v>12.698500000000001</v>
      </c>
      <c r="T44" s="108" t="s">
        <v>99</v>
      </c>
      <c r="U44" s="106">
        <v>11.49</v>
      </c>
      <c r="W44" s="123">
        <v>42705</v>
      </c>
      <c r="X44" s="41">
        <v>11.12</v>
      </c>
      <c r="Y44" s="41">
        <v>11.21</v>
      </c>
      <c r="Z44" s="41">
        <v>10.39</v>
      </c>
      <c r="AA44" s="41">
        <v>10.41</v>
      </c>
      <c r="AB44" s="104">
        <v>7010500</v>
      </c>
      <c r="AC44" s="9">
        <v>10.41</v>
      </c>
      <c r="AD44" s="2">
        <f t="shared" si="1"/>
        <v>0.82000000000000028</v>
      </c>
      <c r="AE44" s="138">
        <f t="shared" si="2"/>
        <v>-6.6367713004484297E-2</v>
      </c>
    </row>
    <row r="45" spans="2:41" x14ac:dyDescent="0.25">
      <c r="B45" s="459">
        <v>42345</v>
      </c>
      <c r="C45" s="7">
        <v>500</v>
      </c>
      <c r="D45" s="79">
        <v>14.05</v>
      </c>
      <c r="E45" s="44">
        <v>0</v>
      </c>
      <c r="F45" s="44">
        <f t="shared" si="7"/>
        <v>7025</v>
      </c>
      <c r="G45" s="501">
        <v>42361</v>
      </c>
      <c r="H45" s="82">
        <v>800</v>
      </c>
      <c r="I45" s="79">
        <v>12.77</v>
      </c>
      <c r="J45" s="44">
        <v>0</v>
      </c>
      <c r="K45" s="44">
        <f t="shared" si="6"/>
        <v>10216</v>
      </c>
      <c r="O45" s="83">
        <v>1.08</v>
      </c>
      <c r="P45" s="83">
        <f t="shared" si="8"/>
        <v>12.582000000000001</v>
      </c>
      <c r="Q45" s="2"/>
      <c r="T45" s="108" t="s">
        <v>100</v>
      </c>
      <c r="U45" s="106" t="s">
        <v>129</v>
      </c>
      <c r="W45" s="123">
        <v>42704</v>
      </c>
      <c r="X45" s="41">
        <v>11.6</v>
      </c>
      <c r="Y45" s="41">
        <v>11.6</v>
      </c>
      <c r="Z45" s="41">
        <v>11.15</v>
      </c>
      <c r="AA45" s="41">
        <v>11.15</v>
      </c>
      <c r="AB45" s="104">
        <v>5671400</v>
      </c>
      <c r="AC45" s="9">
        <v>11.15</v>
      </c>
      <c r="AD45" s="2">
        <f t="shared" si="1"/>
        <v>0.44999999999999929</v>
      </c>
      <c r="AE45" s="138">
        <f t="shared" si="2"/>
        <v>-3.2957502168256658E-2</v>
      </c>
      <c r="AL45" s="234"/>
      <c r="AO45" s="234"/>
    </row>
    <row r="46" spans="2:41" x14ac:dyDescent="0.25">
      <c r="B46" s="459">
        <v>42349</v>
      </c>
      <c r="C46" s="7">
        <v>500</v>
      </c>
      <c r="D46" s="79">
        <v>12.53</v>
      </c>
      <c r="E46" s="44">
        <v>0</v>
      </c>
      <c r="F46" s="44">
        <f t="shared" si="7"/>
        <v>6265</v>
      </c>
      <c r="G46" s="501">
        <v>42361</v>
      </c>
      <c r="H46" s="82"/>
      <c r="I46" s="79"/>
      <c r="J46" s="44"/>
      <c r="K46" s="44"/>
      <c r="O46" s="83">
        <v>1.07</v>
      </c>
      <c r="P46" s="83">
        <f t="shared" si="8"/>
        <v>12.4655</v>
      </c>
      <c r="Q46" s="2"/>
      <c r="T46" s="108" t="s">
        <v>101</v>
      </c>
      <c r="U46" s="106" t="s">
        <v>129</v>
      </c>
      <c r="W46" s="123">
        <v>42703</v>
      </c>
      <c r="X46" s="41">
        <v>11.82</v>
      </c>
      <c r="Y46" s="41">
        <v>11.92</v>
      </c>
      <c r="Z46" s="41">
        <v>11.46</v>
      </c>
      <c r="AA46" s="41">
        <v>11.53</v>
      </c>
      <c r="AB46" s="104">
        <v>2896500</v>
      </c>
      <c r="AC46" s="9">
        <v>11.53</v>
      </c>
      <c r="AD46" s="2">
        <f t="shared" si="1"/>
        <v>0.45999999999999908</v>
      </c>
      <c r="AE46" s="138">
        <f t="shared" si="2"/>
        <v>-3.2718120805369177E-2</v>
      </c>
    </row>
    <row r="47" spans="2:41" x14ac:dyDescent="0.25">
      <c r="B47" s="641">
        <v>42361</v>
      </c>
      <c r="C47" s="7">
        <v>2500</v>
      </c>
      <c r="D47" s="79">
        <v>12.865</v>
      </c>
      <c r="E47" s="44">
        <v>8</v>
      </c>
      <c r="F47" s="44">
        <f t="shared" si="7"/>
        <v>32170.5</v>
      </c>
      <c r="G47" s="501">
        <v>42361</v>
      </c>
      <c r="H47" s="82">
        <v>2300</v>
      </c>
      <c r="I47" s="79">
        <v>12.77</v>
      </c>
      <c r="J47" s="44">
        <v>0</v>
      </c>
      <c r="K47" s="44">
        <f>H47*I47-J47</f>
        <v>29371</v>
      </c>
      <c r="O47" s="83">
        <v>1.06</v>
      </c>
      <c r="P47" s="83">
        <f t="shared" si="8"/>
        <v>12.349</v>
      </c>
      <c r="Q47" s="2"/>
      <c r="T47" s="108" t="s">
        <v>102</v>
      </c>
      <c r="U47" s="106">
        <v>15.63</v>
      </c>
      <c r="W47" s="123">
        <v>42702</v>
      </c>
      <c r="X47" s="41">
        <v>11.77</v>
      </c>
      <c r="Y47" s="41">
        <v>11.93</v>
      </c>
      <c r="Z47" s="41">
        <v>11.74</v>
      </c>
      <c r="AA47" s="41">
        <v>11.92</v>
      </c>
      <c r="AB47" s="104">
        <v>2516100</v>
      </c>
      <c r="AC47" s="9">
        <v>11.92</v>
      </c>
      <c r="AD47" s="2">
        <f t="shared" si="1"/>
        <v>0.1899999999999995</v>
      </c>
      <c r="AE47" s="138">
        <f t="shared" si="2"/>
        <v>1.7064846416382284E-2</v>
      </c>
    </row>
    <row r="48" spans="2:41" x14ac:dyDescent="0.25">
      <c r="B48" s="641"/>
      <c r="C48" s="7">
        <v>1500</v>
      </c>
      <c r="D48" s="79">
        <v>12.865</v>
      </c>
      <c r="E48" s="44">
        <v>0</v>
      </c>
      <c r="F48" s="44">
        <f t="shared" si="7"/>
        <v>19297.5</v>
      </c>
      <c r="G48" s="459">
        <v>42362</v>
      </c>
      <c r="H48" s="82">
        <v>2500</v>
      </c>
      <c r="I48" s="79">
        <v>13.5</v>
      </c>
      <c r="J48" s="44">
        <v>0.62</v>
      </c>
      <c r="K48" s="44">
        <f t="shared" ref="K48:K58" si="9">H48*I48-J48</f>
        <v>33749.379999999997</v>
      </c>
      <c r="O48" s="83">
        <v>1.05</v>
      </c>
      <c r="P48" s="83">
        <f t="shared" si="8"/>
        <v>12.232500000000002</v>
      </c>
      <c r="Q48" s="2"/>
      <c r="T48" s="108" t="s">
        <v>103</v>
      </c>
      <c r="U48" s="106">
        <v>1.16245</v>
      </c>
      <c r="W48" s="123">
        <v>42699</v>
      </c>
      <c r="X48" s="41">
        <v>11.68</v>
      </c>
      <c r="Y48" s="41">
        <v>11.79</v>
      </c>
      <c r="Z48" s="41">
        <v>11.6</v>
      </c>
      <c r="AA48" s="41">
        <v>11.72</v>
      </c>
      <c r="AB48" s="104">
        <v>753700</v>
      </c>
      <c r="AC48" s="9">
        <v>11.72</v>
      </c>
      <c r="AD48" s="2">
        <f t="shared" si="1"/>
        <v>0.1899999999999995</v>
      </c>
      <c r="AE48" s="138">
        <f t="shared" si="2"/>
        <v>9.4745908699398473E-3</v>
      </c>
    </row>
    <row r="49" spans="2:42" x14ac:dyDescent="0.25">
      <c r="B49" s="459">
        <v>42402</v>
      </c>
      <c r="C49" s="7">
        <v>200</v>
      </c>
      <c r="D49" s="79">
        <v>14.65</v>
      </c>
      <c r="E49" s="44">
        <v>0</v>
      </c>
      <c r="F49" s="44">
        <f t="shared" si="7"/>
        <v>2930</v>
      </c>
      <c r="G49" s="459">
        <v>42398</v>
      </c>
      <c r="H49" s="82">
        <v>200</v>
      </c>
      <c r="I49" s="79">
        <v>15.26</v>
      </c>
      <c r="J49" s="44">
        <v>0.06</v>
      </c>
      <c r="K49" s="44">
        <f t="shared" si="9"/>
        <v>3051.94</v>
      </c>
      <c r="O49" s="83">
        <v>1.04</v>
      </c>
      <c r="P49" s="83">
        <f t="shared" si="8"/>
        <v>12.116000000000001</v>
      </c>
      <c r="Q49" s="2"/>
      <c r="T49" s="108" t="s">
        <v>104</v>
      </c>
      <c r="U49" s="106" t="s">
        <v>442</v>
      </c>
      <c r="W49" s="123">
        <v>42697</v>
      </c>
      <c r="X49" s="41">
        <v>11.39</v>
      </c>
      <c r="Y49" s="41">
        <v>11.64</v>
      </c>
      <c r="Z49" s="41">
        <v>11.37</v>
      </c>
      <c r="AA49" s="41">
        <v>11.61</v>
      </c>
      <c r="AB49" s="104">
        <v>2702500</v>
      </c>
      <c r="AC49" s="9">
        <v>11.61</v>
      </c>
      <c r="AD49" s="2">
        <f t="shared" si="1"/>
        <v>0.27000000000000135</v>
      </c>
      <c r="AE49" s="138">
        <f t="shared" si="2"/>
        <v>1.1324041811846541E-2</v>
      </c>
    </row>
    <row r="50" spans="2:42" x14ac:dyDescent="0.25">
      <c r="B50" s="459">
        <v>42412</v>
      </c>
      <c r="C50" s="7">
        <v>100</v>
      </c>
      <c r="D50" s="79">
        <v>12.65</v>
      </c>
      <c r="E50" s="44">
        <v>0</v>
      </c>
      <c r="F50" s="44">
        <f t="shared" si="7"/>
        <v>1265</v>
      </c>
      <c r="G50" s="459">
        <v>42412</v>
      </c>
      <c r="H50" s="82">
        <v>200</v>
      </c>
      <c r="I50" s="79">
        <v>12.65</v>
      </c>
      <c r="J50" s="44">
        <v>0.06</v>
      </c>
      <c r="K50" s="44">
        <f t="shared" si="9"/>
        <v>2529.94</v>
      </c>
      <c r="O50" s="83">
        <v>1.03</v>
      </c>
      <c r="P50" s="83">
        <f t="shared" si="8"/>
        <v>11.999500000000001</v>
      </c>
      <c r="Q50" s="2"/>
      <c r="T50" s="108"/>
      <c r="U50" s="106"/>
      <c r="W50" s="123">
        <v>42696</v>
      </c>
      <c r="X50" s="41">
        <v>11.63</v>
      </c>
      <c r="Y50" s="41">
        <v>11.69</v>
      </c>
      <c r="Z50" s="41">
        <v>11.33</v>
      </c>
      <c r="AA50" s="41">
        <v>11.48</v>
      </c>
      <c r="AB50" s="104">
        <v>4104100</v>
      </c>
      <c r="AC50" s="9">
        <v>11.48</v>
      </c>
      <c r="AD50" s="2">
        <f t="shared" si="1"/>
        <v>0.35999999999999943</v>
      </c>
      <c r="AE50" s="138">
        <f t="shared" si="2"/>
        <v>-2.297872340425533E-2</v>
      </c>
    </row>
    <row r="51" spans="2:42" x14ac:dyDescent="0.25">
      <c r="B51" s="459">
        <v>42412</v>
      </c>
      <c r="C51" s="7">
        <v>100</v>
      </c>
      <c r="D51" s="79">
        <v>11.85</v>
      </c>
      <c r="E51" s="44">
        <v>0</v>
      </c>
      <c r="F51" s="44">
        <f t="shared" si="7"/>
        <v>1185</v>
      </c>
      <c r="G51" s="459">
        <v>42416</v>
      </c>
      <c r="H51" s="82">
        <v>250</v>
      </c>
      <c r="I51" s="79">
        <v>13.05</v>
      </c>
      <c r="J51" s="44">
        <v>7.0000000000000007E-2</v>
      </c>
      <c r="K51" s="44">
        <f t="shared" si="9"/>
        <v>3262.43</v>
      </c>
      <c r="O51" s="83">
        <v>1.02</v>
      </c>
      <c r="P51" s="83">
        <f t="shared" si="8"/>
        <v>11.883000000000001</v>
      </c>
      <c r="Q51" s="2"/>
      <c r="T51" s="108" t="s">
        <v>105</v>
      </c>
      <c r="U51" s="106" t="s">
        <v>579</v>
      </c>
      <c r="W51" s="123">
        <v>42695</v>
      </c>
      <c r="X51" s="41">
        <v>11.74</v>
      </c>
      <c r="Y51" s="41">
        <v>11.88</v>
      </c>
      <c r="Z51" s="41">
        <v>11.65</v>
      </c>
      <c r="AA51" s="41">
        <v>11.75</v>
      </c>
      <c r="AB51" s="104">
        <v>3562700</v>
      </c>
      <c r="AC51" s="9">
        <v>11.75</v>
      </c>
      <c r="AD51" s="2">
        <f t="shared" si="1"/>
        <v>0.23000000000000043</v>
      </c>
      <c r="AE51" s="138">
        <f t="shared" si="2"/>
        <v>1.0318142734307756E-2</v>
      </c>
    </row>
    <row r="52" spans="2:42" x14ac:dyDescent="0.25">
      <c r="B52" s="459">
        <v>42416</v>
      </c>
      <c r="C52" s="7">
        <v>250</v>
      </c>
      <c r="D52" s="79">
        <v>12.94</v>
      </c>
      <c r="E52" s="44">
        <v>0</v>
      </c>
      <c r="F52" s="44">
        <f t="shared" si="7"/>
        <v>3235</v>
      </c>
      <c r="G52" s="459">
        <v>42426</v>
      </c>
      <c r="H52" s="82">
        <v>500</v>
      </c>
      <c r="I52" s="79">
        <v>12.65</v>
      </c>
      <c r="J52" s="44">
        <v>0.14000000000000001</v>
      </c>
      <c r="K52" s="44">
        <f t="shared" si="9"/>
        <v>6324.86</v>
      </c>
      <c r="O52" s="83">
        <v>1.01</v>
      </c>
      <c r="P52" s="83">
        <f t="shared" si="8"/>
        <v>11.766500000000001</v>
      </c>
      <c r="Q52" s="2"/>
      <c r="T52" s="108" t="s">
        <v>106</v>
      </c>
      <c r="U52" s="106" t="s">
        <v>580</v>
      </c>
      <c r="W52" s="123">
        <v>42692</v>
      </c>
      <c r="X52" s="41">
        <v>11.84</v>
      </c>
      <c r="Y52" s="41">
        <v>11.88</v>
      </c>
      <c r="Z52" s="41">
        <v>11.62</v>
      </c>
      <c r="AA52" s="41">
        <v>11.63</v>
      </c>
      <c r="AB52" s="104">
        <v>1899800</v>
      </c>
      <c r="AC52" s="9">
        <v>11.63</v>
      </c>
      <c r="AD52" s="2">
        <f t="shared" si="1"/>
        <v>0.26000000000000156</v>
      </c>
      <c r="AE52" s="138">
        <f t="shared" si="2"/>
        <v>-1.8565400843881807E-2</v>
      </c>
    </row>
    <row r="53" spans="2:42" x14ac:dyDescent="0.25">
      <c r="B53" s="459">
        <v>42426</v>
      </c>
      <c r="C53" s="7">
        <v>500</v>
      </c>
      <c r="D53" s="79">
        <v>12.52</v>
      </c>
      <c r="E53" s="44">
        <v>0</v>
      </c>
      <c r="F53" s="44">
        <f t="shared" si="7"/>
        <v>6260</v>
      </c>
      <c r="G53" s="459">
        <v>42431</v>
      </c>
      <c r="H53" s="82">
        <v>500</v>
      </c>
      <c r="I53" s="79">
        <v>13.25</v>
      </c>
      <c r="J53" s="44">
        <v>0.14000000000000001</v>
      </c>
      <c r="K53" s="44">
        <f t="shared" si="9"/>
        <v>6624.86</v>
      </c>
      <c r="O53" s="83">
        <v>1</v>
      </c>
      <c r="P53" s="83">
        <f t="shared" si="8"/>
        <v>11.65</v>
      </c>
      <c r="Q53" s="2"/>
      <c r="T53" s="108" t="s">
        <v>107</v>
      </c>
      <c r="U53" s="107">
        <v>3936540</v>
      </c>
      <c r="W53" s="123">
        <v>42691</v>
      </c>
      <c r="X53" s="41">
        <v>11.63</v>
      </c>
      <c r="Y53" s="41">
        <v>11.95</v>
      </c>
      <c r="Z53" s="41">
        <v>11.61</v>
      </c>
      <c r="AA53" s="41">
        <v>11.85</v>
      </c>
      <c r="AB53" s="104">
        <v>3510900</v>
      </c>
      <c r="AC53" s="9">
        <v>11.85</v>
      </c>
      <c r="AD53" s="2">
        <f t="shared" si="1"/>
        <v>0.33999999999999986</v>
      </c>
      <c r="AE53" s="138">
        <f t="shared" si="2"/>
        <v>2.155172413793105E-2</v>
      </c>
      <c r="AL53" s="234"/>
      <c r="AO53" s="234"/>
    </row>
    <row r="54" spans="2:42" x14ac:dyDescent="0.25">
      <c r="B54" s="459">
        <v>42460</v>
      </c>
      <c r="C54" s="7">
        <v>500</v>
      </c>
      <c r="D54" s="79">
        <v>14.95</v>
      </c>
      <c r="E54" s="44">
        <v>-0.05</v>
      </c>
      <c r="F54" s="44">
        <f t="shared" si="7"/>
        <v>7474.95</v>
      </c>
      <c r="G54" s="459">
        <v>42460</v>
      </c>
      <c r="H54" s="7">
        <v>500</v>
      </c>
      <c r="I54" s="79">
        <v>14.95</v>
      </c>
      <c r="J54" s="44">
        <v>0.16</v>
      </c>
      <c r="K54" s="44">
        <f t="shared" si="9"/>
        <v>7474.84</v>
      </c>
      <c r="O54" s="83">
        <v>0.99</v>
      </c>
      <c r="P54" s="83">
        <f t="shared" si="8"/>
        <v>11.5335</v>
      </c>
      <c r="Q54" s="2"/>
      <c r="T54" s="108" t="s">
        <v>110</v>
      </c>
      <c r="U54" s="107">
        <v>4362540</v>
      </c>
      <c r="W54" s="123">
        <v>42690</v>
      </c>
      <c r="X54" s="41">
        <v>11.75</v>
      </c>
      <c r="Y54" s="41">
        <v>11.89</v>
      </c>
      <c r="Z54" s="41">
        <v>11.54</v>
      </c>
      <c r="AA54" s="41">
        <v>11.6</v>
      </c>
      <c r="AB54" s="104">
        <v>2373600</v>
      </c>
      <c r="AC54" s="9">
        <v>11.6</v>
      </c>
      <c r="AD54" s="2">
        <f t="shared" si="1"/>
        <v>0.35000000000000142</v>
      </c>
      <c r="AE54" s="138">
        <f t="shared" si="2"/>
        <v>-1.4443500424808797E-2</v>
      </c>
    </row>
    <row r="55" spans="2:42" x14ac:dyDescent="0.25">
      <c r="B55" s="459">
        <v>42480</v>
      </c>
      <c r="C55" s="7">
        <v>500</v>
      </c>
      <c r="D55" s="79">
        <v>15.55</v>
      </c>
      <c r="E55" s="44">
        <v>0</v>
      </c>
      <c r="F55" s="44">
        <f t="shared" si="7"/>
        <v>7775</v>
      </c>
      <c r="G55" s="459">
        <v>42479</v>
      </c>
      <c r="H55" s="82">
        <v>500</v>
      </c>
      <c r="I55" s="79">
        <v>15.75</v>
      </c>
      <c r="J55" s="44">
        <v>0.17</v>
      </c>
      <c r="K55" s="44">
        <f t="shared" si="9"/>
        <v>7874.83</v>
      </c>
      <c r="O55" s="83">
        <v>0.98</v>
      </c>
      <c r="P55" s="83">
        <f t="shared" si="8"/>
        <v>11.417</v>
      </c>
      <c r="T55" s="108" t="s">
        <v>108</v>
      </c>
      <c r="U55" s="106" t="s">
        <v>581</v>
      </c>
      <c r="W55" s="123">
        <v>42689</v>
      </c>
      <c r="X55" s="41">
        <v>11.63</v>
      </c>
      <c r="Y55" s="41">
        <v>11.81</v>
      </c>
      <c r="Z55" s="41">
        <v>11.55</v>
      </c>
      <c r="AA55" s="41">
        <v>11.77</v>
      </c>
      <c r="AB55" s="104">
        <v>2707300</v>
      </c>
      <c r="AC55" s="9">
        <v>11.77</v>
      </c>
      <c r="AD55" s="2">
        <f t="shared" si="1"/>
        <v>0.25999999999999979</v>
      </c>
      <c r="AE55" s="138">
        <f t="shared" si="2"/>
        <v>1.6407599309153698E-2</v>
      </c>
    </row>
    <row r="56" spans="2:42" x14ac:dyDescent="0.25">
      <c r="B56" s="459">
        <v>42488</v>
      </c>
      <c r="C56" s="7">
        <v>500</v>
      </c>
      <c r="D56" s="79">
        <v>15.73</v>
      </c>
      <c r="E56" s="44">
        <v>0</v>
      </c>
      <c r="F56" s="44">
        <f t="shared" si="7"/>
        <v>7865</v>
      </c>
      <c r="G56" s="459">
        <v>42488</v>
      </c>
      <c r="H56" s="82">
        <v>500</v>
      </c>
      <c r="I56" s="79">
        <v>15.85</v>
      </c>
      <c r="J56" s="44">
        <v>0.17</v>
      </c>
      <c r="K56" s="44">
        <f t="shared" si="9"/>
        <v>7924.83</v>
      </c>
      <c r="O56" s="83">
        <v>0.97</v>
      </c>
      <c r="P56" s="83">
        <f t="shared" si="8"/>
        <v>11.3005</v>
      </c>
      <c r="T56" s="108" t="s">
        <v>111</v>
      </c>
      <c r="U56" s="106">
        <v>230.2</v>
      </c>
      <c r="W56" s="123">
        <v>42688</v>
      </c>
      <c r="X56" s="41">
        <v>11.23</v>
      </c>
      <c r="Y56" s="41">
        <v>11.66</v>
      </c>
      <c r="Z56" s="41">
        <v>11.23</v>
      </c>
      <c r="AA56" s="41">
        <v>11.58</v>
      </c>
      <c r="AB56" s="104">
        <v>3683500</v>
      </c>
      <c r="AC56" s="9">
        <v>11.58</v>
      </c>
      <c r="AD56" s="2">
        <f t="shared" si="1"/>
        <v>0.42999999999999972</v>
      </c>
      <c r="AE56" s="138">
        <f t="shared" si="2"/>
        <v>3.0249110320284656E-2</v>
      </c>
    </row>
    <row r="57" spans="2:42" x14ac:dyDescent="0.25">
      <c r="B57" s="459">
        <v>42517</v>
      </c>
      <c r="C57" s="7">
        <v>500</v>
      </c>
      <c r="D57" s="79">
        <v>14.67</v>
      </c>
      <c r="E57" s="44">
        <v>0</v>
      </c>
      <c r="F57" s="44">
        <f t="shared" si="7"/>
        <v>7335</v>
      </c>
      <c r="G57" s="459">
        <v>42517</v>
      </c>
      <c r="H57" s="82">
        <v>500</v>
      </c>
      <c r="I57" s="79">
        <v>14.69</v>
      </c>
      <c r="J57" s="44">
        <v>0.16</v>
      </c>
      <c r="K57" s="44">
        <f t="shared" si="9"/>
        <v>7344.84</v>
      </c>
      <c r="O57" s="83">
        <v>0.96</v>
      </c>
      <c r="P57" s="83">
        <f t="shared" si="8"/>
        <v>11.183999999999999</v>
      </c>
      <c r="T57" s="108" t="s">
        <v>112</v>
      </c>
      <c r="U57" s="106">
        <v>0.05</v>
      </c>
      <c r="W57" s="123">
        <v>42685</v>
      </c>
      <c r="X57" s="41">
        <v>11.19</v>
      </c>
      <c r="Y57" s="41">
        <v>11.4</v>
      </c>
      <c r="Z57" s="41">
        <v>11.03</v>
      </c>
      <c r="AA57" s="41">
        <v>11.24</v>
      </c>
      <c r="AB57" s="104">
        <v>3559000</v>
      </c>
      <c r="AC57" s="9">
        <v>11.24</v>
      </c>
      <c r="AD57" s="2">
        <f t="shared" si="1"/>
        <v>0.37000000000000099</v>
      </c>
      <c r="AE57" s="138">
        <f t="shared" si="2"/>
        <v>3.5714285714285587E-3</v>
      </c>
      <c r="AL57" s="234"/>
      <c r="AO57" s="234"/>
    </row>
    <row r="58" spans="2:42" x14ac:dyDescent="0.25">
      <c r="B58" s="459">
        <v>42530</v>
      </c>
      <c r="C58" s="7">
        <v>1000</v>
      </c>
      <c r="D58" s="79">
        <v>15.61</v>
      </c>
      <c r="E58" s="44">
        <v>0</v>
      </c>
      <c r="F58" s="44">
        <f t="shared" si="7"/>
        <v>15610</v>
      </c>
      <c r="G58" s="459">
        <v>42527</v>
      </c>
      <c r="H58" s="82">
        <v>1500</v>
      </c>
      <c r="I58" s="79">
        <v>15.89</v>
      </c>
      <c r="J58" s="44">
        <v>0.52</v>
      </c>
      <c r="K58" s="44">
        <f t="shared" si="9"/>
        <v>23834.48</v>
      </c>
      <c r="O58" s="83">
        <v>0.95</v>
      </c>
      <c r="P58" s="83">
        <f t="shared" si="8"/>
        <v>11.067499999999999</v>
      </c>
      <c r="T58" s="108" t="s">
        <v>109</v>
      </c>
      <c r="U58" s="106" t="s">
        <v>123</v>
      </c>
      <c r="W58" s="123">
        <v>42684</v>
      </c>
      <c r="X58" s="41">
        <v>11.74</v>
      </c>
      <c r="Y58" s="41">
        <v>11.83</v>
      </c>
      <c r="Z58" s="41">
        <v>11.18</v>
      </c>
      <c r="AA58" s="41">
        <v>11.2</v>
      </c>
      <c r="AB58" s="104">
        <v>6096600</v>
      </c>
      <c r="AC58" s="9">
        <v>11.2</v>
      </c>
      <c r="AD58" s="2">
        <f t="shared" si="1"/>
        <v>0.65000000000000036</v>
      </c>
      <c r="AE58" s="138">
        <f t="shared" si="2"/>
        <v>-4.5996592844974482E-2</v>
      </c>
    </row>
    <row r="59" spans="2:42" x14ac:dyDescent="0.25">
      <c r="B59" s="459">
        <v>42530</v>
      </c>
      <c r="C59" s="7">
        <v>500</v>
      </c>
      <c r="D59" s="79">
        <v>15.44</v>
      </c>
      <c r="E59" s="44">
        <v>0</v>
      </c>
      <c r="F59" s="44">
        <f t="shared" si="7"/>
        <v>7720</v>
      </c>
      <c r="G59" s="458"/>
      <c r="H59" s="7"/>
      <c r="I59" s="79"/>
      <c r="J59" s="44"/>
      <c r="K59" s="44"/>
      <c r="O59" s="83">
        <v>0.94</v>
      </c>
      <c r="P59" s="83">
        <f t="shared" si="8"/>
        <v>10.951000000000001</v>
      </c>
      <c r="W59" s="123">
        <v>42683</v>
      </c>
      <c r="X59" s="41">
        <v>11.55</v>
      </c>
      <c r="Y59" s="41">
        <v>12.13</v>
      </c>
      <c r="Z59" s="41">
        <v>11.5</v>
      </c>
      <c r="AA59" s="41">
        <v>11.74</v>
      </c>
      <c r="AB59" s="104">
        <v>9746100</v>
      </c>
      <c r="AC59" s="9">
        <v>11.74</v>
      </c>
      <c r="AD59" s="2">
        <f t="shared" si="1"/>
        <v>0.63000000000000078</v>
      </c>
      <c r="AE59" s="138">
        <f t="shared" si="2"/>
        <v>2.4432809773123898E-2</v>
      </c>
      <c r="AL59" s="234"/>
    </row>
    <row r="60" spans="2:42" x14ac:dyDescent="0.25">
      <c r="B60" s="459">
        <v>42530</v>
      </c>
      <c r="C60" s="7">
        <v>20</v>
      </c>
      <c r="D60" s="79">
        <v>15.44</v>
      </c>
      <c r="E60" s="44">
        <v>0</v>
      </c>
      <c r="F60" s="44">
        <f t="shared" si="7"/>
        <v>308.8</v>
      </c>
      <c r="G60" s="459">
        <v>42538</v>
      </c>
      <c r="H60" s="82">
        <v>480</v>
      </c>
      <c r="I60" s="79">
        <v>14.18</v>
      </c>
      <c r="J60" s="44">
        <v>0.15</v>
      </c>
      <c r="K60" s="44">
        <f t="shared" ref="K60:K88" si="10">H60*I60-J60</f>
        <v>6806.25</v>
      </c>
      <c r="O60" s="83">
        <v>0.93</v>
      </c>
      <c r="P60" s="83">
        <f t="shared" si="8"/>
        <v>10.8345</v>
      </c>
      <c r="W60" s="123">
        <v>42682</v>
      </c>
      <c r="X60" s="41">
        <v>11.47</v>
      </c>
      <c r="Y60" s="41">
        <v>11.58</v>
      </c>
      <c r="Z60" s="41">
        <v>11.4</v>
      </c>
      <c r="AA60" s="41">
        <v>11.46</v>
      </c>
      <c r="AB60" s="104">
        <v>3855700</v>
      </c>
      <c r="AC60" s="9">
        <v>11.46</v>
      </c>
      <c r="AD60" s="2">
        <f t="shared" si="1"/>
        <v>0.17999999999999972</v>
      </c>
      <c r="AE60" s="138">
        <f t="shared" si="2"/>
        <v>-8.7183958151693108E-4</v>
      </c>
    </row>
    <row r="61" spans="2:42" x14ac:dyDescent="0.25">
      <c r="B61" s="459">
        <v>42535</v>
      </c>
      <c r="C61" s="7">
        <v>480</v>
      </c>
      <c r="D61" s="79">
        <v>13.95</v>
      </c>
      <c r="E61" s="44">
        <v>0</v>
      </c>
      <c r="F61" s="44">
        <f t="shared" ref="F61:F70" si="11">C61*D61+E61</f>
        <v>6696</v>
      </c>
      <c r="G61" s="459">
        <v>42544</v>
      </c>
      <c r="H61" s="82">
        <v>480</v>
      </c>
      <c r="I61" s="79">
        <v>14.16</v>
      </c>
      <c r="J61" s="44">
        <v>0.15</v>
      </c>
      <c r="K61" s="44">
        <f t="shared" si="10"/>
        <v>6796.6500000000005</v>
      </c>
      <c r="O61" s="83">
        <v>0.92</v>
      </c>
      <c r="P61" s="83">
        <f t="shared" si="8"/>
        <v>10.718</v>
      </c>
      <c r="W61" s="123">
        <v>42681</v>
      </c>
      <c r="X61" s="41">
        <v>11.32</v>
      </c>
      <c r="Y61" s="41">
        <v>11.47</v>
      </c>
      <c r="Z61" s="41">
        <v>11.28</v>
      </c>
      <c r="AA61" s="41">
        <v>11.47</v>
      </c>
      <c r="AB61" s="104">
        <v>4340100</v>
      </c>
      <c r="AC61" s="9">
        <v>11.47</v>
      </c>
      <c r="AD61" s="2">
        <f t="shared" si="1"/>
        <v>0.19000000000000128</v>
      </c>
      <c r="AE61" s="138">
        <f t="shared" si="2"/>
        <v>2.9622980251346576E-2</v>
      </c>
      <c r="AL61" s="234"/>
      <c r="AO61" s="234"/>
    </row>
    <row r="62" spans="2:42" x14ac:dyDescent="0.25">
      <c r="B62" s="459">
        <v>42543</v>
      </c>
      <c r="C62" s="7">
        <v>480</v>
      </c>
      <c r="D62" s="79">
        <v>13.88</v>
      </c>
      <c r="E62" s="44">
        <v>0</v>
      </c>
      <c r="F62" s="44">
        <f t="shared" si="11"/>
        <v>6662.4000000000005</v>
      </c>
      <c r="G62" s="459">
        <v>42550</v>
      </c>
      <c r="H62" s="7">
        <v>480</v>
      </c>
      <c r="I62" s="79">
        <v>14.78</v>
      </c>
      <c r="J62" s="44">
        <v>7.1</v>
      </c>
      <c r="K62" s="44">
        <f t="shared" si="10"/>
        <v>7087.2999999999993</v>
      </c>
      <c r="O62" s="83">
        <v>0.91</v>
      </c>
      <c r="P62" s="83">
        <f t="shared" si="8"/>
        <v>10.601500000000001</v>
      </c>
      <c r="W62" s="123">
        <v>42678</v>
      </c>
      <c r="X62" s="41">
        <v>11.29</v>
      </c>
      <c r="Y62" s="41">
        <v>11.53</v>
      </c>
      <c r="Z62" s="41">
        <v>11.14</v>
      </c>
      <c r="AA62" s="41">
        <v>11.14</v>
      </c>
      <c r="AB62" s="104">
        <v>5341800</v>
      </c>
      <c r="AC62" s="9">
        <v>11.14</v>
      </c>
      <c r="AD62" s="2">
        <f t="shared" si="1"/>
        <v>0.38999999999999879</v>
      </c>
      <c r="AE62" s="138">
        <f t="shared" si="2"/>
        <v>3.6036036036037888E-3</v>
      </c>
    </row>
    <row r="63" spans="2:42" x14ac:dyDescent="0.25">
      <c r="B63" s="459">
        <v>42545</v>
      </c>
      <c r="C63" s="7">
        <v>480</v>
      </c>
      <c r="D63" s="79">
        <v>13.65</v>
      </c>
      <c r="E63" s="44">
        <v>-0.05</v>
      </c>
      <c r="F63" s="44">
        <f t="shared" si="11"/>
        <v>6551.95</v>
      </c>
      <c r="G63" s="459">
        <v>42580</v>
      </c>
      <c r="H63" s="82">
        <v>1000</v>
      </c>
      <c r="I63" s="79">
        <v>13.73</v>
      </c>
      <c r="J63" s="44">
        <v>-0.7</v>
      </c>
      <c r="K63" s="44">
        <f t="shared" si="10"/>
        <v>13730.7</v>
      </c>
      <c r="O63" s="83">
        <v>0.9</v>
      </c>
      <c r="P63" s="83">
        <f t="shared" si="8"/>
        <v>10.485000000000001</v>
      </c>
      <c r="W63" s="123">
        <v>42677</v>
      </c>
      <c r="X63" s="41">
        <v>10.88</v>
      </c>
      <c r="Y63" s="41">
        <v>11.28</v>
      </c>
      <c r="Z63" s="41">
        <v>10.85</v>
      </c>
      <c r="AA63" s="41">
        <v>11.1</v>
      </c>
      <c r="AB63" s="104">
        <v>5443300</v>
      </c>
      <c r="AC63" s="9">
        <v>11.1</v>
      </c>
      <c r="AD63" s="2">
        <f t="shared" si="1"/>
        <v>0.42999999999999972</v>
      </c>
      <c r="AE63" s="138">
        <f t="shared" si="2"/>
        <v>1.9283746556473691E-2</v>
      </c>
      <c r="AL63" s="234"/>
      <c r="AO63" s="234"/>
      <c r="AP63" s="234"/>
    </row>
    <row r="64" spans="2:42" ht="15" customHeight="1" x14ac:dyDescent="0.25">
      <c r="B64" s="459">
        <v>42556</v>
      </c>
      <c r="C64" s="7">
        <v>480</v>
      </c>
      <c r="D64" s="79">
        <v>14.18</v>
      </c>
      <c r="E64" s="44">
        <v>0</v>
      </c>
      <c r="F64" s="44">
        <f t="shared" si="11"/>
        <v>6806.4</v>
      </c>
      <c r="G64" s="459">
        <v>42605</v>
      </c>
      <c r="H64" s="82">
        <v>500</v>
      </c>
      <c r="I64" s="79">
        <v>12.72</v>
      </c>
      <c r="J64" s="44">
        <v>0.14000000000000001</v>
      </c>
      <c r="K64" s="44">
        <f t="shared" si="10"/>
        <v>6359.86</v>
      </c>
      <c r="W64" s="123">
        <v>42676</v>
      </c>
      <c r="X64" s="41">
        <v>11.5</v>
      </c>
      <c r="Y64" s="41">
        <v>11.51</v>
      </c>
      <c r="Z64" s="41">
        <v>10.81</v>
      </c>
      <c r="AA64" s="41">
        <v>10.89</v>
      </c>
      <c r="AB64" s="104">
        <v>15762400</v>
      </c>
      <c r="AC64" s="9">
        <v>10.89</v>
      </c>
      <c r="AD64" s="2">
        <f t="shared" si="1"/>
        <v>0.69999999999999929</v>
      </c>
      <c r="AE64" s="138">
        <f t="shared" si="2"/>
        <v>-7.7118644067796671E-2</v>
      </c>
    </row>
    <row r="65" spans="1:41" ht="16.5" customHeight="1" x14ac:dyDescent="0.25">
      <c r="A65" s="586"/>
      <c r="B65" s="459">
        <v>42578</v>
      </c>
      <c r="C65" s="7">
        <v>200</v>
      </c>
      <c r="D65" s="79">
        <v>14.05</v>
      </c>
      <c r="E65" s="44">
        <v>0</v>
      </c>
      <c r="F65" s="44">
        <f t="shared" si="11"/>
        <v>2810</v>
      </c>
      <c r="G65" s="459">
        <v>42608</v>
      </c>
      <c r="H65" s="82">
        <v>500</v>
      </c>
      <c r="I65" s="79">
        <v>12.88</v>
      </c>
      <c r="J65" s="44">
        <v>0.14000000000000001</v>
      </c>
      <c r="K65" s="44">
        <f t="shared" si="10"/>
        <v>6439.86</v>
      </c>
      <c r="W65" s="123">
        <v>42675</v>
      </c>
      <c r="X65" s="41">
        <v>11.91</v>
      </c>
      <c r="Y65" s="41">
        <v>12</v>
      </c>
      <c r="Z65" s="41">
        <v>11.72</v>
      </c>
      <c r="AA65" s="41">
        <v>11.8</v>
      </c>
      <c r="AB65" s="104">
        <v>5303100</v>
      </c>
      <c r="AC65" s="9">
        <v>11.8</v>
      </c>
      <c r="AD65" s="2">
        <f t="shared" si="1"/>
        <v>0.27999999999999936</v>
      </c>
      <c r="AE65" s="138">
        <f t="shared" si="2"/>
        <v>-8.4033613445377853E-3</v>
      </c>
      <c r="AL65" s="234"/>
      <c r="AO65" s="234"/>
    </row>
    <row r="66" spans="1:41" x14ac:dyDescent="0.25">
      <c r="A66" s="586"/>
      <c r="B66" s="459">
        <v>42580</v>
      </c>
      <c r="C66" s="7">
        <v>500</v>
      </c>
      <c r="D66" s="79">
        <v>13.55</v>
      </c>
      <c r="E66" s="44">
        <v>0</v>
      </c>
      <c r="F66" s="44">
        <f t="shared" si="11"/>
        <v>6775</v>
      </c>
      <c r="G66" s="459">
        <v>42615</v>
      </c>
      <c r="H66" s="82">
        <v>200</v>
      </c>
      <c r="I66" s="79">
        <v>12.56</v>
      </c>
      <c r="J66" s="44">
        <v>0.05</v>
      </c>
      <c r="K66" s="44">
        <f t="shared" si="10"/>
        <v>2511.9499999999998</v>
      </c>
      <c r="W66" s="123">
        <v>42674</v>
      </c>
      <c r="X66" s="41">
        <v>11.77</v>
      </c>
      <c r="Y66" s="41">
        <v>12.02</v>
      </c>
      <c r="Z66" s="41">
        <v>11.75</v>
      </c>
      <c r="AA66" s="41">
        <v>11.9</v>
      </c>
      <c r="AB66" s="104">
        <v>8600700</v>
      </c>
      <c r="AC66" s="9">
        <v>11.9</v>
      </c>
      <c r="AD66" s="2">
        <f t="shared" si="1"/>
        <v>0.26999999999999957</v>
      </c>
      <c r="AE66" s="138">
        <f t="shared" si="2"/>
        <v>1.1904761904761862E-2</v>
      </c>
    </row>
    <row r="67" spans="1:41" ht="17.25" customHeight="1" x14ac:dyDescent="0.25">
      <c r="A67" s="586"/>
      <c r="B67" s="459">
        <v>42580</v>
      </c>
      <c r="C67" s="7">
        <v>300</v>
      </c>
      <c r="D67" s="79">
        <v>13.28</v>
      </c>
      <c r="E67" s="44">
        <v>0</v>
      </c>
      <c r="F67" s="44">
        <f t="shared" si="11"/>
        <v>3984</v>
      </c>
      <c r="G67" s="459">
        <v>42620</v>
      </c>
      <c r="H67" s="82">
        <v>500</v>
      </c>
      <c r="I67" s="79">
        <v>12.92</v>
      </c>
      <c r="J67" s="44">
        <v>0.14000000000000001</v>
      </c>
      <c r="K67" s="44">
        <f t="shared" si="10"/>
        <v>6459.86</v>
      </c>
      <c r="W67" s="123">
        <v>42671</v>
      </c>
      <c r="X67" s="41">
        <v>12.05</v>
      </c>
      <c r="Y67" s="41">
        <v>12.1</v>
      </c>
      <c r="Z67" s="41">
        <v>11.27</v>
      </c>
      <c r="AA67" s="41">
        <v>11.76</v>
      </c>
      <c r="AB67" s="104">
        <v>12747200</v>
      </c>
      <c r="AC67" s="9">
        <v>11.76</v>
      </c>
      <c r="AD67" s="2">
        <f>Y67-Z67</f>
        <v>0.83000000000000007</v>
      </c>
      <c r="AE67" s="138" t="e">
        <f>AC67/AC68-1</f>
        <v>#DIV/0!</v>
      </c>
      <c r="AL67" s="234"/>
    </row>
    <row r="68" spans="1:41" ht="18" customHeight="1" x14ac:dyDescent="0.25">
      <c r="A68" s="608"/>
      <c r="B68" s="459">
        <v>42586</v>
      </c>
      <c r="C68" s="7">
        <v>500</v>
      </c>
      <c r="D68" s="79">
        <v>13.1</v>
      </c>
      <c r="E68" s="44">
        <v>0</v>
      </c>
      <c r="F68" s="44">
        <f t="shared" si="11"/>
        <v>6550</v>
      </c>
      <c r="G68" s="459">
        <v>42620</v>
      </c>
      <c r="H68" s="82">
        <v>500</v>
      </c>
      <c r="I68" s="79">
        <v>13.15</v>
      </c>
      <c r="J68" s="44">
        <v>0.14000000000000001</v>
      </c>
      <c r="K68" s="44">
        <f t="shared" si="10"/>
        <v>6574.86</v>
      </c>
      <c r="W68" s="123" t="s">
        <v>121</v>
      </c>
      <c r="X68" s="41"/>
      <c r="Y68" s="41"/>
      <c r="Z68" s="41"/>
      <c r="AA68" s="41"/>
      <c r="AB68" s="9"/>
      <c r="AC68" s="9"/>
      <c r="AD68" s="2">
        <f>Y68-Z68</f>
        <v>0</v>
      </c>
      <c r="AE68" s="138" t="e">
        <f>AC68/AC69-1</f>
        <v>#DIV/0!</v>
      </c>
    </row>
    <row r="69" spans="1:41" x14ac:dyDescent="0.25">
      <c r="A69" s="608"/>
      <c r="B69" s="459">
        <v>42590</v>
      </c>
      <c r="C69" s="7">
        <v>200</v>
      </c>
      <c r="D69" s="79">
        <v>13.05</v>
      </c>
      <c r="E69" s="44">
        <v>0</v>
      </c>
      <c r="F69" s="44">
        <f t="shared" si="11"/>
        <v>2610</v>
      </c>
      <c r="G69" s="459">
        <v>42620</v>
      </c>
      <c r="H69" s="82">
        <v>300</v>
      </c>
      <c r="I69" s="79">
        <v>13.32</v>
      </c>
      <c r="J69" s="44">
        <v>0.09</v>
      </c>
      <c r="K69" s="44">
        <f t="shared" si="10"/>
        <v>3995.91</v>
      </c>
      <c r="O69" s="2"/>
    </row>
    <row r="70" spans="1:41" x14ac:dyDescent="0.25">
      <c r="A70" s="608"/>
      <c r="B70" s="459">
        <v>42590</v>
      </c>
      <c r="C70" s="7">
        <v>300</v>
      </c>
      <c r="D70" s="79">
        <v>13.05</v>
      </c>
      <c r="E70" s="44">
        <v>0</v>
      </c>
      <c r="F70" s="44">
        <f t="shared" si="11"/>
        <v>3915</v>
      </c>
      <c r="G70" s="459">
        <v>42621</v>
      </c>
      <c r="H70" s="82">
        <v>200</v>
      </c>
      <c r="I70" s="79">
        <v>13.75</v>
      </c>
      <c r="J70" s="44">
        <v>0.06</v>
      </c>
      <c r="K70" s="44">
        <f t="shared" si="10"/>
        <v>2749.94</v>
      </c>
    </row>
    <row r="71" spans="1:41" x14ac:dyDescent="0.25">
      <c r="A71" s="608"/>
      <c r="B71" s="459">
        <v>42591</v>
      </c>
      <c r="C71" s="7">
        <v>200</v>
      </c>
      <c r="D71" s="79">
        <v>12.76</v>
      </c>
      <c r="E71" s="44">
        <v>0</v>
      </c>
      <c r="F71" s="44">
        <f t="shared" ref="F71:F72" si="12">C71*D71+E71</f>
        <v>2552</v>
      </c>
      <c r="G71" s="459">
        <v>42629</v>
      </c>
      <c r="H71" s="82">
        <v>300</v>
      </c>
      <c r="I71" s="79">
        <v>13.28</v>
      </c>
      <c r="J71" s="44">
        <v>0.09</v>
      </c>
      <c r="K71" s="44">
        <f t="shared" si="10"/>
        <v>3983.91</v>
      </c>
    </row>
    <row r="72" spans="1:41" ht="15" customHeight="1" x14ac:dyDescent="0.25">
      <c r="A72" s="608"/>
      <c r="B72" s="459">
        <v>42591</v>
      </c>
      <c r="C72" s="7">
        <v>200</v>
      </c>
      <c r="D72" s="79">
        <v>12.62</v>
      </c>
      <c r="E72" s="44">
        <v>0</v>
      </c>
      <c r="F72" s="44">
        <f t="shared" si="12"/>
        <v>2524</v>
      </c>
      <c r="G72" s="459">
        <v>42634</v>
      </c>
      <c r="H72" s="82">
        <v>200</v>
      </c>
      <c r="I72" s="79">
        <v>13.88</v>
      </c>
      <c r="J72" s="44">
        <v>0.06</v>
      </c>
      <c r="K72" s="44">
        <f t="shared" si="10"/>
        <v>2775.94</v>
      </c>
    </row>
    <row r="73" spans="1:41" x14ac:dyDescent="0.25">
      <c r="A73" s="608"/>
      <c r="B73" s="459">
        <v>42591</v>
      </c>
      <c r="C73" s="7">
        <v>100</v>
      </c>
      <c r="D73" s="79">
        <v>12.62</v>
      </c>
      <c r="E73" s="44">
        <v>0</v>
      </c>
      <c r="F73" s="44">
        <f t="shared" ref="F73:F81" si="13">C73*D73+E73</f>
        <v>1262</v>
      </c>
      <c r="G73" s="459">
        <v>42634</v>
      </c>
      <c r="H73" s="82">
        <v>200</v>
      </c>
      <c r="I73" s="79">
        <v>13.86</v>
      </c>
      <c r="J73" s="44">
        <v>0.06</v>
      </c>
      <c r="K73" s="44">
        <f t="shared" si="10"/>
        <v>2771.94</v>
      </c>
    </row>
    <row r="74" spans="1:41" x14ac:dyDescent="0.25">
      <c r="B74" s="459">
        <v>42601</v>
      </c>
      <c r="C74" s="7">
        <v>500</v>
      </c>
      <c r="D74" s="79">
        <v>12.28</v>
      </c>
      <c r="E74" s="44">
        <v>0</v>
      </c>
      <c r="F74" s="44">
        <f t="shared" si="13"/>
        <v>6140</v>
      </c>
      <c r="G74" s="459">
        <v>42646</v>
      </c>
      <c r="H74" s="82">
        <v>500</v>
      </c>
      <c r="I74" s="79">
        <v>12.52</v>
      </c>
      <c r="J74" s="44">
        <v>0.14000000000000001</v>
      </c>
      <c r="K74" s="44">
        <f t="shared" si="10"/>
        <v>6259.86</v>
      </c>
    </row>
    <row r="75" spans="1:41" x14ac:dyDescent="0.25">
      <c r="B75" s="459">
        <v>42604</v>
      </c>
      <c r="C75" s="7">
        <v>500</v>
      </c>
      <c r="D75" s="79">
        <v>12.08</v>
      </c>
      <c r="E75" s="44">
        <v>0</v>
      </c>
      <c r="F75" s="44">
        <f t="shared" si="13"/>
        <v>6040</v>
      </c>
      <c r="G75" s="459">
        <v>42648</v>
      </c>
      <c r="H75" s="82">
        <v>500</v>
      </c>
      <c r="I75" s="79">
        <v>12.42</v>
      </c>
      <c r="J75" s="44">
        <v>0.14000000000000001</v>
      </c>
      <c r="K75" s="44">
        <f t="shared" si="10"/>
        <v>6209.86</v>
      </c>
    </row>
    <row r="76" spans="1:41" x14ac:dyDescent="0.25">
      <c r="B76" s="459">
        <v>42605</v>
      </c>
      <c r="C76" s="7">
        <v>500</v>
      </c>
      <c r="D76" s="79">
        <v>12.55</v>
      </c>
      <c r="E76" s="44">
        <v>0</v>
      </c>
      <c r="F76" s="44">
        <f t="shared" si="13"/>
        <v>6275</v>
      </c>
      <c r="G76" s="459">
        <v>42653</v>
      </c>
      <c r="H76" s="82">
        <v>1000</v>
      </c>
      <c r="I76" s="79">
        <v>12.85</v>
      </c>
      <c r="J76" s="44">
        <v>0.28000000000000003</v>
      </c>
      <c r="K76" s="44">
        <f t="shared" si="10"/>
        <v>12849.72</v>
      </c>
    </row>
    <row r="77" spans="1:41" ht="15" customHeight="1" x14ac:dyDescent="0.25">
      <c r="B77" s="459">
        <v>42608</v>
      </c>
      <c r="C77" s="7">
        <v>500</v>
      </c>
      <c r="D77" s="79">
        <v>12.62</v>
      </c>
      <c r="E77" s="44">
        <v>0</v>
      </c>
      <c r="F77" s="44">
        <f t="shared" si="13"/>
        <v>6310</v>
      </c>
      <c r="G77" s="459">
        <v>42653</v>
      </c>
      <c r="H77" s="82">
        <v>500</v>
      </c>
      <c r="I77" s="79">
        <v>13.13</v>
      </c>
      <c r="J77" s="44">
        <v>0.14000000000000001</v>
      </c>
      <c r="K77" s="44">
        <f t="shared" si="10"/>
        <v>6564.86</v>
      </c>
    </row>
    <row r="78" spans="1:41" x14ac:dyDescent="0.25">
      <c r="B78" s="459">
        <v>42612</v>
      </c>
      <c r="C78" s="7">
        <v>200</v>
      </c>
      <c r="D78" s="79">
        <v>12.38</v>
      </c>
      <c r="E78" s="44">
        <v>0</v>
      </c>
      <c r="F78" s="44">
        <f t="shared" si="13"/>
        <v>2476</v>
      </c>
      <c r="G78" s="459">
        <v>42662</v>
      </c>
      <c r="H78" s="82">
        <v>300</v>
      </c>
      <c r="I78" s="79">
        <v>13.12</v>
      </c>
      <c r="J78" s="44">
        <v>0.09</v>
      </c>
      <c r="K78" s="44">
        <f t="shared" si="10"/>
        <v>3935.9099999999994</v>
      </c>
      <c r="P78" s="1"/>
    </row>
    <row r="79" spans="1:41" x14ac:dyDescent="0.25">
      <c r="B79" s="459">
        <v>42622</v>
      </c>
      <c r="C79" s="7">
        <v>200</v>
      </c>
      <c r="D79" s="79">
        <v>13.38</v>
      </c>
      <c r="E79" s="44">
        <v>0</v>
      </c>
      <c r="F79" s="44">
        <f t="shared" si="13"/>
        <v>2676</v>
      </c>
      <c r="G79" s="459">
        <v>42671</v>
      </c>
      <c r="H79" s="82">
        <v>100</v>
      </c>
      <c r="I79" s="79">
        <v>11.71</v>
      </c>
      <c r="J79" s="44">
        <v>0.03</v>
      </c>
      <c r="K79" s="44">
        <f t="shared" si="10"/>
        <v>1170.97</v>
      </c>
    </row>
    <row r="80" spans="1:41" ht="15" customHeight="1" x14ac:dyDescent="0.25">
      <c r="B80" s="459">
        <v>42627</v>
      </c>
      <c r="C80" s="7">
        <v>300</v>
      </c>
      <c r="D80" s="79">
        <v>12.85</v>
      </c>
      <c r="E80" s="44">
        <v>0</v>
      </c>
      <c r="F80" s="44">
        <f t="shared" si="13"/>
        <v>3855</v>
      </c>
      <c r="G80" s="459">
        <v>42677</v>
      </c>
      <c r="H80" s="82">
        <v>300</v>
      </c>
      <c r="I80" s="79">
        <v>11.2</v>
      </c>
      <c r="J80" s="44">
        <v>7.0000000000000007E-2</v>
      </c>
      <c r="K80" s="44">
        <f t="shared" si="10"/>
        <v>3359.93</v>
      </c>
    </row>
    <row r="81" spans="2:21" x14ac:dyDescent="0.25">
      <c r="B81" s="459">
        <v>42634</v>
      </c>
      <c r="C81" s="7">
        <v>100</v>
      </c>
      <c r="D81" s="79">
        <v>13.656000000000001</v>
      </c>
      <c r="E81" s="44">
        <v>0.03</v>
      </c>
      <c r="F81" s="44">
        <f t="shared" si="13"/>
        <v>1365.63</v>
      </c>
      <c r="G81" s="459">
        <v>42688</v>
      </c>
      <c r="H81" s="82">
        <v>1000</v>
      </c>
      <c r="I81" s="79">
        <v>11.58</v>
      </c>
      <c r="J81" s="44">
        <v>0.25</v>
      </c>
      <c r="K81" s="44">
        <f t="shared" si="10"/>
        <v>11579.75</v>
      </c>
    </row>
    <row r="82" spans="2:21" x14ac:dyDescent="0.25">
      <c r="B82" s="459">
        <v>42634</v>
      </c>
      <c r="C82" s="7">
        <v>100</v>
      </c>
      <c r="D82" s="79">
        <v>13.656000000000001</v>
      </c>
      <c r="E82" s="44">
        <v>0.03</v>
      </c>
      <c r="F82" s="44">
        <f t="shared" ref="F82" si="14">C82*D82+E82</f>
        <v>1365.63</v>
      </c>
      <c r="G82" s="459">
        <v>42702</v>
      </c>
      <c r="H82" s="82">
        <v>300</v>
      </c>
      <c r="I82" s="79">
        <v>11.9</v>
      </c>
      <c r="J82" s="44">
        <v>0.08</v>
      </c>
      <c r="K82" s="44">
        <f t="shared" si="10"/>
        <v>3569.92</v>
      </c>
    </row>
    <row r="83" spans="2:21" ht="15" customHeight="1" x14ac:dyDescent="0.25">
      <c r="B83" s="459">
        <v>42641</v>
      </c>
      <c r="C83" s="7">
        <v>200</v>
      </c>
      <c r="D83" s="79">
        <v>13.32</v>
      </c>
      <c r="E83" s="44">
        <v>0</v>
      </c>
      <c r="F83" s="44">
        <f t="shared" ref="F83:F103" si="15">C83*D83+E83</f>
        <v>2664</v>
      </c>
      <c r="G83" s="459">
        <v>42710</v>
      </c>
      <c r="H83" s="185">
        <v>300</v>
      </c>
      <c r="I83" s="240">
        <v>10.99</v>
      </c>
      <c r="J83" s="3">
        <v>-1.07</v>
      </c>
      <c r="K83" s="3">
        <f t="shared" si="10"/>
        <v>3298.07</v>
      </c>
    </row>
    <row r="84" spans="2:21" x14ac:dyDescent="0.25">
      <c r="B84" s="459">
        <v>42642</v>
      </c>
      <c r="C84" s="7">
        <v>300</v>
      </c>
      <c r="D84" s="79">
        <v>12.95</v>
      </c>
      <c r="E84" s="44">
        <v>-1.5</v>
      </c>
      <c r="F84" s="44">
        <f t="shared" si="15"/>
        <v>3883.5</v>
      </c>
      <c r="G84" s="459">
        <v>42710</v>
      </c>
      <c r="H84" s="82">
        <v>200</v>
      </c>
      <c r="I84" s="79">
        <v>11.1</v>
      </c>
      <c r="J84" s="44">
        <v>0.05</v>
      </c>
      <c r="K84" s="44">
        <f t="shared" si="10"/>
        <v>2219.9499999999998</v>
      </c>
    </row>
    <row r="85" spans="2:21" ht="15" customHeight="1" x14ac:dyDescent="0.25">
      <c r="B85" s="459">
        <v>42643</v>
      </c>
      <c r="C85" s="7">
        <v>500</v>
      </c>
      <c r="D85" s="79">
        <v>12.64</v>
      </c>
      <c r="E85" s="44">
        <v>0</v>
      </c>
      <c r="F85" s="44">
        <f t="shared" si="15"/>
        <v>6320</v>
      </c>
      <c r="G85" s="459">
        <v>42711</v>
      </c>
      <c r="H85" s="185">
        <v>300</v>
      </c>
      <c r="I85" s="80">
        <v>11.19</v>
      </c>
      <c r="J85" s="2">
        <v>7.0000000000000007E-2</v>
      </c>
      <c r="K85" s="2">
        <f t="shared" si="10"/>
        <v>3356.93</v>
      </c>
      <c r="M85" s="586"/>
    </row>
    <row r="86" spans="2:21" ht="15" customHeight="1" x14ac:dyDescent="0.25">
      <c r="B86" s="459">
        <v>42646</v>
      </c>
      <c r="C86" s="7">
        <v>500</v>
      </c>
      <c r="D86" s="79">
        <v>12.58</v>
      </c>
      <c r="E86" s="44">
        <v>-2.5</v>
      </c>
      <c r="F86" s="44">
        <f t="shared" si="15"/>
        <v>6287.5</v>
      </c>
      <c r="G86" s="459">
        <v>42712</v>
      </c>
      <c r="H86" s="185">
        <v>200</v>
      </c>
      <c r="I86" s="80">
        <v>11.4</v>
      </c>
      <c r="J86" s="2">
        <v>0.05</v>
      </c>
      <c r="K86" s="2">
        <f t="shared" si="10"/>
        <v>2279.9499999999998</v>
      </c>
      <c r="M86" s="586"/>
      <c r="Q86" s="1"/>
      <c r="R86" s="2"/>
    </row>
    <row r="87" spans="2:21" x14ac:dyDescent="0.25">
      <c r="B87" s="459">
        <v>42646</v>
      </c>
      <c r="C87" s="7">
        <v>200</v>
      </c>
      <c r="D87" s="79">
        <v>12.48</v>
      </c>
      <c r="E87" s="44">
        <v>0</v>
      </c>
      <c r="F87" s="44">
        <f t="shared" si="15"/>
        <v>2496</v>
      </c>
      <c r="G87" s="459">
        <v>42713</v>
      </c>
      <c r="H87" s="185">
        <v>200</v>
      </c>
      <c r="I87" s="240">
        <v>11.72</v>
      </c>
      <c r="J87" s="3">
        <v>0.05</v>
      </c>
      <c r="K87" s="3">
        <f t="shared" si="10"/>
        <v>2343.9499999999998</v>
      </c>
      <c r="M87" s="505"/>
    </row>
    <row r="88" spans="2:21" x14ac:dyDescent="0.25">
      <c r="B88" s="459">
        <v>42646</v>
      </c>
      <c r="C88" s="7">
        <v>300</v>
      </c>
      <c r="D88" s="79">
        <v>12.35</v>
      </c>
      <c r="E88" s="44">
        <v>0</v>
      </c>
      <c r="F88" s="44">
        <f t="shared" si="15"/>
        <v>3705</v>
      </c>
      <c r="G88" s="459">
        <v>42733</v>
      </c>
      <c r="H88" s="185">
        <v>1000</v>
      </c>
      <c r="I88" s="80">
        <v>11.63</v>
      </c>
      <c r="J88" s="2">
        <v>0.25</v>
      </c>
      <c r="K88" s="2">
        <f t="shared" si="10"/>
        <v>11629.75</v>
      </c>
      <c r="M88" s="505"/>
    </row>
    <row r="89" spans="2:21" ht="15" customHeight="1" x14ac:dyDescent="0.25">
      <c r="B89" s="459">
        <v>42647</v>
      </c>
      <c r="C89" s="7">
        <v>500</v>
      </c>
      <c r="D89" s="79">
        <v>12.18</v>
      </c>
      <c r="E89" s="44">
        <v>0</v>
      </c>
      <c r="F89" s="44">
        <f t="shared" si="15"/>
        <v>6090</v>
      </c>
      <c r="G89" s="459">
        <v>42766</v>
      </c>
      <c r="H89" s="7">
        <v>200</v>
      </c>
      <c r="I89" s="79">
        <v>11.65</v>
      </c>
      <c r="J89" s="44">
        <v>0.05</v>
      </c>
      <c r="K89" s="44">
        <f>H89*I89-J89</f>
        <v>2329.9499999999998</v>
      </c>
      <c r="U89" s="83"/>
    </row>
    <row r="90" spans="2:21" x14ac:dyDescent="0.25">
      <c r="B90" s="459">
        <v>42664</v>
      </c>
      <c r="C90" s="7">
        <v>300</v>
      </c>
      <c r="D90" s="79">
        <v>12.72</v>
      </c>
      <c r="E90" s="44">
        <v>0</v>
      </c>
      <c r="F90" s="44">
        <f t="shared" si="15"/>
        <v>3816</v>
      </c>
      <c r="G90" s="459">
        <v>42769</v>
      </c>
      <c r="H90" s="82">
        <v>300</v>
      </c>
      <c r="I90" s="79">
        <v>11.7</v>
      </c>
      <c r="J90" s="44">
        <v>0.08</v>
      </c>
      <c r="K90" s="44">
        <f>H90*I90-J90</f>
        <v>3509.92</v>
      </c>
    </row>
    <row r="91" spans="2:21" x14ac:dyDescent="0.25">
      <c r="B91" s="459">
        <v>42667</v>
      </c>
      <c r="C91" s="7">
        <v>200</v>
      </c>
      <c r="D91" s="79">
        <v>12.38</v>
      </c>
      <c r="E91" s="44">
        <v>0</v>
      </c>
      <c r="F91" s="44">
        <f t="shared" si="15"/>
        <v>2476</v>
      </c>
      <c r="O91" s="1"/>
    </row>
    <row r="92" spans="2:21" ht="15" customHeight="1" x14ac:dyDescent="0.25">
      <c r="B92" s="459">
        <v>42668</v>
      </c>
      <c r="C92" s="7">
        <v>300</v>
      </c>
      <c r="D92" s="79">
        <v>12.18</v>
      </c>
      <c r="E92" s="44">
        <v>0</v>
      </c>
      <c r="F92" s="44">
        <f t="shared" si="15"/>
        <v>3654</v>
      </c>
    </row>
    <row r="93" spans="2:21" x14ac:dyDescent="0.25">
      <c r="B93" s="459">
        <v>42671</v>
      </c>
      <c r="C93" s="7">
        <v>100</v>
      </c>
      <c r="D93" s="79">
        <v>11.38</v>
      </c>
      <c r="E93" s="44">
        <v>0</v>
      </c>
      <c r="F93" s="44">
        <f t="shared" si="15"/>
        <v>1138</v>
      </c>
    </row>
    <row r="94" spans="2:21" x14ac:dyDescent="0.25">
      <c r="B94" s="459">
        <v>42676</v>
      </c>
      <c r="C94" s="7">
        <v>100</v>
      </c>
      <c r="D94" s="79">
        <v>11.38</v>
      </c>
      <c r="E94" s="44">
        <v>0</v>
      </c>
      <c r="F94" s="44">
        <f t="shared" si="15"/>
        <v>1138</v>
      </c>
      <c r="P94" s="2"/>
    </row>
    <row r="95" spans="2:21" x14ac:dyDescent="0.25">
      <c r="B95" s="459">
        <v>42676</v>
      </c>
      <c r="C95" s="7">
        <v>200</v>
      </c>
      <c r="D95" s="79">
        <v>11</v>
      </c>
      <c r="E95" s="44">
        <v>0</v>
      </c>
      <c r="F95" s="44">
        <f t="shared" si="15"/>
        <v>2200</v>
      </c>
    </row>
    <row r="96" spans="2:21" x14ac:dyDescent="0.25">
      <c r="B96" s="74">
        <v>42684</v>
      </c>
      <c r="C96" s="7">
        <v>1000</v>
      </c>
      <c r="D96" s="79">
        <v>11.29</v>
      </c>
      <c r="E96" s="44">
        <v>-1</v>
      </c>
      <c r="F96" s="44">
        <f t="shared" si="15"/>
        <v>11289</v>
      </c>
    </row>
    <row r="97" spans="1:15" x14ac:dyDescent="0.25">
      <c r="B97" s="459">
        <v>42704</v>
      </c>
      <c r="C97" s="7">
        <v>300</v>
      </c>
      <c r="D97" s="79">
        <v>11.36</v>
      </c>
      <c r="E97" s="44">
        <v>0</v>
      </c>
      <c r="F97" s="44">
        <f t="shared" si="15"/>
        <v>3408</v>
      </c>
      <c r="O97" s="1"/>
    </row>
    <row r="98" spans="1:15" x14ac:dyDescent="0.25">
      <c r="A98" s="652"/>
      <c r="B98" s="74">
        <v>42705</v>
      </c>
      <c r="C98" s="7">
        <v>300</v>
      </c>
      <c r="D98" s="79">
        <v>10.8</v>
      </c>
      <c r="E98" s="44">
        <v>0</v>
      </c>
      <c r="F98" s="44">
        <f t="shared" si="15"/>
        <v>3240</v>
      </c>
      <c r="O98" s="1"/>
    </row>
    <row r="99" spans="1:15" x14ac:dyDescent="0.25">
      <c r="A99" s="652"/>
      <c r="B99" s="459">
        <v>42705</v>
      </c>
      <c r="C99" s="7">
        <v>200</v>
      </c>
      <c r="D99" s="79">
        <v>10.58</v>
      </c>
      <c r="E99" s="44">
        <v>0</v>
      </c>
      <c r="F99" s="44">
        <f t="shared" si="15"/>
        <v>2116</v>
      </c>
    </row>
    <row r="100" spans="1:15" x14ac:dyDescent="0.25">
      <c r="B100" s="74">
        <v>42716</v>
      </c>
      <c r="C100" s="7">
        <v>200</v>
      </c>
      <c r="D100" s="79">
        <v>11.44</v>
      </c>
      <c r="E100" s="44">
        <v>0</v>
      </c>
      <c r="F100" s="44">
        <f t="shared" si="15"/>
        <v>2288</v>
      </c>
      <c r="O100" s="1"/>
    </row>
    <row r="101" spans="1:15" x14ac:dyDescent="0.25">
      <c r="B101" s="503">
        <v>42765</v>
      </c>
      <c r="C101" s="7">
        <v>200</v>
      </c>
      <c r="D101" s="79">
        <v>11.48</v>
      </c>
      <c r="E101" s="44">
        <v>0</v>
      </c>
      <c r="F101" s="44">
        <f t="shared" si="15"/>
        <v>2296</v>
      </c>
      <c r="O101" s="1"/>
    </row>
    <row r="102" spans="1:15" x14ac:dyDescent="0.25">
      <c r="B102" s="503">
        <v>42767</v>
      </c>
      <c r="C102" s="7">
        <v>300</v>
      </c>
      <c r="D102" s="79">
        <v>11.45</v>
      </c>
      <c r="E102" s="44">
        <v>0</v>
      </c>
      <c r="F102" s="44">
        <f t="shared" si="15"/>
        <v>3435</v>
      </c>
    </row>
    <row r="103" spans="1:15" x14ac:dyDescent="0.25">
      <c r="C103" s="4"/>
      <c r="D103" s="240"/>
      <c r="E103" s="3"/>
      <c r="F103" s="3"/>
    </row>
    <row r="106" spans="1:15" x14ac:dyDescent="0.25">
      <c r="C106" s="4"/>
      <c r="D106" s="240"/>
      <c r="E106" s="3"/>
      <c r="F106" s="3"/>
    </row>
    <row r="107" spans="1:15" x14ac:dyDescent="0.25">
      <c r="A107" s="32" t="s">
        <v>81</v>
      </c>
      <c r="B107" s="14"/>
      <c r="C107" s="14">
        <f>SUM(C2:C106)</f>
        <v>39105</v>
      </c>
      <c r="D107" s="81"/>
      <c r="E107" s="14"/>
      <c r="F107" s="18">
        <f>SUM(F2:F106)</f>
        <v>558039.78</v>
      </c>
      <c r="G107" s="14"/>
      <c r="H107" s="14">
        <f>SUM(H2:H106)</f>
        <v>37105</v>
      </c>
      <c r="I107" s="81"/>
      <c r="J107" s="14"/>
      <c r="K107" s="18">
        <f>SUM(K2:K106)</f>
        <v>508571.59999999986</v>
      </c>
      <c r="L107" s="14"/>
      <c r="M107" s="14"/>
    </row>
    <row r="108" spans="1:15" ht="15.75" thickBot="1" x14ac:dyDescent="0.3">
      <c r="A108" s="356" t="s">
        <v>198</v>
      </c>
      <c r="B108" s="357"/>
      <c r="C108" s="358">
        <f>SumByColor($A$108,C2:C106)</f>
        <v>35105</v>
      </c>
      <c r="D108" s="358"/>
      <c r="E108" s="358"/>
      <c r="F108" s="359">
        <f>SumByColor($A$108,F2:F106)</f>
        <v>485011</v>
      </c>
      <c r="G108" s="358"/>
      <c r="H108" s="358">
        <f>SumByColor($A$108,H2:H106)</f>
        <v>34805</v>
      </c>
      <c r="I108" s="358"/>
      <c r="J108" s="358"/>
      <c r="K108" s="359">
        <f>SumByColor($A$108,K2:K106)</f>
        <v>482156</v>
      </c>
      <c r="L108" s="358"/>
      <c r="M108" s="359">
        <f>SumByColor($A$108,M2:M106)</f>
        <v>0</v>
      </c>
    </row>
    <row r="112" spans="1:15" x14ac:dyDescent="0.25">
      <c r="B112" s="191" t="s">
        <v>114</v>
      </c>
      <c r="C112" s="191" t="s">
        <v>147</v>
      </c>
      <c r="D112" s="199" t="s">
        <v>146</v>
      </c>
      <c r="E112" s="195" t="s">
        <v>148</v>
      </c>
      <c r="F112" s="195" t="s">
        <v>65</v>
      </c>
      <c r="G112" s="229" t="s">
        <v>152</v>
      </c>
      <c r="H112" s="195" t="s">
        <v>88</v>
      </c>
      <c r="I112" s="241" t="s">
        <v>152</v>
      </c>
    </row>
    <row r="113" spans="2:9" x14ac:dyDescent="0.25">
      <c r="B113" s="193">
        <v>42304</v>
      </c>
      <c r="C113" s="10">
        <v>5530</v>
      </c>
      <c r="D113" s="200">
        <v>17.41</v>
      </c>
      <c r="E113" s="40">
        <v>14.61</v>
      </c>
      <c r="F113" s="40">
        <f>C113*(E113-D113)</f>
        <v>-15484.000000000004</v>
      </c>
      <c r="G113" s="40">
        <f>IF(C113=0, 0,D113*C113)</f>
        <v>96277.3</v>
      </c>
      <c r="H113" s="232">
        <f>IF(C113=0, D113, (E113-D113)/D113)</f>
        <v>-0.16082711085583001</v>
      </c>
      <c r="I113" s="200"/>
    </row>
    <row r="114" spans="2:9" x14ac:dyDescent="0.25">
      <c r="B114" s="193">
        <v>42306</v>
      </c>
      <c r="C114" s="10">
        <v>5530</v>
      </c>
      <c r="D114" s="200">
        <v>17.41</v>
      </c>
      <c r="E114" s="40">
        <v>14.94</v>
      </c>
      <c r="F114" s="40">
        <f t="shared" ref="F114:F155" si="16">C114*(E114-D114)</f>
        <v>-13659.100000000004</v>
      </c>
      <c r="G114" s="40">
        <f t="shared" ref="G114:G155" si="17">IF(C114=0, 0,D114*C114)</f>
        <v>96277.3</v>
      </c>
      <c r="H114" s="232">
        <f t="shared" ref="H114:H155" si="18">IF(C114=0, D114, (E114-D114)/D114)</f>
        <v>-0.14187248707639291</v>
      </c>
      <c r="I114" s="200"/>
    </row>
    <row r="115" spans="2:9" x14ac:dyDescent="0.25">
      <c r="B115" s="193">
        <v>42307</v>
      </c>
      <c r="C115" s="10">
        <v>5730</v>
      </c>
      <c r="D115" s="200">
        <v>17.329999999999998</v>
      </c>
      <c r="E115" s="40">
        <v>15.51</v>
      </c>
      <c r="F115" s="40">
        <f t="shared" si="16"/>
        <v>-10428.599999999991</v>
      </c>
      <c r="G115" s="40">
        <f t="shared" si="17"/>
        <v>99300.9</v>
      </c>
      <c r="H115" s="232">
        <f t="shared" si="18"/>
        <v>-0.10502019619157522</v>
      </c>
      <c r="I115" s="200"/>
    </row>
    <row r="116" spans="2:9" x14ac:dyDescent="0.25">
      <c r="B116" s="193">
        <v>42313</v>
      </c>
      <c r="C116" s="10">
        <v>6000</v>
      </c>
      <c r="D116" s="200">
        <v>17.22</v>
      </c>
      <c r="E116" s="40">
        <v>14.88</v>
      </c>
      <c r="F116" s="40">
        <f t="shared" si="16"/>
        <v>-14039.999999999989</v>
      </c>
      <c r="G116" s="40">
        <f t="shared" si="17"/>
        <v>103320</v>
      </c>
      <c r="H116" s="232">
        <f t="shared" si="18"/>
        <v>-0.13588850174216019</v>
      </c>
      <c r="I116" s="200"/>
    </row>
    <row r="117" spans="2:9" x14ac:dyDescent="0.25">
      <c r="B117" s="193">
        <v>42314</v>
      </c>
      <c r="C117" s="10">
        <v>7006</v>
      </c>
      <c r="D117" s="200">
        <v>16.829999999999998</v>
      </c>
      <c r="E117" s="40">
        <v>14.42</v>
      </c>
      <c r="F117" s="40">
        <f t="shared" si="16"/>
        <v>-16884.459999999988</v>
      </c>
      <c r="G117" s="40">
        <f t="shared" si="17"/>
        <v>117910.97999999998</v>
      </c>
      <c r="H117" s="232">
        <f t="shared" si="18"/>
        <v>-0.14319667260843724</v>
      </c>
      <c r="I117" s="200"/>
    </row>
    <row r="118" spans="2:9" x14ac:dyDescent="0.25">
      <c r="B118" s="193">
        <v>42324</v>
      </c>
      <c r="C118" s="10">
        <v>6000</v>
      </c>
      <c r="D118" s="200">
        <v>17.18</v>
      </c>
      <c r="E118" s="40">
        <v>14.92</v>
      </c>
      <c r="F118" s="40">
        <f t="shared" si="16"/>
        <v>-13559.999999999998</v>
      </c>
      <c r="G118" s="40">
        <f t="shared" si="17"/>
        <v>103080</v>
      </c>
      <c r="H118" s="232">
        <f t="shared" si="18"/>
        <v>-0.13154831199068684</v>
      </c>
      <c r="I118" s="200"/>
    </row>
    <row r="119" spans="2:9" x14ac:dyDescent="0.25">
      <c r="B119" s="193">
        <v>42325</v>
      </c>
      <c r="C119" s="10">
        <v>7000</v>
      </c>
      <c r="D119" s="200">
        <v>16.79</v>
      </c>
      <c r="E119" s="40">
        <v>14.38</v>
      </c>
      <c r="F119" s="40">
        <f t="shared" si="16"/>
        <v>-16869.999999999989</v>
      </c>
      <c r="G119" s="40">
        <f t="shared" si="17"/>
        <v>117530</v>
      </c>
      <c r="H119" s="232">
        <f t="shared" si="18"/>
        <v>-0.14353782013103028</v>
      </c>
      <c r="I119" s="200"/>
    </row>
    <row r="120" spans="2:9" x14ac:dyDescent="0.25">
      <c r="B120" s="193">
        <v>42326</v>
      </c>
      <c r="C120" s="10">
        <v>6000</v>
      </c>
      <c r="D120" s="200">
        <v>17.16</v>
      </c>
      <c r="E120" s="40">
        <v>14.65</v>
      </c>
      <c r="F120" s="40">
        <f t="shared" si="16"/>
        <v>-15059.999999999998</v>
      </c>
      <c r="G120" s="40">
        <f t="shared" si="17"/>
        <v>102960</v>
      </c>
      <c r="H120" s="232">
        <f t="shared" si="18"/>
        <v>-0.14627039627039626</v>
      </c>
      <c r="I120" s="200"/>
    </row>
    <row r="121" spans="2:9" x14ac:dyDescent="0.25">
      <c r="B121" s="193">
        <v>42335</v>
      </c>
      <c r="C121" s="10">
        <v>6100</v>
      </c>
      <c r="D121" s="200">
        <v>17.11</v>
      </c>
      <c r="E121" s="40">
        <v>14.47</v>
      </c>
      <c r="F121" s="40">
        <f t="shared" si="16"/>
        <v>-16103.999999999993</v>
      </c>
      <c r="G121" s="40">
        <f t="shared" si="17"/>
        <v>104371</v>
      </c>
      <c r="H121" s="232">
        <f t="shared" si="18"/>
        <v>-0.15429573348918754</v>
      </c>
      <c r="I121" s="200"/>
    </row>
    <row r="122" spans="2:9" x14ac:dyDescent="0.25">
      <c r="B122" s="193">
        <v>42335</v>
      </c>
      <c r="C122" s="10">
        <v>7000</v>
      </c>
      <c r="D122" s="200">
        <v>16.77</v>
      </c>
      <c r="E122" s="40">
        <v>14.47</v>
      </c>
      <c r="F122" s="40">
        <f t="shared" si="16"/>
        <v>-16099.999999999993</v>
      </c>
      <c r="G122" s="40">
        <f t="shared" si="17"/>
        <v>117390</v>
      </c>
      <c r="H122" s="232">
        <f t="shared" si="18"/>
        <v>-0.1371496720333929</v>
      </c>
      <c r="I122" s="200"/>
    </row>
    <row r="123" spans="2:9" x14ac:dyDescent="0.25">
      <c r="B123" s="193">
        <v>42338</v>
      </c>
      <c r="C123" s="10">
        <v>6000</v>
      </c>
      <c r="D123" s="200">
        <v>17.100000000000001</v>
      </c>
      <c r="E123" s="40">
        <v>14.78</v>
      </c>
      <c r="F123" s="40">
        <f t="shared" si="16"/>
        <v>-13920.000000000013</v>
      </c>
      <c r="G123" s="40">
        <f t="shared" si="17"/>
        <v>102600.00000000001</v>
      </c>
      <c r="H123" s="232">
        <f t="shared" si="18"/>
        <v>-0.13567251461988314</v>
      </c>
      <c r="I123" s="200"/>
    </row>
    <row r="124" spans="2:9" x14ac:dyDescent="0.25">
      <c r="B124" s="193">
        <v>42338</v>
      </c>
      <c r="C124" s="10">
        <v>5900</v>
      </c>
      <c r="D124" s="200">
        <v>17.14</v>
      </c>
      <c r="E124" s="40">
        <v>14.78</v>
      </c>
      <c r="F124" s="40">
        <f t="shared" si="16"/>
        <v>-13924.000000000007</v>
      </c>
      <c r="G124" s="40">
        <f t="shared" si="17"/>
        <v>101126</v>
      </c>
      <c r="H124" s="232">
        <f t="shared" si="18"/>
        <v>-0.13768961493582271</v>
      </c>
      <c r="I124" s="200"/>
    </row>
    <row r="125" spans="2:9" x14ac:dyDescent="0.25">
      <c r="B125" s="193">
        <v>42340</v>
      </c>
      <c r="C125" s="10">
        <v>7000</v>
      </c>
      <c r="D125" s="200">
        <v>16.670000000000002</v>
      </c>
      <c r="E125" s="40">
        <v>13.9</v>
      </c>
      <c r="F125" s="40">
        <f t="shared" si="16"/>
        <v>-19390.000000000011</v>
      </c>
      <c r="G125" s="40">
        <f t="shared" si="17"/>
        <v>116690.00000000001</v>
      </c>
      <c r="H125" s="232">
        <f t="shared" si="18"/>
        <v>-0.16616676664667074</v>
      </c>
      <c r="I125" s="200"/>
    </row>
    <row r="126" spans="2:9" x14ac:dyDescent="0.25">
      <c r="B126" s="193">
        <v>42340</v>
      </c>
      <c r="C126" s="10">
        <v>7500</v>
      </c>
      <c r="D126" s="200">
        <v>16.510000000000002</v>
      </c>
      <c r="E126" s="40">
        <v>13.9</v>
      </c>
      <c r="F126" s="40">
        <f t="shared" si="16"/>
        <v>-19575.000000000007</v>
      </c>
      <c r="G126" s="40">
        <f t="shared" si="17"/>
        <v>123825.00000000001</v>
      </c>
      <c r="H126" s="232">
        <f t="shared" si="18"/>
        <v>-0.15808600847970933</v>
      </c>
      <c r="I126" s="200"/>
    </row>
    <row r="127" spans="2:9" x14ac:dyDescent="0.25">
      <c r="B127" s="193">
        <v>42344</v>
      </c>
      <c r="C127" s="10">
        <v>7500</v>
      </c>
      <c r="D127" s="200">
        <v>16.510000000000002</v>
      </c>
      <c r="E127" s="40">
        <v>13.15</v>
      </c>
      <c r="F127" s="40">
        <f t="shared" si="16"/>
        <v>-25200.000000000007</v>
      </c>
      <c r="G127" s="40">
        <f t="shared" si="17"/>
        <v>123825.00000000001</v>
      </c>
      <c r="H127" s="232">
        <f t="shared" si="18"/>
        <v>-0.20351302241066027</v>
      </c>
      <c r="I127" s="200"/>
    </row>
    <row r="128" spans="2:9" x14ac:dyDescent="0.25">
      <c r="B128" s="193">
        <v>42349</v>
      </c>
      <c r="C128" s="10">
        <v>8000</v>
      </c>
      <c r="D128" s="200">
        <v>16.260000000000002</v>
      </c>
      <c r="E128" s="40">
        <v>12.47</v>
      </c>
      <c r="F128" s="40">
        <f t="shared" si="16"/>
        <v>-30320.000000000007</v>
      </c>
      <c r="G128" s="40">
        <f t="shared" si="17"/>
        <v>130080.00000000001</v>
      </c>
      <c r="H128" s="232">
        <f t="shared" si="18"/>
        <v>-0.23308733087330877</v>
      </c>
      <c r="I128" s="200"/>
    </row>
    <row r="129" spans="2:9" x14ac:dyDescent="0.25">
      <c r="B129" s="193">
        <v>42356</v>
      </c>
      <c r="C129" s="10">
        <v>7500</v>
      </c>
      <c r="D129" s="200">
        <v>16.510000000000002</v>
      </c>
      <c r="E129" s="40">
        <v>12.6</v>
      </c>
      <c r="F129" s="40">
        <f t="shared" si="16"/>
        <v>-29325.000000000015</v>
      </c>
      <c r="G129" s="40">
        <f t="shared" si="17"/>
        <v>123825.00000000001</v>
      </c>
      <c r="H129" s="232">
        <f t="shared" si="18"/>
        <v>-0.23682616596002432</v>
      </c>
      <c r="I129" s="200"/>
    </row>
    <row r="130" spans="2:9" x14ac:dyDescent="0.25">
      <c r="B130" s="193">
        <v>42356</v>
      </c>
      <c r="C130" s="282">
        <v>4500</v>
      </c>
      <c r="D130" s="283">
        <v>19.079999999999998</v>
      </c>
      <c r="E130" s="40">
        <v>12.88</v>
      </c>
      <c r="F130" s="40">
        <f t="shared" si="16"/>
        <v>-27899.999999999989</v>
      </c>
      <c r="G130" s="40">
        <f t="shared" si="17"/>
        <v>85859.999999999985</v>
      </c>
      <c r="H130" s="232">
        <f t="shared" si="18"/>
        <v>-0.32494758909853239</v>
      </c>
      <c r="I130" s="200"/>
    </row>
    <row r="131" spans="2:9" x14ac:dyDescent="0.25">
      <c r="B131" s="193">
        <v>42397</v>
      </c>
      <c r="C131" s="426">
        <v>2000</v>
      </c>
      <c r="D131" s="212">
        <v>26.06</v>
      </c>
      <c r="E131" s="40">
        <v>15.27</v>
      </c>
      <c r="F131" s="40">
        <f t="shared" si="16"/>
        <v>-21580</v>
      </c>
      <c r="G131" s="40">
        <f t="shared" si="17"/>
        <v>52120</v>
      </c>
      <c r="H131" s="232">
        <f t="shared" si="18"/>
        <v>-0.41404451266308517</v>
      </c>
      <c r="I131" s="200"/>
    </row>
    <row r="132" spans="2:9" x14ac:dyDescent="0.25">
      <c r="B132" s="193">
        <v>42398</v>
      </c>
      <c r="C132" s="282">
        <v>1800</v>
      </c>
      <c r="D132" s="283">
        <v>27.26</v>
      </c>
      <c r="E132" s="40">
        <v>15.27</v>
      </c>
      <c r="F132" s="40">
        <f t="shared" si="16"/>
        <v>-21582.000000000004</v>
      </c>
      <c r="G132" s="40">
        <f t="shared" si="17"/>
        <v>49068</v>
      </c>
      <c r="H132" s="232">
        <f t="shared" si="18"/>
        <v>-0.43983859134262659</v>
      </c>
      <c r="I132" s="200"/>
    </row>
    <row r="133" spans="2:9" x14ac:dyDescent="0.25">
      <c r="B133" s="193">
        <v>42402</v>
      </c>
      <c r="C133" s="282">
        <v>2000</v>
      </c>
      <c r="D133" s="283">
        <v>26</v>
      </c>
      <c r="E133" s="40">
        <v>15.18</v>
      </c>
      <c r="F133" s="40">
        <f t="shared" si="16"/>
        <v>-21640</v>
      </c>
      <c r="G133" s="40">
        <f t="shared" si="17"/>
        <v>52000</v>
      </c>
      <c r="H133" s="232">
        <f t="shared" si="18"/>
        <v>-0.41615384615384615</v>
      </c>
      <c r="I133" s="200"/>
    </row>
    <row r="134" spans="2:9" x14ac:dyDescent="0.25">
      <c r="B134" s="193">
        <v>42412</v>
      </c>
      <c r="C134" s="282">
        <v>2200</v>
      </c>
      <c r="D134" s="283">
        <v>24.75</v>
      </c>
      <c r="E134" s="40">
        <v>12.35</v>
      </c>
      <c r="F134" s="40">
        <f t="shared" si="16"/>
        <v>-27280</v>
      </c>
      <c r="G134" s="40">
        <f t="shared" si="17"/>
        <v>54450</v>
      </c>
      <c r="H134" s="232">
        <f t="shared" si="18"/>
        <v>-0.50101010101010102</v>
      </c>
      <c r="I134" s="200"/>
    </row>
    <row r="135" spans="2:9" x14ac:dyDescent="0.25">
      <c r="B135" s="193">
        <v>42416</v>
      </c>
      <c r="C135" s="282">
        <v>2000</v>
      </c>
      <c r="D135" s="283">
        <v>25.96</v>
      </c>
      <c r="E135" s="40">
        <v>12.35</v>
      </c>
      <c r="F135" s="40">
        <f t="shared" si="16"/>
        <v>-27220.000000000004</v>
      </c>
      <c r="G135" s="40">
        <f t="shared" si="17"/>
        <v>51920</v>
      </c>
      <c r="H135" s="232">
        <f t="shared" si="18"/>
        <v>-0.52426810477657937</v>
      </c>
      <c r="I135" s="200"/>
    </row>
    <row r="136" spans="2:9" x14ac:dyDescent="0.25">
      <c r="B136" s="193">
        <v>42416</v>
      </c>
      <c r="C136" s="282">
        <v>1750</v>
      </c>
      <c r="D136" s="283">
        <v>27.81</v>
      </c>
      <c r="E136" s="40">
        <v>12.89</v>
      </c>
      <c r="F136" s="40">
        <f t="shared" si="16"/>
        <v>-26109.999999999996</v>
      </c>
      <c r="G136" s="40">
        <f t="shared" si="17"/>
        <v>48667.5</v>
      </c>
      <c r="H136" s="232">
        <f t="shared" si="18"/>
        <v>-0.53649766271125487</v>
      </c>
      <c r="I136" s="200"/>
    </row>
    <row r="137" spans="2:9" x14ac:dyDescent="0.25">
      <c r="B137" s="193">
        <v>42416</v>
      </c>
      <c r="C137" s="282">
        <v>2000</v>
      </c>
      <c r="D137" s="283">
        <v>25.948</v>
      </c>
      <c r="E137" s="40">
        <v>12.94</v>
      </c>
      <c r="F137" s="40">
        <f t="shared" si="16"/>
        <v>-26016</v>
      </c>
      <c r="G137" s="40">
        <f t="shared" si="17"/>
        <v>51896</v>
      </c>
      <c r="H137" s="232">
        <f t="shared" si="18"/>
        <v>-0.50131031293355943</v>
      </c>
      <c r="I137" s="200"/>
    </row>
    <row r="138" spans="2:9" x14ac:dyDescent="0.25">
      <c r="B138" s="193">
        <v>42426</v>
      </c>
      <c r="C138" s="282">
        <v>2000</v>
      </c>
      <c r="D138" s="283">
        <v>25.914999999999999</v>
      </c>
      <c r="E138" s="40">
        <v>12.37</v>
      </c>
      <c r="F138" s="40">
        <f t="shared" si="16"/>
        <v>-27090</v>
      </c>
      <c r="G138" s="40">
        <f t="shared" si="17"/>
        <v>51830</v>
      </c>
      <c r="H138" s="232">
        <f t="shared" si="18"/>
        <v>-0.52267026818444917</v>
      </c>
      <c r="I138" s="200"/>
    </row>
    <row r="139" spans="2:9" x14ac:dyDescent="0.25">
      <c r="B139" s="193">
        <v>42430</v>
      </c>
      <c r="C139" s="282">
        <v>2000</v>
      </c>
      <c r="D139" s="283">
        <v>25.914999999999999</v>
      </c>
      <c r="E139" s="40">
        <v>12.82</v>
      </c>
      <c r="F139" s="40">
        <f t="shared" si="16"/>
        <v>-26189.999999999996</v>
      </c>
      <c r="G139" s="40">
        <f t="shared" si="17"/>
        <v>51830</v>
      </c>
      <c r="H139" s="232">
        <f t="shared" si="18"/>
        <v>-0.50530580744742426</v>
      </c>
      <c r="I139" s="200">
        <v>25.5</v>
      </c>
    </row>
    <row r="140" spans="2:9" x14ac:dyDescent="0.25">
      <c r="B140" s="193">
        <v>42431</v>
      </c>
      <c r="C140" s="440">
        <v>1500</v>
      </c>
      <c r="D140" s="604">
        <v>30.137</v>
      </c>
      <c r="E140" s="40">
        <v>13.3</v>
      </c>
      <c r="F140" s="40">
        <f t="shared" si="16"/>
        <v>-25255.5</v>
      </c>
      <c r="G140" s="40">
        <f t="shared" si="17"/>
        <v>45205.5</v>
      </c>
      <c r="H140" s="232">
        <f t="shared" si="18"/>
        <v>-0.55868201878090051</v>
      </c>
      <c r="I140" s="200"/>
    </row>
    <row r="141" spans="2:9" x14ac:dyDescent="0.25">
      <c r="B141" s="193">
        <v>42444</v>
      </c>
      <c r="C141" s="282">
        <v>1500</v>
      </c>
      <c r="D141" s="283">
        <v>30.137</v>
      </c>
      <c r="E141" s="40">
        <v>14.28</v>
      </c>
      <c r="F141" s="40">
        <f t="shared" si="16"/>
        <v>-23785.5</v>
      </c>
      <c r="G141" s="40">
        <f t="shared" si="17"/>
        <v>45205.5</v>
      </c>
      <c r="H141" s="232">
        <f t="shared" si="18"/>
        <v>-0.52616385174370384</v>
      </c>
      <c r="I141" s="200"/>
    </row>
    <row r="142" spans="2:9" x14ac:dyDescent="0.25">
      <c r="B142" s="193">
        <v>42447</v>
      </c>
      <c r="C142" s="282">
        <v>1500</v>
      </c>
      <c r="D142" s="283">
        <v>30.137</v>
      </c>
      <c r="E142" s="40">
        <v>14.98</v>
      </c>
      <c r="F142" s="40">
        <f t="shared" si="16"/>
        <v>-22735.5</v>
      </c>
      <c r="G142" s="40">
        <f t="shared" si="17"/>
        <v>45205.5</v>
      </c>
      <c r="H142" s="232">
        <f t="shared" si="18"/>
        <v>-0.50293658957427745</v>
      </c>
      <c r="I142" s="200"/>
    </row>
    <row r="143" spans="2:9" x14ac:dyDescent="0.25">
      <c r="B143" s="193">
        <v>42480</v>
      </c>
      <c r="C143" s="282">
        <v>1500</v>
      </c>
      <c r="D143" s="283">
        <v>30.07</v>
      </c>
      <c r="E143" s="40">
        <v>15.44</v>
      </c>
      <c r="F143" s="40">
        <f t="shared" si="16"/>
        <v>-21945</v>
      </c>
      <c r="G143" s="40">
        <f t="shared" si="17"/>
        <v>45105</v>
      </c>
      <c r="H143" s="232">
        <f t="shared" si="18"/>
        <v>-0.48653142667110078</v>
      </c>
      <c r="I143" s="200"/>
    </row>
    <row r="144" spans="2:9" x14ac:dyDescent="0.25">
      <c r="B144" s="193">
        <v>42488</v>
      </c>
      <c r="C144" s="282">
        <v>1500</v>
      </c>
      <c r="D144" s="283">
        <v>30.030999999999999</v>
      </c>
      <c r="E144" s="40">
        <v>15.55</v>
      </c>
      <c r="F144" s="40">
        <f t="shared" si="16"/>
        <v>-21721.499999999996</v>
      </c>
      <c r="G144" s="40">
        <f t="shared" si="17"/>
        <v>45046.5</v>
      </c>
      <c r="H144" s="232">
        <f t="shared" si="18"/>
        <v>-0.4822017248842862</v>
      </c>
      <c r="I144" s="200"/>
    </row>
    <row r="145" spans="2:9" x14ac:dyDescent="0.25">
      <c r="B145" s="193">
        <v>42494</v>
      </c>
      <c r="C145" s="282">
        <v>1500</v>
      </c>
      <c r="D145" s="283">
        <v>30.030999999999999</v>
      </c>
      <c r="E145" s="40">
        <v>15.02</v>
      </c>
      <c r="F145" s="40">
        <f t="shared" si="16"/>
        <v>-22516.5</v>
      </c>
      <c r="G145" s="40">
        <f t="shared" si="17"/>
        <v>45046.5</v>
      </c>
      <c r="H145" s="232">
        <f t="shared" si="18"/>
        <v>-0.49985015483999867</v>
      </c>
      <c r="I145" s="200"/>
    </row>
    <row r="146" spans="2:9" x14ac:dyDescent="0.25">
      <c r="B146" s="193">
        <v>42517</v>
      </c>
      <c r="C146" s="282">
        <v>1500</v>
      </c>
      <c r="D146" s="283">
        <v>30.024000000000001</v>
      </c>
      <c r="E146" s="40">
        <v>14.74</v>
      </c>
      <c r="F146" s="40">
        <f t="shared" si="16"/>
        <v>-22926</v>
      </c>
      <c r="G146" s="40">
        <f t="shared" si="17"/>
        <v>45036</v>
      </c>
      <c r="H146" s="232">
        <f t="shared" si="18"/>
        <v>-0.50905941913136155</v>
      </c>
      <c r="I146" s="200"/>
    </row>
    <row r="147" spans="2:9" x14ac:dyDescent="0.25">
      <c r="B147" s="193">
        <v>42522</v>
      </c>
      <c r="C147" s="282">
        <v>1500</v>
      </c>
      <c r="D147" s="283">
        <v>30.024000000000001</v>
      </c>
      <c r="E147" s="40">
        <v>15.08</v>
      </c>
      <c r="F147" s="40">
        <f t="shared" si="16"/>
        <v>-22416</v>
      </c>
      <c r="G147" s="40">
        <f t="shared" si="17"/>
        <v>45036</v>
      </c>
      <c r="H147" s="232">
        <f t="shared" si="18"/>
        <v>-0.49773514521715961</v>
      </c>
      <c r="I147" s="200"/>
    </row>
    <row r="148" spans="2:9" x14ac:dyDescent="0.25">
      <c r="B148" s="193">
        <v>42530</v>
      </c>
      <c r="C148" s="282">
        <v>1520</v>
      </c>
      <c r="D148" s="283">
        <v>29.5</v>
      </c>
      <c r="E148" s="40">
        <v>15.6</v>
      </c>
      <c r="F148" s="40">
        <f t="shared" si="16"/>
        <v>-21128</v>
      </c>
      <c r="G148" s="40">
        <f t="shared" si="17"/>
        <v>44840</v>
      </c>
      <c r="H148" s="232">
        <f t="shared" si="18"/>
        <v>-0.47118644067796611</v>
      </c>
      <c r="I148" s="200"/>
    </row>
    <row r="149" spans="2:9" x14ac:dyDescent="0.25">
      <c r="B149" s="193">
        <v>42534</v>
      </c>
      <c r="C149" s="282">
        <v>1520</v>
      </c>
      <c r="D149" s="283">
        <v>29.5</v>
      </c>
      <c r="E149" s="40">
        <v>14.25</v>
      </c>
      <c r="F149" s="40">
        <f t="shared" si="16"/>
        <v>-23180</v>
      </c>
      <c r="G149" s="40">
        <f t="shared" si="17"/>
        <v>44840</v>
      </c>
      <c r="H149" s="232">
        <f t="shared" si="18"/>
        <v>-0.51694915254237284</v>
      </c>
      <c r="I149" s="200"/>
    </row>
    <row r="150" spans="2:9" x14ac:dyDescent="0.25">
      <c r="B150" s="193">
        <v>42535</v>
      </c>
      <c r="C150" s="282">
        <v>2000</v>
      </c>
      <c r="D150" s="283">
        <v>25.768000000000001</v>
      </c>
      <c r="E150" s="40">
        <v>13.88</v>
      </c>
      <c r="F150" s="40">
        <f t="shared" si="16"/>
        <v>-23776</v>
      </c>
      <c r="G150" s="40">
        <f t="shared" si="17"/>
        <v>51536</v>
      </c>
      <c r="H150" s="232">
        <f t="shared" si="18"/>
        <v>-0.46134740763737969</v>
      </c>
      <c r="I150" s="200"/>
    </row>
    <row r="151" spans="2:9" x14ac:dyDescent="0.25">
      <c r="B151" s="193">
        <v>42538</v>
      </c>
      <c r="C151" s="282">
        <v>1520</v>
      </c>
      <c r="D151" s="283">
        <v>29.428000000000001</v>
      </c>
      <c r="E151" s="40">
        <v>14.24</v>
      </c>
      <c r="F151" s="40">
        <f t="shared" si="16"/>
        <v>-23085.760000000002</v>
      </c>
      <c r="G151" s="40">
        <f t="shared" si="17"/>
        <v>44730.559999999998</v>
      </c>
      <c r="H151" s="232">
        <f t="shared" si="18"/>
        <v>-0.5161071088759005</v>
      </c>
      <c r="I151" s="200"/>
    </row>
    <row r="152" spans="2:9" x14ac:dyDescent="0.25">
      <c r="B152" s="193">
        <v>42543</v>
      </c>
      <c r="C152" s="282">
        <v>2000</v>
      </c>
      <c r="D152" s="283">
        <v>25.696000000000002</v>
      </c>
      <c r="E152" s="40">
        <v>13.79</v>
      </c>
      <c r="F152" s="40">
        <f t="shared" si="16"/>
        <v>-23812.000000000004</v>
      </c>
      <c r="G152" s="40">
        <f t="shared" si="17"/>
        <v>51392</v>
      </c>
      <c r="H152" s="232">
        <f t="shared" si="18"/>
        <v>-0.46334059775840603</v>
      </c>
      <c r="I152" s="200"/>
    </row>
    <row r="153" spans="2:9" x14ac:dyDescent="0.25">
      <c r="B153" s="193">
        <v>42544</v>
      </c>
      <c r="C153" s="282">
        <v>1520</v>
      </c>
      <c r="D153" s="283">
        <v>29.338999999999999</v>
      </c>
      <c r="E153" s="40">
        <v>14.18</v>
      </c>
      <c r="F153" s="40">
        <f t="shared" si="16"/>
        <v>-23041.679999999997</v>
      </c>
      <c r="G153" s="40">
        <f t="shared" si="17"/>
        <v>44595.28</v>
      </c>
      <c r="H153" s="232">
        <f t="shared" si="18"/>
        <v>-0.51668427690105323</v>
      </c>
      <c r="I153" s="200"/>
    </row>
    <row r="154" spans="2:9" x14ac:dyDescent="0.25">
      <c r="B154" s="193">
        <v>42545</v>
      </c>
      <c r="C154" s="426">
        <v>2000</v>
      </c>
      <c r="D154" s="212">
        <v>25.574000000000002</v>
      </c>
      <c r="E154" s="40">
        <v>13.65</v>
      </c>
      <c r="F154" s="40">
        <f t="shared" si="16"/>
        <v>-23848.000000000004</v>
      </c>
      <c r="G154" s="40">
        <f t="shared" si="17"/>
        <v>51148</v>
      </c>
      <c r="H154" s="232">
        <f t="shared" si="18"/>
        <v>-0.4662547900211152</v>
      </c>
      <c r="I154" s="200"/>
    </row>
    <row r="155" spans="2:9" x14ac:dyDescent="0.25">
      <c r="B155" s="193">
        <v>42548</v>
      </c>
      <c r="C155" s="282">
        <v>2000</v>
      </c>
      <c r="D155" s="283">
        <v>25.574000000000002</v>
      </c>
      <c r="E155" s="40">
        <v>13.41</v>
      </c>
      <c r="F155" s="40">
        <f t="shared" si="16"/>
        <v>-24328.000000000004</v>
      </c>
      <c r="G155" s="40">
        <f t="shared" si="17"/>
        <v>51148</v>
      </c>
      <c r="H155" s="232">
        <f t="shared" si="18"/>
        <v>-0.47563932118557911</v>
      </c>
      <c r="I155" s="200"/>
    </row>
    <row r="156" spans="2:9" x14ac:dyDescent="0.25">
      <c r="B156" s="193">
        <v>42549</v>
      </c>
      <c r="C156" s="282">
        <v>2000</v>
      </c>
      <c r="D156" s="283">
        <v>25.574000000000002</v>
      </c>
      <c r="E156" s="40">
        <v>14.22</v>
      </c>
      <c r="F156" s="40">
        <f t="shared" ref="F156" si="19">C156*(E156-D156)</f>
        <v>-22708.000000000004</v>
      </c>
      <c r="G156" s="40">
        <f t="shared" ref="G156" si="20">IF(C156=0, 0,D156*C156)</f>
        <v>51148</v>
      </c>
      <c r="H156" s="232">
        <f t="shared" ref="H156" si="21">IF(C156=0, D156, (E156-D156)/D156)</f>
        <v>-0.44396652850551344</v>
      </c>
      <c r="I156" s="200"/>
    </row>
    <row r="157" spans="2:9" x14ac:dyDescent="0.25">
      <c r="B157" s="193">
        <v>42550</v>
      </c>
      <c r="C157" s="282">
        <v>1520</v>
      </c>
      <c r="D157" s="283">
        <v>28.986999999999998</v>
      </c>
      <c r="E157" s="40">
        <v>14.58</v>
      </c>
      <c r="F157" s="40">
        <f t="shared" ref="F157:F158" si="22">C157*(E157-D157)</f>
        <v>-21898.639999999996</v>
      </c>
      <c r="G157" s="40">
        <f t="shared" ref="G157:G158" si="23">IF(C157=0, 0,D157*C157)</f>
        <v>44060.24</v>
      </c>
      <c r="H157" s="232">
        <f t="shared" ref="H157:H158" si="24">IF(C157=0, D157, (E157-D157)/D157)</f>
        <v>-0.49701590368096038</v>
      </c>
      <c r="I157" s="200"/>
    </row>
    <row r="158" spans="2:9" x14ac:dyDescent="0.25">
      <c r="B158" s="193">
        <v>42556</v>
      </c>
      <c r="C158" s="282">
        <v>2000</v>
      </c>
      <c r="D158" s="283">
        <v>25.433</v>
      </c>
      <c r="E158" s="40">
        <v>14.31</v>
      </c>
      <c r="F158" s="40">
        <f t="shared" si="22"/>
        <v>-22246</v>
      </c>
      <c r="G158" s="40">
        <f t="shared" si="23"/>
        <v>50866</v>
      </c>
      <c r="H158" s="232">
        <f t="shared" si="24"/>
        <v>-0.43734518145716195</v>
      </c>
      <c r="I158" s="200">
        <v>25</v>
      </c>
    </row>
    <row r="159" spans="2:9" x14ac:dyDescent="0.25">
      <c r="B159" s="193">
        <v>42563</v>
      </c>
      <c r="C159" s="282">
        <v>2000</v>
      </c>
      <c r="D159" s="283">
        <v>25.433</v>
      </c>
      <c r="E159" s="40">
        <v>14.98</v>
      </c>
      <c r="F159" s="40">
        <f t="shared" ref="F159" si="25">C159*(E159-D159)</f>
        <v>-20906</v>
      </c>
      <c r="G159" s="40">
        <f t="shared" ref="G159" si="26">IF(C159=0, 0,D159*C159)</f>
        <v>50866</v>
      </c>
      <c r="H159" s="232">
        <f t="shared" ref="H159" si="27">IF(C159=0, D159, (E159-D159)/D159)</f>
        <v>-0.41100145480281525</v>
      </c>
      <c r="I159" s="200"/>
    </row>
    <row r="160" spans="2:9" x14ac:dyDescent="0.25">
      <c r="B160" s="193">
        <v>42578</v>
      </c>
      <c r="C160" s="282">
        <v>2200</v>
      </c>
      <c r="D160" s="283">
        <v>24.399000000000001</v>
      </c>
      <c r="E160" s="40">
        <v>14.06</v>
      </c>
      <c r="F160" s="40">
        <f t="shared" ref="F160:F163" si="28">C160*(E160-D160)</f>
        <v>-22745.8</v>
      </c>
      <c r="G160" s="40">
        <f t="shared" ref="G160:G163" si="29">IF(C160=0, 0,D160*C160)</f>
        <v>53677.8</v>
      </c>
      <c r="H160" s="232">
        <f t="shared" ref="H160:H163" si="30">IF(C160=0, D160, (E160-D160)/D160)</f>
        <v>-0.42374687487192098</v>
      </c>
      <c r="I160" s="200"/>
    </row>
    <row r="161" spans="2:9" x14ac:dyDescent="0.25">
      <c r="B161" s="193">
        <v>42580</v>
      </c>
      <c r="C161" s="282">
        <v>2700</v>
      </c>
      <c r="D161" s="283">
        <v>22.39</v>
      </c>
      <c r="E161" s="40">
        <v>13.74</v>
      </c>
      <c r="F161" s="40">
        <f t="shared" si="28"/>
        <v>-23355</v>
      </c>
      <c r="G161" s="40">
        <f t="shared" si="29"/>
        <v>60453</v>
      </c>
      <c r="H161" s="232">
        <f t="shared" si="30"/>
        <v>-0.38633318445734705</v>
      </c>
      <c r="I161" s="200"/>
    </row>
    <row r="162" spans="2:9" x14ac:dyDescent="0.25">
      <c r="B162" s="193">
        <v>42580</v>
      </c>
      <c r="C162" s="282">
        <v>3000</v>
      </c>
      <c r="D162" s="283">
        <v>21.478999999999999</v>
      </c>
      <c r="E162" s="40">
        <v>13.74</v>
      </c>
      <c r="F162" s="40">
        <f t="shared" si="28"/>
        <v>-23216.999999999996</v>
      </c>
      <c r="G162" s="40">
        <f t="shared" si="29"/>
        <v>64437</v>
      </c>
      <c r="H162" s="232">
        <f t="shared" si="30"/>
        <v>-0.3603054145909958</v>
      </c>
      <c r="I162" s="200"/>
    </row>
    <row r="163" spans="2:9" x14ac:dyDescent="0.25">
      <c r="B163" s="193">
        <v>42580</v>
      </c>
      <c r="C163" s="282">
        <v>2000</v>
      </c>
      <c r="D163" s="283">
        <v>25.353000000000002</v>
      </c>
      <c r="E163" s="40">
        <v>13.74</v>
      </c>
      <c r="F163" s="40">
        <f t="shared" si="28"/>
        <v>-23226.000000000004</v>
      </c>
      <c r="G163" s="40">
        <f t="shared" si="29"/>
        <v>50706</v>
      </c>
      <c r="H163" s="232">
        <f t="shared" si="30"/>
        <v>-0.45805230150278076</v>
      </c>
      <c r="I163" s="200">
        <v>25</v>
      </c>
    </row>
    <row r="164" spans="2:9" x14ac:dyDescent="0.25">
      <c r="B164" s="193">
        <v>42585</v>
      </c>
      <c r="C164" s="426">
        <v>2000</v>
      </c>
      <c r="D164" s="212">
        <v>25.353000000000002</v>
      </c>
      <c r="E164" s="40">
        <v>13.45</v>
      </c>
      <c r="F164" s="40">
        <f t="shared" ref="F164:F167" si="31">C164*(E164-D164)</f>
        <v>-23806.000000000004</v>
      </c>
      <c r="G164" s="40">
        <f t="shared" ref="G164:G167" si="32">IF(C164=0, 0,D164*C164)</f>
        <v>50706</v>
      </c>
      <c r="H164" s="232">
        <f t="shared" ref="H164:H167" si="33">IF(C164=0, D164, (E164-D164)/D164)</f>
        <v>-0.46949079004457073</v>
      </c>
      <c r="I164" s="200"/>
    </row>
    <row r="165" spans="2:9" x14ac:dyDescent="0.25">
      <c r="B165" s="193">
        <v>42586</v>
      </c>
      <c r="C165" s="282">
        <v>2500</v>
      </c>
      <c r="D165" s="283">
        <v>22.902000000000001</v>
      </c>
      <c r="E165" s="40">
        <v>12.97</v>
      </c>
      <c r="F165" s="40">
        <f t="shared" si="31"/>
        <v>-24830</v>
      </c>
      <c r="G165" s="40">
        <f t="shared" si="32"/>
        <v>57255</v>
      </c>
      <c r="H165" s="232">
        <f t="shared" si="33"/>
        <v>-0.43367391494192647</v>
      </c>
      <c r="I165" s="200"/>
    </row>
    <row r="166" spans="2:9" x14ac:dyDescent="0.25">
      <c r="B166" s="193">
        <v>42590</v>
      </c>
      <c r="C166" s="441">
        <v>3000</v>
      </c>
      <c r="D166" s="502">
        <v>21.26</v>
      </c>
      <c r="E166" s="40">
        <v>13.01</v>
      </c>
      <c r="F166" s="40">
        <f t="shared" si="31"/>
        <v>-24750.000000000004</v>
      </c>
      <c r="G166" s="40">
        <f t="shared" si="32"/>
        <v>63780.000000000007</v>
      </c>
      <c r="H166" s="232">
        <f t="shared" si="33"/>
        <v>-0.38805268109125124</v>
      </c>
      <c r="I166" s="200"/>
    </row>
    <row r="167" spans="2:9" x14ac:dyDescent="0.25">
      <c r="B167" s="193">
        <v>42591</v>
      </c>
      <c r="C167" s="282">
        <v>3500</v>
      </c>
      <c r="D167" s="283">
        <v>20.033999999999999</v>
      </c>
      <c r="E167" s="40">
        <v>12.67</v>
      </c>
      <c r="F167" s="40">
        <f t="shared" si="31"/>
        <v>-25773.999999999996</v>
      </c>
      <c r="G167" s="40">
        <f t="shared" si="32"/>
        <v>70119</v>
      </c>
      <c r="H167" s="232">
        <f t="shared" si="33"/>
        <v>-0.36757512229210337</v>
      </c>
      <c r="I167" s="200">
        <v>19.75</v>
      </c>
    </row>
    <row r="168" spans="2:9" x14ac:dyDescent="0.25">
      <c r="B168" s="193">
        <v>42593</v>
      </c>
      <c r="C168" s="10">
        <v>3500</v>
      </c>
      <c r="D168" s="200">
        <v>20.033770000000001</v>
      </c>
      <c r="E168" s="40">
        <v>12.51</v>
      </c>
      <c r="F168" s="40">
        <f t="shared" ref="F168" si="34">C168*(E168-D168)</f>
        <v>-26333.195000000003</v>
      </c>
      <c r="G168" s="40">
        <f t="shared" ref="G168" si="35">IF(C168=0, 0,D168*C168)</f>
        <v>70118.195000000007</v>
      </c>
      <c r="H168" s="232">
        <f t="shared" ref="H168" si="36">IF(C168=0, D168, (E168-D168)/D168)</f>
        <v>-0.37555437643538886</v>
      </c>
      <c r="I168" s="200"/>
    </row>
    <row r="169" spans="2:9" x14ac:dyDescent="0.25">
      <c r="B169" s="193">
        <v>42599</v>
      </c>
      <c r="C169" s="10">
        <v>3500</v>
      </c>
      <c r="D169" s="200">
        <v>20.033770000000001</v>
      </c>
      <c r="E169" s="40">
        <v>12.61</v>
      </c>
      <c r="F169" s="40">
        <f t="shared" ref="F169" si="37">C169*(E169-D169)</f>
        <v>-25983.195000000003</v>
      </c>
      <c r="G169" s="40">
        <f t="shared" ref="G169" si="38">IF(C169=0, 0,D169*C169)</f>
        <v>70118.195000000007</v>
      </c>
      <c r="H169" s="232">
        <f t="shared" ref="H169" si="39">IF(C169=0, D169, (E169-D169)/D169)</f>
        <v>-0.3705628047042569</v>
      </c>
      <c r="I169" s="200"/>
    </row>
    <row r="170" spans="2:9" x14ac:dyDescent="0.25">
      <c r="B170" s="193">
        <v>42600</v>
      </c>
      <c r="C170" s="10">
        <v>3500</v>
      </c>
      <c r="D170" s="200">
        <v>20.033770000000001</v>
      </c>
      <c r="E170" s="40">
        <v>12.57</v>
      </c>
      <c r="F170" s="40">
        <f t="shared" ref="F170:F174" si="40">C170*(E170-D170)</f>
        <v>-26123.195</v>
      </c>
      <c r="G170" s="40">
        <f t="shared" ref="G170:G174" si="41">IF(C170=0, 0,D170*C170)</f>
        <v>70118.195000000007</v>
      </c>
      <c r="H170" s="232">
        <f t="shared" ref="H170:H174" si="42">IF(C170=0, D170, (E170-D170)/D170)</f>
        <v>-0.37255943339670966</v>
      </c>
      <c r="I170" s="200"/>
    </row>
    <row r="171" spans="2:9" x14ac:dyDescent="0.25">
      <c r="B171" s="193">
        <v>42601</v>
      </c>
      <c r="C171" s="10">
        <v>4000</v>
      </c>
      <c r="D171" s="200">
        <v>19.064550000000001</v>
      </c>
      <c r="E171" s="40">
        <v>12.26</v>
      </c>
      <c r="F171" s="40">
        <f t="shared" si="40"/>
        <v>-27218.200000000004</v>
      </c>
      <c r="G171" s="40">
        <f t="shared" si="41"/>
        <v>76258.2</v>
      </c>
      <c r="H171" s="232">
        <f t="shared" si="42"/>
        <v>-0.35692161629831287</v>
      </c>
      <c r="I171" s="200"/>
    </row>
    <row r="172" spans="2:9" x14ac:dyDescent="0.25">
      <c r="B172" s="193">
        <v>42604</v>
      </c>
      <c r="C172" s="282">
        <v>4500</v>
      </c>
      <c r="D172" s="283">
        <v>18.288489999999999</v>
      </c>
      <c r="E172" s="40">
        <v>12.24</v>
      </c>
      <c r="F172" s="40">
        <f t="shared" si="40"/>
        <v>-27218.204999999998</v>
      </c>
      <c r="G172" s="40">
        <f t="shared" si="41"/>
        <v>82298.205000000002</v>
      </c>
      <c r="H172" s="232">
        <f t="shared" si="42"/>
        <v>-0.33072659361161033</v>
      </c>
      <c r="I172" s="200">
        <v>18</v>
      </c>
    </row>
    <row r="173" spans="2:9" x14ac:dyDescent="0.25">
      <c r="B173" s="193">
        <v>42605</v>
      </c>
      <c r="C173" s="282">
        <v>4000</v>
      </c>
      <c r="D173" s="283">
        <v>18.984590000000001</v>
      </c>
      <c r="E173" s="40">
        <v>12.57</v>
      </c>
      <c r="F173" s="40">
        <f t="shared" si="40"/>
        <v>-25658.36</v>
      </c>
      <c r="G173" s="40">
        <f t="shared" si="41"/>
        <v>75938.36</v>
      </c>
      <c r="H173" s="232">
        <f t="shared" si="42"/>
        <v>-0.33788404174122277</v>
      </c>
      <c r="I173" s="200"/>
    </row>
    <row r="174" spans="2:9" x14ac:dyDescent="0.25">
      <c r="B174" s="193">
        <v>42605</v>
      </c>
      <c r="C174" s="282">
        <v>4500</v>
      </c>
      <c r="D174" s="283">
        <v>18.269629999999999</v>
      </c>
      <c r="E174" s="40">
        <v>12.57</v>
      </c>
      <c r="F174" s="40">
        <f t="shared" si="40"/>
        <v>-25648.334999999995</v>
      </c>
      <c r="G174" s="40">
        <f t="shared" si="41"/>
        <v>82213.334999999992</v>
      </c>
      <c r="H174" s="232">
        <f t="shared" si="42"/>
        <v>-0.31197292993892045</v>
      </c>
      <c r="I174" s="200">
        <v>18</v>
      </c>
    </row>
    <row r="175" spans="2:9" x14ac:dyDescent="0.25">
      <c r="B175" s="193">
        <v>42606</v>
      </c>
      <c r="C175" s="282">
        <v>4500</v>
      </c>
      <c r="D175" s="283">
        <v>18.269629999999999</v>
      </c>
      <c r="E175" s="40">
        <v>12.46</v>
      </c>
      <c r="F175" s="40">
        <f t="shared" ref="F175" si="43">C175*(E175-D175)</f>
        <v>-26143.334999999992</v>
      </c>
      <c r="G175" s="40">
        <f t="shared" ref="G175" si="44">IF(C175=0, 0,D175*C175)</f>
        <v>82213.334999999992</v>
      </c>
      <c r="H175" s="232">
        <f t="shared" ref="H175" si="45">IF(C175=0, D175, (E175-D175)/D175)</f>
        <v>-0.31799385099752969</v>
      </c>
      <c r="I175" s="200"/>
    </row>
    <row r="176" spans="2:9" x14ac:dyDescent="0.25">
      <c r="B176" s="193">
        <v>42611</v>
      </c>
      <c r="C176" s="282">
        <v>4500</v>
      </c>
      <c r="D176" s="283">
        <v>18.269629999999999</v>
      </c>
      <c r="E176" s="40">
        <v>12.59</v>
      </c>
      <c r="F176" s="40">
        <f t="shared" ref="F176:F177" si="46">C176*(E176-D176)</f>
        <v>-25558.334999999999</v>
      </c>
      <c r="G176" s="40">
        <f t="shared" ref="G176:G177" si="47">IF(C176=0, 0,D176*C176)</f>
        <v>82213.334999999992</v>
      </c>
      <c r="H176" s="232">
        <f t="shared" ref="H176:H177" si="48">IF(C176=0, D176, (E176-D176)/D176)</f>
        <v>-0.31087821701917334</v>
      </c>
      <c r="I176" s="200"/>
    </row>
    <row r="177" spans="2:9" x14ac:dyDescent="0.25">
      <c r="B177" s="193">
        <v>42612</v>
      </c>
      <c r="C177" s="282">
        <v>4700</v>
      </c>
      <c r="D177" s="283">
        <v>17.991379999999999</v>
      </c>
      <c r="E177" s="40">
        <v>12.41</v>
      </c>
      <c r="F177" s="40">
        <f t="shared" si="46"/>
        <v>-26232.485999999997</v>
      </c>
      <c r="G177" s="40">
        <f t="shared" si="47"/>
        <v>84559.486000000004</v>
      </c>
      <c r="H177" s="232">
        <f t="shared" si="48"/>
        <v>-0.3102252300824061</v>
      </c>
      <c r="I177" s="200"/>
    </row>
    <row r="178" spans="2:9" x14ac:dyDescent="0.25">
      <c r="B178" s="193">
        <v>42614</v>
      </c>
      <c r="C178" s="282">
        <v>4700</v>
      </c>
      <c r="D178" s="283">
        <v>17.991379999999999</v>
      </c>
      <c r="E178" s="40">
        <v>12.13</v>
      </c>
      <c r="F178" s="40">
        <f t="shared" ref="F178:F179" si="49">C178*(E178-D178)</f>
        <v>-27548.485999999994</v>
      </c>
      <c r="G178" s="40">
        <f t="shared" ref="G178:G179" si="50">IF(C178=0, 0,D178*C178)</f>
        <v>84559.486000000004</v>
      </c>
      <c r="H178" s="232">
        <f t="shared" ref="H178:H179" si="51">IF(C178=0, D178, (E178-D178)/D178)</f>
        <v>-0.32578823858981348</v>
      </c>
      <c r="I178" s="200"/>
    </row>
    <row r="179" spans="2:9" x14ac:dyDescent="0.25">
      <c r="B179" s="193">
        <v>42615</v>
      </c>
      <c r="C179" s="282">
        <v>4500</v>
      </c>
      <c r="D179" s="283">
        <v>18.232780000000002</v>
      </c>
      <c r="E179" s="40">
        <v>12.48</v>
      </c>
      <c r="F179" s="40">
        <f t="shared" si="49"/>
        <v>-25887.510000000006</v>
      </c>
      <c r="G179" s="40">
        <f t="shared" si="50"/>
        <v>82047.510000000009</v>
      </c>
      <c r="H179" s="232">
        <f t="shared" si="51"/>
        <v>-0.31551853310356404</v>
      </c>
      <c r="I179" s="200">
        <v>18</v>
      </c>
    </row>
    <row r="180" spans="2:9" x14ac:dyDescent="0.25">
      <c r="B180" s="193">
        <v>42619</v>
      </c>
      <c r="C180" s="282">
        <v>4500</v>
      </c>
      <c r="D180" s="283">
        <v>18.232780000000002</v>
      </c>
      <c r="E180" s="40">
        <v>12.72</v>
      </c>
      <c r="F180" s="40">
        <f t="shared" ref="F180:F184" si="52">C180*(E180-D180)</f>
        <v>-24807.510000000006</v>
      </c>
      <c r="G180" s="40">
        <f t="shared" ref="G180:G184" si="53">IF(C180=0, 0,D180*C180)</f>
        <v>82047.510000000009</v>
      </c>
      <c r="H180" s="232">
        <f t="shared" ref="H180:H184" si="54">IF(C180=0, D180, (E180-D180)/D180)</f>
        <v>-0.30235542797094028</v>
      </c>
      <c r="I180" s="200"/>
    </row>
    <row r="181" spans="2:9" x14ac:dyDescent="0.25">
      <c r="B181" s="193">
        <v>42620</v>
      </c>
      <c r="C181" s="282">
        <v>4000</v>
      </c>
      <c r="D181" s="283">
        <v>18.896979999999999</v>
      </c>
      <c r="E181" s="40">
        <v>13.42</v>
      </c>
      <c r="F181" s="40">
        <f t="shared" si="52"/>
        <v>-21907.919999999998</v>
      </c>
      <c r="G181" s="40">
        <f t="shared" si="53"/>
        <v>75587.92</v>
      </c>
      <c r="H181" s="232">
        <f t="shared" si="54"/>
        <v>-0.28983361362503424</v>
      </c>
      <c r="I181" s="200"/>
    </row>
    <row r="182" spans="2:9" x14ac:dyDescent="0.25">
      <c r="B182" s="193">
        <v>42620</v>
      </c>
      <c r="C182" s="282">
        <v>3500</v>
      </c>
      <c r="D182" s="283">
        <v>19.717970000000001</v>
      </c>
      <c r="E182" s="40">
        <v>13.42</v>
      </c>
      <c r="F182" s="40">
        <f t="shared" si="52"/>
        <v>-22042.895000000004</v>
      </c>
      <c r="G182" s="40">
        <f t="shared" si="53"/>
        <v>69012.895000000004</v>
      </c>
      <c r="H182" s="232">
        <f t="shared" si="54"/>
        <v>-0.31940255513118243</v>
      </c>
      <c r="I182" s="200" t="s">
        <v>296</v>
      </c>
    </row>
    <row r="183" spans="2:9" x14ac:dyDescent="0.25">
      <c r="B183" s="193">
        <v>42620</v>
      </c>
      <c r="C183" s="282">
        <v>3200</v>
      </c>
      <c r="D183" s="283">
        <v>20.317779999999999</v>
      </c>
      <c r="E183" s="40">
        <v>13.42</v>
      </c>
      <c r="F183" s="40">
        <f t="shared" si="52"/>
        <v>-22072.895999999997</v>
      </c>
      <c r="G183" s="40">
        <f t="shared" si="53"/>
        <v>65016.895999999993</v>
      </c>
      <c r="H183" s="232">
        <f t="shared" si="54"/>
        <v>-0.33949476763701542</v>
      </c>
      <c r="I183" s="200"/>
    </row>
    <row r="184" spans="2:9" x14ac:dyDescent="0.25">
      <c r="B184" s="193">
        <v>42621</v>
      </c>
      <c r="C184" s="441">
        <v>3000</v>
      </c>
      <c r="D184" s="502">
        <v>20.755649999999999</v>
      </c>
      <c r="E184" s="40">
        <v>13.86</v>
      </c>
      <c r="F184" s="40">
        <f t="shared" si="52"/>
        <v>-20686.95</v>
      </c>
      <c r="G184" s="40">
        <f t="shared" si="53"/>
        <v>62266.95</v>
      </c>
      <c r="H184" s="232">
        <f t="shared" si="54"/>
        <v>-0.33223001929595075</v>
      </c>
      <c r="I184" s="200"/>
    </row>
    <row r="185" spans="2:9" x14ac:dyDescent="0.25">
      <c r="B185" s="193">
        <v>42622</v>
      </c>
      <c r="C185" s="282">
        <v>3200</v>
      </c>
      <c r="D185" s="283">
        <v>20.29468</v>
      </c>
      <c r="E185" s="40">
        <v>13.4</v>
      </c>
      <c r="F185" s="40">
        <f t="shared" ref="F185" si="55">C185*(E185-D185)</f>
        <v>-22062.975999999999</v>
      </c>
      <c r="G185" s="40">
        <f t="shared" ref="G185" si="56">IF(C185=0, 0,D185*C185)</f>
        <v>64942.975999999995</v>
      </c>
      <c r="H185" s="232">
        <f t="shared" ref="H185" si="57">IF(C185=0, D185, (E185-D185)/D185)</f>
        <v>-0.33972844114812351</v>
      </c>
      <c r="I185" s="200"/>
    </row>
    <row r="186" spans="2:9" x14ac:dyDescent="0.25">
      <c r="B186" s="193">
        <v>42625</v>
      </c>
      <c r="C186" s="282">
        <v>3200</v>
      </c>
      <c r="D186" s="283">
        <v>20.29468</v>
      </c>
      <c r="E186" s="40">
        <v>13.62</v>
      </c>
      <c r="F186" s="40">
        <f t="shared" ref="F186:F187" si="58">C186*(E186-D186)</f>
        <v>-21358.976000000002</v>
      </c>
      <c r="G186" s="40">
        <f t="shared" ref="G186:G187" si="59">IF(C186=0, 0,D186*C186)</f>
        <v>64942.975999999995</v>
      </c>
      <c r="H186" s="232">
        <f t="shared" ref="H186:H187" si="60">IF(C186=0, D186, (E186-D186)/D186)</f>
        <v>-0.3288881618236898</v>
      </c>
      <c r="I186" s="200"/>
    </row>
    <row r="187" spans="2:9" x14ac:dyDescent="0.25">
      <c r="B187" s="193">
        <v>42627</v>
      </c>
      <c r="C187" s="282">
        <v>3500</v>
      </c>
      <c r="D187" s="283">
        <v>19.656559999999999</v>
      </c>
      <c r="E187" s="40">
        <v>12.91</v>
      </c>
      <c r="F187" s="40">
        <f t="shared" si="58"/>
        <v>-23612.959999999995</v>
      </c>
      <c r="G187" s="40">
        <f t="shared" si="59"/>
        <v>68797.959999999992</v>
      </c>
      <c r="H187" s="232">
        <f t="shared" si="60"/>
        <v>-0.34322180483258513</v>
      </c>
      <c r="I187" s="200">
        <v>19.5</v>
      </c>
    </row>
    <row r="188" spans="2:9" x14ac:dyDescent="0.25">
      <c r="B188" s="193">
        <v>42628</v>
      </c>
      <c r="C188" s="282">
        <v>3500</v>
      </c>
      <c r="D188" s="283">
        <v>19.656559999999999</v>
      </c>
      <c r="E188" s="40">
        <v>13.12</v>
      </c>
      <c r="F188" s="40">
        <f t="shared" ref="F188:F189" si="61">C188*(E188-D188)</f>
        <v>-22877.96</v>
      </c>
      <c r="G188" s="40">
        <f t="shared" ref="G188:G189" si="62">IF(C188=0, 0,D188*C188)</f>
        <v>68797.959999999992</v>
      </c>
      <c r="H188" s="232">
        <f t="shared" ref="H188:H189" si="63">IF(C188=0, D188, (E188-D188)/D188)</f>
        <v>-0.33253834852079917</v>
      </c>
      <c r="I188" s="200"/>
    </row>
    <row r="189" spans="2:9" x14ac:dyDescent="0.25">
      <c r="B189" s="193">
        <v>42629</v>
      </c>
      <c r="C189" s="282">
        <v>3200</v>
      </c>
      <c r="D189" s="283">
        <v>20.254390000000001</v>
      </c>
      <c r="E189" s="40">
        <v>13.29</v>
      </c>
      <c r="F189" s="40">
        <f t="shared" si="61"/>
        <v>-22286.048000000006</v>
      </c>
      <c r="G189" s="40">
        <f t="shared" si="62"/>
        <v>64814.048000000003</v>
      </c>
      <c r="H189" s="232">
        <f t="shared" si="63"/>
        <v>-0.34384595142090191</v>
      </c>
      <c r="I189" s="200"/>
    </row>
    <row r="190" spans="2:9" x14ac:dyDescent="0.25">
      <c r="B190" s="193">
        <v>42633</v>
      </c>
      <c r="C190" s="282">
        <v>3200</v>
      </c>
      <c r="D190" s="283">
        <v>20.254390000000001</v>
      </c>
      <c r="E190" s="40">
        <v>13.62</v>
      </c>
      <c r="F190" s="40">
        <f t="shared" ref="F190:F191" si="64">C190*(E190-D190)</f>
        <v>-21230.048000000006</v>
      </c>
      <c r="G190" s="40">
        <f t="shared" ref="G190:G191" si="65">IF(C190=0, 0,D190*C190)</f>
        <v>64814.048000000003</v>
      </c>
      <c r="H190" s="232">
        <f t="shared" ref="H190:H191" si="66">IF(C190=0, D190, (E190-D190)/D190)</f>
        <v>-0.3275531872349649</v>
      </c>
      <c r="I190" s="200"/>
    </row>
    <row r="191" spans="2:9" x14ac:dyDescent="0.25">
      <c r="B191" s="193">
        <v>42634</v>
      </c>
      <c r="C191" s="282">
        <v>3000</v>
      </c>
      <c r="D191" s="283">
        <v>20.66581</v>
      </c>
      <c r="E191" s="40">
        <v>13.79</v>
      </c>
      <c r="F191" s="40">
        <f t="shared" si="64"/>
        <v>-20627.430000000004</v>
      </c>
      <c r="G191" s="40">
        <f t="shared" si="65"/>
        <v>61997.43</v>
      </c>
      <c r="H191" s="232">
        <f t="shared" si="66"/>
        <v>-0.33271427541431964</v>
      </c>
      <c r="I191" s="242"/>
    </row>
    <row r="192" spans="2:9" x14ac:dyDescent="0.25">
      <c r="B192" s="193">
        <v>42635</v>
      </c>
      <c r="C192" s="282">
        <v>3000</v>
      </c>
      <c r="D192" s="283">
        <v>20.66581</v>
      </c>
      <c r="E192" s="40">
        <v>13.91</v>
      </c>
      <c r="F192" s="40">
        <f t="shared" ref="F192" si="67">C192*(E192-D192)</f>
        <v>-20267.43</v>
      </c>
      <c r="G192" s="40">
        <f t="shared" ref="G192" si="68">IF(C192=0, 0,D192*C192)</f>
        <v>61997.43</v>
      </c>
      <c r="H192" s="232">
        <f t="shared" ref="H192" si="69">IF(C192=0, D192, (E192-D192)/D192)</f>
        <v>-0.32690758310465451</v>
      </c>
      <c r="I192" s="242"/>
    </row>
    <row r="193" spans="2:9" x14ac:dyDescent="0.25">
      <c r="B193" s="193">
        <v>42639</v>
      </c>
      <c r="C193" s="282">
        <v>3000</v>
      </c>
      <c r="D193" s="283">
        <v>20.66581</v>
      </c>
      <c r="E193" s="40">
        <v>13.67</v>
      </c>
      <c r="F193" s="40">
        <f t="shared" ref="F193" si="70">C193*(E193-D193)</f>
        <v>-20987.43</v>
      </c>
      <c r="G193" s="40">
        <f t="shared" ref="G193" si="71">IF(C193=0, 0,D193*C193)</f>
        <v>61997.43</v>
      </c>
      <c r="H193" s="232">
        <f t="shared" ref="H193" si="72">IF(C193=0, D193, (E193-D193)/D193)</f>
        <v>-0.33852096772398471</v>
      </c>
      <c r="I193" s="242"/>
    </row>
    <row r="194" spans="2:9" x14ac:dyDescent="0.25">
      <c r="B194" s="193">
        <v>42640</v>
      </c>
      <c r="C194" s="282">
        <v>3000</v>
      </c>
      <c r="D194" s="283">
        <v>20.66581</v>
      </c>
      <c r="E194" s="40">
        <v>13.47</v>
      </c>
      <c r="F194" s="40">
        <f t="shared" ref="F194:F202" si="73">C194*(E194-D194)</f>
        <v>-21587.43</v>
      </c>
      <c r="G194" s="40">
        <f t="shared" ref="G194:G202" si="74">IF(C194=0, 0,D194*C194)</f>
        <v>61997.43</v>
      </c>
      <c r="H194" s="232">
        <f t="shared" ref="H194:H202" si="75">IF(C194=0, D194, (E194-D194)/D194)</f>
        <v>-0.34819878824009315</v>
      </c>
      <c r="I194" s="242"/>
    </row>
    <row r="195" spans="2:9" x14ac:dyDescent="0.25">
      <c r="B195" s="193">
        <v>42641</v>
      </c>
      <c r="C195" s="282">
        <v>3200</v>
      </c>
      <c r="D195" s="283">
        <v>20.206700000000001</v>
      </c>
      <c r="E195" s="40">
        <v>13.31</v>
      </c>
      <c r="F195" s="40">
        <f t="shared" si="73"/>
        <v>-22069.440000000002</v>
      </c>
      <c r="G195" s="40">
        <f t="shared" si="74"/>
        <v>64661.440000000002</v>
      </c>
      <c r="H195" s="232">
        <f t="shared" si="75"/>
        <v>-0.34130758609768047</v>
      </c>
      <c r="I195" s="242"/>
    </row>
    <row r="196" spans="2:9" x14ac:dyDescent="0.25">
      <c r="B196" s="193">
        <v>42642</v>
      </c>
      <c r="C196" s="10">
        <v>3500</v>
      </c>
      <c r="D196" s="200">
        <v>19.589269999999999</v>
      </c>
      <c r="E196" s="40">
        <v>12.76</v>
      </c>
      <c r="F196" s="40">
        <f t="shared" si="73"/>
        <v>-23902.444999999996</v>
      </c>
      <c r="G196" s="40">
        <f t="shared" si="74"/>
        <v>68562.444999999992</v>
      </c>
      <c r="H196" s="232">
        <f t="shared" si="75"/>
        <v>-0.34862299616065323</v>
      </c>
      <c r="I196" s="242">
        <v>19.5</v>
      </c>
    </row>
    <row r="197" spans="2:9" x14ac:dyDescent="0.25">
      <c r="B197" s="193">
        <v>42643</v>
      </c>
      <c r="C197" s="10">
        <v>4000</v>
      </c>
      <c r="D197" s="200">
        <v>18.7132623</v>
      </c>
      <c r="E197" s="40">
        <v>12.64</v>
      </c>
      <c r="F197" s="40">
        <f t="shared" si="73"/>
        <v>-24293.049199999998</v>
      </c>
      <c r="G197" s="40">
        <f t="shared" si="74"/>
        <v>74853.049199999994</v>
      </c>
      <c r="H197" s="232">
        <f t="shared" si="75"/>
        <v>-0.32454321446667261</v>
      </c>
      <c r="I197" s="242"/>
    </row>
    <row r="198" spans="2:9" x14ac:dyDescent="0.25">
      <c r="B198" s="193">
        <v>42646</v>
      </c>
      <c r="C198" s="10">
        <v>4500</v>
      </c>
      <c r="D198" s="200">
        <v>18.03387</v>
      </c>
      <c r="E198" s="40">
        <v>12.5</v>
      </c>
      <c r="F198" s="40">
        <f t="shared" si="73"/>
        <v>-24902.415000000001</v>
      </c>
      <c r="G198" s="40">
        <f t="shared" si="74"/>
        <v>81152.415000000008</v>
      </c>
      <c r="H198" s="232">
        <f t="shared" si="75"/>
        <v>-0.30685981433824244</v>
      </c>
      <c r="I198" s="242">
        <v>18</v>
      </c>
    </row>
    <row r="199" spans="2:9" x14ac:dyDescent="0.25">
      <c r="B199" s="193">
        <v>42646</v>
      </c>
      <c r="C199" s="10">
        <v>5000</v>
      </c>
      <c r="D199" s="200">
        <v>17.470690000000001</v>
      </c>
      <c r="E199" s="40">
        <v>12.5</v>
      </c>
      <c r="F199" s="40">
        <f t="shared" si="73"/>
        <v>-24853.450000000004</v>
      </c>
      <c r="G199" s="40">
        <f t="shared" si="74"/>
        <v>87353.450000000012</v>
      </c>
      <c r="H199" s="232">
        <f t="shared" si="75"/>
        <v>-0.2845159521461374</v>
      </c>
      <c r="I199" s="242"/>
    </row>
    <row r="200" spans="2:9" x14ac:dyDescent="0.25">
      <c r="B200" s="193">
        <v>42646</v>
      </c>
      <c r="C200" s="10">
        <v>4500</v>
      </c>
      <c r="D200" s="200">
        <v>18.020790000000002</v>
      </c>
      <c r="E200" s="40">
        <v>12.5</v>
      </c>
      <c r="F200" s="40">
        <f t="shared" si="73"/>
        <v>-24843.555000000008</v>
      </c>
      <c r="G200" s="40">
        <f t="shared" si="74"/>
        <v>81093.555000000008</v>
      </c>
      <c r="H200" s="232">
        <f t="shared" si="75"/>
        <v>-0.30635671355140376</v>
      </c>
      <c r="I200" s="242">
        <v>18</v>
      </c>
    </row>
    <row r="201" spans="2:9" x14ac:dyDescent="0.25">
      <c r="B201" s="193">
        <v>42647</v>
      </c>
      <c r="C201" s="10">
        <v>5000</v>
      </c>
      <c r="D201" s="200">
        <v>17.436710000000001</v>
      </c>
      <c r="E201" s="40">
        <v>12.2</v>
      </c>
      <c r="F201" s="40">
        <f t="shared" si="73"/>
        <v>-26183.55000000001</v>
      </c>
      <c r="G201" s="40">
        <f t="shared" si="74"/>
        <v>87183.55</v>
      </c>
      <c r="H201" s="232">
        <f t="shared" si="75"/>
        <v>-0.30032672447956077</v>
      </c>
      <c r="I201" s="242"/>
    </row>
    <row r="202" spans="2:9" x14ac:dyDescent="0.25">
      <c r="B202" s="193">
        <v>42648</v>
      </c>
      <c r="C202" s="10">
        <v>4500</v>
      </c>
      <c r="D202" s="200">
        <v>17.994160000000001</v>
      </c>
      <c r="E202" s="40">
        <v>12.33</v>
      </c>
      <c r="F202" s="40">
        <f t="shared" si="73"/>
        <v>-25488.720000000005</v>
      </c>
      <c r="G202" s="40">
        <f t="shared" si="74"/>
        <v>80973.72</v>
      </c>
      <c r="H202" s="232">
        <f t="shared" si="75"/>
        <v>-0.31477768342617829</v>
      </c>
      <c r="I202" s="242" t="s">
        <v>319</v>
      </c>
    </row>
    <row r="203" spans="2:9" x14ac:dyDescent="0.25">
      <c r="B203" s="193">
        <v>42650</v>
      </c>
      <c r="C203" s="10">
        <v>4500</v>
      </c>
      <c r="D203" s="200">
        <v>17.994160000000001</v>
      </c>
      <c r="E203" s="40">
        <v>12.55</v>
      </c>
      <c r="F203" s="40">
        <f t="shared" ref="F203:F222" si="76">C203*(E203-D203)</f>
        <v>-24498.720000000001</v>
      </c>
      <c r="G203" s="40">
        <f t="shared" ref="G203:G222" si="77">IF(C203=0, 0,D203*C203)</f>
        <v>80973.72</v>
      </c>
      <c r="H203" s="232">
        <f t="shared" ref="H203:H222" si="78">IF(C203=0, D203, (E203-D203)/D203)</f>
        <v>-0.30255149448487728</v>
      </c>
      <c r="I203" s="242"/>
    </row>
    <row r="204" spans="2:9" x14ac:dyDescent="0.25">
      <c r="B204" s="193">
        <v>42653</v>
      </c>
      <c r="C204" s="10">
        <v>3500</v>
      </c>
      <c r="D204" s="200">
        <v>19.463999999999999</v>
      </c>
      <c r="E204" s="40">
        <v>13.15</v>
      </c>
      <c r="F204" s="40">
        <f t="shared" si="76"/>
        <v>-22098.999999999993</v>
      </c>
      <c r="G204" s="40">
        <f t="shared" si="77"/>
        <v>68124</v>
      </c>
      <c r="H204" s="232">
        <f t="shared" si="78"/>
        <v>-0.32439375256884501</v>
      </c>
      <c r="I204" s="242" t="s">
        <v>316</v>
      </c>
    </row>
    <row r="205" spans="2:9" x14ac:dyDescent="0.25">
      <c r="B205" s="193">
        <v>42653</v>
      </c>
      <c r="C205" s="10">
        <v>3000</v>
      </c>
      <c r="D205" s="200">
        <v>20.51971</v>
      </c>
      <c r="E205" s="40">
        <v>13.15</v>
      </c>
      <c r="F205" s="40">
        <f t="shared" si="76"/>
        <v>-22109.129999999997</v>
      </c>
      <c r="G205" s="40">
        <f t="shared" si="77"/>
        <v>61559.13</v>
      </c>
      <c r="H205" s="232">
        <f t="shared" si="78"/>
        <v>-0.35915273656401575</v>
      </c>
      <c r="I205" s="242"/>
    </row>
    <row r="206" spans="2:9" x14ac:dyDescent="0.25">
      <c r="B206" s="193">
        <v>42662</v>
      </c>
      <c r="C206" s="10">
        <v>2700</v>
      </c>
      <c r="D206" s="200">
        <v>21.341930000000001</v>
      </c>
      <c r="E206" s="40">
        <v>13.07</v>
      </c>
      <c r="F206" s="40">
        <f t="shared" si="76"/>
        <v>-22334.211000000003</v>
      </c>
      <c r="G206" s="40">
        <f t="shared" si="77"/>
        <v>57623.211000000003</v>
      </c>
      <c r="H206" s="232">
        <f t="shared" si="78"/>
        <v>-0.38759053187785736</v>
      </c>
      <c r="I206" s="242" t="s">
        <v>318</v>
      </c>
    </row>
    <row r="207" spans="2:9" x14ac:dyDescent="0.25">
      <c r="B207" s="193">
        <v>42664</v>
      </c>
      <c r="C207" s="441">
        <v>3000</v>
      </c>
      <c r="D207" s="502">
        <v>20.47974</v>
      </c>
      <c r="E207" s="40">
        <v>12.66</v>
      </c>
      <c r="F207" s="40">
        <f t="shared" si="76"/>
        <v>-23459.219999999998</v>
      </c>
      <c r="G207" s="40">
        <f t="shared" si="77"/>
        <v>61439.22</v>
      </c>
      <c r="H207" s="232">
        <f t="shared" si="78"/>
        <v>-0.38182808961441894</v>
      </c>
      <c r="I207" s="242"/>
    </row>
    <row r="208" spans="2:9" x14ac:dyDescent="0.25">
      <c r="B208" s="193">
        <v>42667</v>
      </c>
      <c r="C208" s="282">
        <v>3200</v>
      </c>
      <c r="D208" s="283">
        <v>19.973510000000001</v>
      </c>
      <c r="E208" s="40">
        <v>12.42</v>
      </c>
      <c r="F208" s="40">
        <f t="shared" si="76"/>
        <v>-24171.232000000004</v>
      </c>
      <c r="G208" s="40">
        <f t="shared" si="77"/>
        <v>63915.232000000004</v>
      </c>
      <c r="H208" s="232">
        <f t="shared" si="78"/>
        <v>-0.37817639463469371</v>
      </c>
      <c r="I208" s="242" t="s">
        <v>320</v>
      </c>
    </row>
    <row r="209" spans="2:9" x14ac:dyDescent="0.25">
      <c r="B209" s="193">
        <v>42668</v>
      </c>
      <c r="C209" s="282">
        <v>3500</v>
      </c>
      <c r="D209" s="283">
        <v>19.305489999999999</v>
      </c>
      <c r="E209" s="40">
        <v>12.16</v>
      </c>
      <c r="F209" s="40">
        <f t="shared" si="76"/>
        <v>-25009.214999999997</v>
      </c>
      <c r="G209" s="40">
        <f t="shared" si="77"/>
        <v>67569.214999999997</v>
      </c>
      <c r="H209" s="232">
        <f t="shared" si="78"/>
        <v>-0.37012735755476805</v>
      </c>
      <c r="I209" s="242">
        <v>19.25</v>
      </c>
    </row>
    <row r="210" spans="2:9" x14ac:dyDescent="0.25">
      <c r="B210" s="193">
        <v>42669</v>
      </c>
      <c r="C210" s="282">
        <v>3500</v>
      </c>
      <c r="D210" s="283">
        <v>19.305</v>
      </c>
      <c r="E210" s="40">
        <v>11.9</v>
      </c>
      <c r="F210" s="40">
        <f t="shared" si="76"/>
        <v>-25917.499999999996</v>
      </c>
      <c r="G210" s="40">
        <f t="shared" si="77"/>
        <v>67567.5</v>
      </c>
      <c r="H210" s="232">
        <f t="shared" si="78"/>
        <v>-0.38357938357938354</v>
      </c>
      <c r="I210" s="242"/>
    </row>
    <row r="211" spans="2:9" x14ac:dyDescent="0.25">
      <c r="B211" s="193">
        <v>42671</v>
      </c>
      <c r="C211" s="282">
        <v>3500</v>
      </c>
      <c r="D211" s="283">
        <v>19.29607</v>
      </c>
      <c r="E211" s="40">
        <v>11.76</v>
      </c>
      <c r="F211" s="40">
        <f t="shared" si="76"/>
        <v>-26376.245000000003</v>
      </c>
      <c r="G211" s="40">
        <f t="shared" si="77"/>
        <v>67536.244999999995</v>
      </c>
      <c r="H211" s="232">
        <f t="shared" si="78"/>
        <v>-0.39054947458212996</v>
      </c>
      <c r="I211" s="242">
        <v>19.25</v>
      </c>
    </row>
    <row r="212" spans="2:9" x14ac:dyDescent="0.25">
      <c r="B212" s="193">
        <v>42676</v>
      </c>
      <c r="C212" s="282">
        <v>3800</v>
      </c>
      <c r="D212" s="283">
        <v>18.651119999999999</v>
      </c>
      <c r="E212" s="40">
        <v>10.89</v>
      </c>
      <c r="F212" s="40">
        <f t="shared" si="76"/>
        <v>-29492.255999999994</v>
      </c>
      <c r="G212" s="40">
        <f t="shared" si="77"/>
        <v>70874.255999999994</v>
      </c>
      <c r="H212" s="232">
        <f t="shared" si="78"/>
        <v>-0.41612085494061474</v>
      </c>
      <c r="I212" s="242"/>
    </row>
    <row r="213" spans="2:9" x14ac:dyDescent="0.25">
      <c r="B213" s="193">
        <v>42677</v>
      </c>
      <c r="C213" s="282">
        <v>3500</v>
      </c>
      <c r="D213" s="283">
        <v>19.289809999999999</v>
      </c>
      <c r="E213" s="40">
        <v>11.1</v>
      </c>
      <c r="F213" s="40">
        <f t="shared" si="76"/>
        <v>-28664.334999999999</v>
      </c>
      <c r="G213" s="40">
        <f t="shared" si="77"/>
        <v>67514.334999999992</v>
      </c>
      <c r="H213" s="232">
        <f t="shared" si="78"/>
        <v>-0.4245666494382267</v>
      </c>
      <c r="I213" s="242">
        <v>19.25</v>
      </c>
    </row>
    <row r="214" spans="2:9" x14ac:dyDescent="0.25">
      <c r="B214" s="193">
        <v>42701</v>
      </c>
      <c r="C214" s="282">
        <v>3500</v>
      </c>
      <c r="D214" s="283">
        <v>19.206700000000001</v>
      </c>
      <c r="E214" s="40">
        <v>11.72</v>
      </c>
      <c r="F214" s="40">
        <f t="shared" si="76"/>
        <v>-26203.450000000004</v>
      </c>
      <c r="G214" s="40">
        <f t="shared" si="77"/>
        <v>67223.450000000012</v>
      </c>
      <c r="H214" s="232">
        <f t="shared" si="78"/>
        <v>-0.38979626901029329</v>
      </c>
      <c r="I214" s="242" t="s">
        <v>329</v>
      </c>
    </row>
    <row r="215" spans="2:9" x14ac:dyDescent="0.25">
      <c r="B215" s="193">
        <v>42702</v>
      </c>
      <c r="C215" s="282">
        <v>3200</v>
      </c>
      <c r="D215" s="283">
        <v>19.891770000000001</v>
      </c>
      <c r="E215" s="40">
        <v>11.92</v>
      </c>
      <c r="F215" s="40">
        <f t="shared" si="76"/>
        <v>-25509.664000000004</v>
      </c>
      <c r="G215" s="40">
        <f t="shared" si="77"/>
        <v>63653.664000000004</v>
      </c>
      <c r="H215" s="232">
        <f t="shared" si="78"/>
        <v>-0.40075719757467537</v>
      </c>
      <c r="I215" s="242"/>
    </row>
    <row r="216" spans="2:9" x14ac:dyDescent="0.25">
      <c r="B216" s="193">
        <v>42704</v>
      </c>
      <c r="C216" s="282">
        <v>3500</v>
      </c>
      <c r="D216" s="283">
        <v>19.160499999999999</v>
      </c>
      <c r="E216" s="40">
        <v>11.15</v>
      </c>
      <c r="F216" s="40">
        <f t="shared" si="76"/>
        <v>-28036.749999999996</v>
      </c>
      <c r="G216" s="40">
        <f t="shared" si="77"/>
        <v>67061.75</v>
      </c>
      <c r="H216" s="232">
        <f t="shared" si="78"/>
        <v>-0.41807364108452277</v>
      </c>
      <c r="I216" s="242">
        <v>19</v>
      </c>
    </row>
    <row r="217" spans="2:9" x14ac:dyDescent="0.25">
      <c r="B217" s="193">
        <v>42705</v>
      </c>
      <c r="C217" s="282">
        <v>4000</v>
      </c>
      <c r="D217" s="283">
        <v>18.104399999999998</v>
      </c>
      <c r="E217" s="40">
        <v>10.41</v>
      </c>
      <c r="F217" s="40">
        <f t="shared" si="76"/>
        <v>-30777.599999999991</v>
      </c>
      <c r="G217" s="40">
        <f t="shared" si="77"/>
        <v>72417.599999999991</v>
      </c>
      <c r="H217" s="232">
        <f t="shared" si="78"/>
        <v>-0.42500165705574328</v>
      </c>
      <c r="I217" s="242"/>
    </row>
    <row r="218" spans="2:9" x14ac:dyDescent="0.25">
      <c r="B218" s="193">
        <v>42710</v>
      </c>
      <c r="C218" s="282">
        <v>3500</v>
      </c>
      <c r="D218" s="283">
        <v>19.114180000000001</v>
      </c>
      <c r="E218" s="40">
        <v>11.1</v>
      </c>
      <c r="F218" s="40">
        <f t="shared" si="76"/>
        <v>-28049.630000000005</v>
      </c>
      <c r="G218" s="40">
        <f t="shared" si="77"/>
        <v>66899.63</v>
      </c>
      <c r="H218" s="232">
        <f t="shared" si="78"/>
        <v>-0.41927929945202991</v>
      </c>
      <c r="I218" s="242">
        <v>19</v>
      </c>
    </row>
    <row r="219" spans="2:9" x14ac:dyDescent="0.25">
      <c r="B219" s="193">
        <v>42711</v>
      </c>
      <c r="C219" s="282">
        <v>3200</v>
      </c>
      <c r="D219" s="283">
        <v>19.857089999999999</v>
      </c>
      <c r="E219" s="40">
        <v>11.06</v>
      </c>
      <c r="F219" s="40">
        <f t="shared" si="76"/>
        <v>-28150.687999999998</v>
      </c>
      <c r="G219" s="40">
        <f t="shared" si="77"/>
        <v>63542.687999999995</v>
      </c>
      <c r="H219" s="232">
        <f t="shared" si="78"/>
        <v>-0.44302010012544635</v>
      </c>
      <c r="I219" s="242"/>
    </row>
    <row r="220" spans="2:9" x14ac:dyDescent="0.25">
      <c r="B220" s="193">
        <v>42712</v>
      </c>
      <c r="C220" s="441">
        <v>3000</v>
      </c>
      <c r="D220" s="502">
        <v>20.420919999999999</v>
      </c>
      <c r="E220" s="40">
        <v>11.28</v>
      </c>
      <c r="F220" s="40">
        <f t="shared" si="76"/>
        <v>-27422.76</v>
      </c>
      <c r="G220" s="40">
        <f t="shared" si="77"/>
        <v>61262.759999999995</v>
      </c>
      <c r="H220" s="232">
        <f t="shared" si="78"/>
        <v>-0.44762527839098337</v>
      </c>
      <c r="I220" s="242"/>
    </row>
    <row r="221" spans="2:9" x14ac:dyDescent="0.25">
      <c r="B221" s="193">
        <v>42713</v>
      </c>
      <c r="C221" s="282">
        <v>2800</v>
      </c>
      <c r="D221" s="283">
        <v>21.042400000000001</v>
      </c>
      <c r="E221" s="40">
        <v>11.66</v>
      </c>
      <c r="F221" s="40">
        <f t="shared" si="76"/>
        <v>-26270.720000000001</v>
      </c>
      <c r="G221" s="40">
        <f t="shared" si="77"/>
        <v>58918.720000000001</v>
      </c>
      <c r="H221" s="232">
        <f t="shared" si="78"/>
        <v>-0.44588069801923735</v>
      </c>
      <c r="I221" s="242"/>
    </row>
    <row r="222" spans="2:9" x14ac:dyDescent="0.25">
      <c r="B222" s="193">
        <v>42716</v>
      </c>
      <c r="C222" s="441">
        <v>3000</v>
      </c>
      <c r="D222" s="502">
        <v>20.4023</v>
      </c>
      <c r="E222" s="40">
        <v>11.43</v>
      </c>
      <c r="F222" s="40">
        <f t="shared" si="76"/>
        <v>-26916.9</v>
      </c>
      <c r="G222" s="40">
        <f t="shared" si="77"/>
        <v>61206.9</v>
      </c>
      <c r="H222" s="232">
        <f t="shared" si="78"/>
        <v>-0.43976904564681435</v>
      </c>
      <c r="I222" s="242"/>
    </row>
    <row r="223" spans="2:9" x14ac:dyDescent="0.25">
      <c r="B223" s="193">
        <v>42731</v>
      </c>
      <c r="C223" s="282">
        <v>3000</v>
      </c>
      <c r="D223" s="283">
        <v>20.402000000000001</v>
      </c>
      <c r="E223" s="40">
        <v>11.71</v>
      </c>
      <c r="F223" s="40">
        <f t="shared" ref="F223:F224" si="79">C223*(E223-D223)</f>
        <v>-26076</v>
      </c>
      <c r="G223" s="40">
        <f t="shared" ref="G223:G224" si="80">IF(C223=0, 0,D223*C223)</f>
        <v>61206</v>
      </c>
      <c r="H223" s="232">
        <f t="shared" ref="H223:H224" si="81">IF(C223=0, D223, (E223-D223)/D223)</f>
        <v>-0.4260366630722478</v>
      </c>
      <c r="I223" s="200"/>
    </row>
    <row r="224" spans="2:9" x14ac:dyDescent="0.25">
      <c r="B224" s="193">
        <v>42733</v>
      </c>
      <c r="C224" s="426">
        <v>2000</v>
      </c>
      <c r="D224" s="212">
        <v>24.788530000000002</v>
      </c>
      <c r="E224" s="40">
        <v>11.64</v>
      </c>
      <c r="F224" s="40">
        <f t="shared" si="79"/>
        <v>-26297.06</v>
      </c>
      <c r="G224" s="40">
        <f t="shared" si="80"/>
        <v>49577.060000000005</v>
      </c>
      <c r="H224" s="232">
        <f t="shared" si="81"/>
        <v>-0.53042798423303039</v>
      </c>
      <c r="I224" s="443" t="s">
        <v>375</v>
      </c>
    </row>
    <row r="225" spans="1:9" x14ac:dyDescent="0.25">
      <c r="A225" t="s">
        <v>415</v>
      </c>
      <c r="B225" s="193">
        <v>42754</v>
      </c>
      <c r="C225" s="282">
        <v>2000</v>
      </c>
      <c r="D225" s="283">
        <v>24.788530000000002</v>
      </c>
      <c r="E225" s="40">
        <v>12.19</v>
      </c>
      <c r="F225" s="40">
        <f t="shared" ref="F225" si="82">C225*(E225-D225)</f>
        <v>-25197.060000000005</v>
      </c>
      <c r="G225" s="40">
        <f t="shared" ref="G225" si="83">IF(C225=0, 0,D225*C225)</f>
        <v>49577.060000000005</v>
      </c>
      <c r="H225" s="232">
        <f t="shared" ref="H225" si="84">IF(C225=0, D225, (E225-D225)/D225)</f>
        <v>-0.50824030307565637</v>
      </c>
      <c r="I225" s="200"/>
    </row>
    <row r="226" spans="1:9" x14ac:dyDescent="0.25">
      <c r="A226" t="s">
        <v>456</v>
      </c>
      <c r="B226" s="193">
        <v>42760</v>
      </c>
      <c r="C226" s="282">
        <v>2000</v>
      </c>
      <c r="D226" s="283">
        <v>24.788530000000002</v>
      </c>
      <c r="E226" s="40">
        <v>11.81</v>
      </c>
      <c r="F226" s="40">
        <f t="shared" ref="F226" si="85">C226*(E226-D226)</f>
        <v>-25957.06</v>
      </c>
      <c r="G226" s="40">
        <f t="shared" ref="G226" si="86">IF(C226=0, 0,D226*C226)</f>
        <v>49577.060000000005</v>
      </c>
      <c r="H226" s="232">
        <f t="shared" ref="H226" si="87">IF(C226=0, D226, (E226-D226)/D226)</f>
        <v>-0.52356997369347835</v>
      </c>
      <c r="I226" s="200"/>
    </row>
    <row r="227" spans="1:9" x14ac:dyDescent="0.25">
      <c r="A227" t="s">
        <v>456</v>
      </c>
      <c r="B227" s="193">
        <v>42762</v>
      </c>
      <c r="C227" s="282">
        <v>2000</v>
      </c>
      <c r="D227" s="283">
        <v>24.788530000000002</v>
      </c>
      <c r="E227" s="40">
        <v>11.77</v>
      </c>
      <c r="F227" s="40">
        <f t="shared" ref="F227:F230" si="88">C227*(E227-D227)</f>
        <v>-26037.060000000005</v>
      </c>
      <c r="G227" s="40">
        <f t="shared" ref="G227:G230" si="89">IF(C227=0, 0,D227*C227)</f>
        <v>49577.060000000005</v>
      </c>
      <c r="H227" s="232">
        <f t="shared" ref="H227:H230" si="90">IF(C227=0, D227, (E227-D227)/D227)</f>
        <v>-0.52518362323219658</v>
      </c>
      <c r="I227" s="200"/>
    </row>
    <row r="228" spans="1:9" x14ac:dyDescent="0.25">
      <c r="A228" t="s">
        <v>487</v>
      </c>
      <c r="B228" s="193">
        <v>42765</v>
      </c>
      <c r="C228" s="282">
        <v>2200</v>
      </c>
      <c r="D228" s="283">
        <v>23.578659999999999</v>
      </c>
      <c r="E228" s="40">
        <v>11.55</v>
      </c>
      <c r="F228" s="40">
        <f t="shared" si="88"/>
        <v>-26463.051999999996</v>
      </c>
      <c r="G228" s="40">
        <f t="shared" si="89"/>
        <v>51873.051999999996</v>
      </c>
      <c r="H228" s="232">
        <f t="shared" si="90"/>
        <v>-0.51015027995653695</v>
      </c>
      <c r="I228" s="200"/>
    </row>
    <row r="229" spans="1:9" x14ac:dyDescent="0.25">
      <c r="A229" t="s">
        <v>494</v>
      </c>
      <c r="B229" s="193">
        <v>42766</v>
      </c>
      <c r="C229" s="426">
        <v>2000</v>
      </c>
      <c r="D229" s="212">
        <v>24.771550000000001</v>
      </c>
      <c r="E229" s="40">
        <v>11.8</v>
      </c>
      <c r="F229" s="40">
        <f t="shared" si="88"/>
        <v>-25943.100000000002</v>
      </c>
      <c r="G229" s="40">
        <f t="shared" si="89"/>
        <v>49543.100000000006</v>
      </c>
      <c r="H229" s="232">
        <f t="shared" si="90"/>
        <v>-0.523647087081753</v>
      </c>
      <c r="I229" s="200"/>
    </row>
    <row r="230" spans="1:9" x14ac:dyDescent="0.25">
      <c r="B230" s="193">
        <v>42769</v>
      </c>
      <c r="C230" s="426">
        <v>2000</v>
      </c>
      <c r="D230" s="212">
        <v>24.734089999999998</v>
      </c>
      <c r="E230" s="40">
        <v>11.65</v>
      </c>
      <c r="F230" s="40">
        <f t="shared" si="88"/>
        <v>-26168.179999999997</v>
      </c>
      <c r="G230" s="40">
        <f t="shared" si="89"/>
        <v>49468.18</v>
      </c>
      <c r="H230" s="232">
        <f t="shared" si="90"/>
        <v>-0.5289901508403988</v>
      </c>
      <c r="I230" s="443">
        <v>24.5</v>
      </c>
    </row>
    <row r="231" spans="1:9" x14ac:dyDescent="0.25">
      <c r="B231" s="193"/>
      <c r="C231" s="282"/>
      <c r="D231" s="283"/>
      <c r="E231" s="40"/>
      <c r="F231" s="40"/>
      <c r="G231" s="40"/>
      <c r="H231" s="232"/>
      <c r="I231" s="200"/>
    </row>
    <row r="232" spans="1:9" x14ac:dyDescent="0.25">
      <c r="B232" s="193"/>
      <c r="C232" s="282"/>
      <c r="D232" s="283"/>
      <c r="E232" s="40"/>
      <c r="F232" s="40"/>
      <c r="G232" s="40"/>
      <c r="H232" s="232"/>
      <c r="I232" s="200"/>
    </row>
    <row r="233" spans="1:9" x14ac:dyDescent="0.25">
      <c r="B233" s="193"/>
      <c r="C233" s="282"/>
      <c r="D233" s="283"/>
      <c r="E233" s="40"/>
      <c r="F233" s="40"/>
      <c r="G233" s="40"/>
      <c r="H233" s="232"/>
      <c r="I233" s="200"/>
    </row>
    <row r="234" spans="1:9" x14ac:dyDescent="0.25">
      <c r="B234" s="193"/>
      <c r="C234" s="282"/>
      <c r="D234" s="283"/>
      <c r="E234" s="40"/>
      <c r="F234" s="40"/>
      <c r="G234" s="40"/>
      <c r="H234" s="232"/>
      <c r="I234" s="200"/>
    </row>
    <row r="235" spans="1:9" x14ac:dyDescent="0.25">
      <c r="B235" s="193"/>
      <c r="C235" s="282"/>
      <c r="D235" s="283"/>
      <c r="E235" s="40"/>
      <c r="F235" s="40"/>
      <c r="G235" s="40"/>
      <c r="H235" s="232"/>
      <c r="I235" s="200"/>
    </row>
    <row r="236" spans="1:9" x14ac:dyDescent="0.25">
      <c r="B236" s="193"/>
      <c r="C236" s="282"/>
      <c r="D236" s="283"/>
      <c r="E236" s="40"/>
      <c r="F236" s="40"/>
      <c r="G236" s="40"/>
      <c r="H236" s="232"/>
      <c r="I236" s="200"/>
    </row>
    <row r="237" spans="1:9" x14ac:dyDescent="0.25">
      <c r="B237" s="193"/>
      <c r="C237" s="282"/>
      <c r="D237" s="283"/>
      <c r="E237" s="40"/>
      <c r="F237" s="40"/>
      <c r="G237" s="40"/>
      <c r="H237" s="232"/>
      <c r="I237" s="200"/>
    </row>
    <row r="238" spans="1:9" x14ac:dyDescent="0.25">
      <c r="B238" s="193"/>
      <c r="C238" s="282"/>
      <c r="D238" s="283"/>
      <c r="E238" s="40"/>
      <c r="F238" s="40"/>
      <c r="G238" s="40"/>
      <c r="H238" s="232"/>
      <c r="I238" s="200"/>
    </row>
    <row r="239" spans="1:9" x14ac:dyDescent="0.25">
      <c r="B239" s="193"/>
      <c r="C239" s="282"/>
      <c r="D239" s="283"/>
      <c r="E239" s="40"/>
      <c r="F239" s="40"/>
      <c r="G239" s="40"/>
      <c r="H239" s="232"/>
      <c r="I239" s="200"/>
    </row>
    <row r="240" spans="1:9" x14ac:dyDescent="0.25">
      <c r="B240" s="193"/>
      <c r="C240" s="282"/>
      <c r="D240" s="283"/>
      <c r="E240" s="40"/>
      <c r="F240" s="40"/>
      <c r="G240" s="40"/>
      <c r="H240" s="232"/>
      <c r="I240" s="200"/>
    </row>
    <row r="241" spans="2:9" x14ac:dyDescent="0.25">
      <c r="B241" s="193"/>
      <c r="C241" s="282"/>
      <c r="D241" s="283"/>
      <c r="E241" s="40"/>
      <c r="F241" s="40"/>
      <c r="G241" s="40"/>
      <c r="H241" s="232"/>
      <c r="I241" s="200"/>
    </row>
    <row r="242" spans="2:9" x14ac:dyDescent="0.25">
      <c r="B242" s="193"/>
      <c r="C242" s="282"/>
      <c r="D242" s="283"/>
      <c r="E242" s="40"/>
      <c r="F242" s="40"/>
      <c r="G242" s="40"/>
      <c r="H242" s="232"/>
      <c r="I242" s="200"/>
    </row>
    <row r="243" spans="2:9" x14ac:dyDescent="0.25">
      <c r="B243" s="193"/>
      <c r="C243" s="282"/>
      <c r="D243" s="283"/>
      <c r="E243" s="40"/>
      <c r="F243" s="40"/>
      <c r="G243" s="40"/>
      <c r="H243" s="232"/>
      <c r="I243" s="200"/>
    </row>
    <row r="244" spans="2:9" x14ac:dyDescent="0.25">
      <c r="B244" s="193"/>
      <c r="C244" s="282"/>
      <c r="D244" s="283"/>
      <c r="E244" s="40"/>
      <c r="F244" s="40"/>
      <c r="G244" s="40"/>
      <c r="H244" s="232"/>
      <c r="I244" s="200"/>
    </row>
    <row r="245" spans="2:9" x14ac:dyDescent="0.25">
      <c r="B245" s="193"/>
      <c r="C245" s="282"/>
      <c r="D245" s="283"/>
      <c r="E245" s="40"/>
      <c r="F245" s="40"/>
      <c r="G245" s="40"/>
      <c r="H245" s="232"/>
      <c r="I245" s="200"/>
    </row>
    <row r="246" spans="2:9" x14ac:dyDescent="0.25">
      <c r="B246" s="193"/>
      <c r="C246" s="10"/>
      <c r="D246" s="200"/>
      <c r="E246" s="40"/>
      <c r="F246" s="40"/>
      <c r="G246" s="40"/>
      <c r="H246" s="232"/>
      <c r="I246" s="200"/>
    </row>
    <row r="247" spans="2:9" x14ac:dyDescent="0.25">
      <c r="B247" s="193"/>
      <c r="C247" s="10"/>
      <c r="D247" s="200"/>
      <c r="E247" s="40"/>
      <c r="F247" s="40"/>
      <c r="G247" s="40"/>
      <c r="H247" s="232"/>
      <c r="I247" s="200"/>
    </row>
    <row r="248" spans="2:9" x14ac:dyDescent="0.25">
      <c r="B248" s="193"/>
      <c r="C248" s="10"/>
      <c r="D248" s="200"/>
      <c r="E248" s="40"/>
      <c r="F248" s="40"/>
      <c r="G248" s="40"/>
      <c r="H248" s="232"/>
      <c r="I248" s="200"/>
    </row>
    <row r="249" spans="2:9" x14ac:dyDescent="0.25">
      <c r="B249" s="193"/>
      <c r="C249" s="10"/>
      <c r="D249" s="200"/>
      <c r="E249" s="40"/>
      <c r="F249" s="40"/>
      <c r="G249" s="40"/>
      <c r="H249" s="232"/>
      <c r="I249" s="200"/>
    </row>
    <row r="250" spans="2:9" x14ac:dyDescent="0.25">
      <c r="B250" s="193"/>
      <c r="C250" s="282"/>
      <c r="D250" s="283"/>
      <c r="E250" s="40"/>
      <c r="F250" s="40"/>
      <c r="G250" s="40"/>
      <c r="H250" s="232"/>
      <c r="I250" s="200"/>
    </row>
    <row r="251" spans="2:9" x14ac:dyDescent="0.25">
      <c r="B251" s="193"/>
      <c r="C251" s="282"/>
      <c r="D251" s="283"/>
      <c r="E251" s="40"/>
      <c r="F251" s="40"/>
      <c r="G251" s="40"/>
      <c r="H251" s="232"/>
      <c r="I251" s="200"/>
    </row>
    <row r="252" spans="2:9" x14ac:dyDescent="0.25">
      <c r="B252" s="193"/>
      <c r="C252" s="282"/>
      <c r="D252" s="283"/>
      <c r="E252" s="40"/>
      <c r="F252" s="40"/>
      <c r="G252" s="40"/>
      <c r="H252" s="232"/>
      <c r="I252" s="200"/>
    </row>
    <row r="253" spans="2:9" x14ac:dyDescent="0.25">
      <c r="B253" s="193"/>
      <c r="C253" s="282"/>
      <c r="D253" s="283"/>
      <c r="E253" s="40"/>
      <c r="F253" s="40"/>
      <c r="G253" s="40"/>
      <c r="H253" s="232"/>
      <c r="I253" s="200"/>
    </row>
    <row r="254" spans="2:9" x14ac:dyDescent="0.25">
      <c r="B254" s="193"/>
      <c r="C254" s="282"/>
      <c r="D254" s="283"/>
      <c r="E254" s="40"/>
      <c r="F254" s="40"/>
      <c r="G254" s="40"/>
      <c r="H254" s="232"/>
      <c r="I254" s="200"/>
    </row>
    <row r="255" spans="2:9" x14ac:dyDescent="0.25">
      <c r="B255" s="193"/>
      <c r="C255" s="282"/>
      <c r="D255" s="283"/>
      <c r="E255" s="40"/>
      <c r="F255" s="40"/>
      <c r="G255" s="40"/>
      <c r="H255" s="232"/>
      <c r="I255" s="200"/>
    </row>
    <row r="256" spans="2:9" x14ac:dyDescent="0.25">
      <c r="B256" s="193"/>
      <c r="C256" s="282"/>
      <c r="D256" s="283"/>
      <c r="E256" s="40"/>
      <c r="F256" s="40"/>
      <c r="G256" s="40"/>
      <c r="H256" s="232"/>
      <c r="I256" s="200"/>
    </row>
    <row r="257" spans="2:9" x14ac:dyDescent="0.25">
      <c r="B257" s="193"/>
      <c r="C257" s="282"/>
      <c r="D257" s="283"/>
      <c r="E257" s="40"/>
      <c r="F257" s="40"/>
      <c r="G257" s="40"/>
      <c r="H257" s="232"/>
      <c r="I257" s="200"/>
    </row>
    <row r="258" spans="2:9" x14ac:dyDescent="0.25">
      <c r="B258" s="193"/>
      <c r="C258" s="282"/>
      <c r="D258" s="283"/>
      <c r="E258" s="40"/>
      <c r="F258" s="40"/>
      <c r="G258" s="40"/>
      <c r="H258" s="232"/>
      <c r="I258" s="200"/>
    </row>
    <row r="259" spans="2:9" x14ac:dyDescent="0.25">
      <c r="B259" s="193"/>
      <c r="C259" s="282"/>
      <c r="D259" s="283"/>
      <c r="E259" s="40"/>
      <c r="F259" s="40"/>
      <c r="G259" s="40"/>
      <c r="H259" s="232"/>
      <c r="I259" s="200"/>
    </row>
    <row r="260" spans="2:9" x14ac:dyDescent="0.25">
      <c r="B260" s="193"/>
      <c r="C260" s="282"/>
      <c r="D260" s="283"/>
      <c r="E260" s="40"/>
      <c r="F260" s="40"/>
      <c r="G260" s="40"/>
      <c r="H260" s="232"/>
      <c r="I260" s="200"/>
    </row>
    <row r="261" spans="2:9" x14ac:dyDescent="0.25">
      <c r="B261" s="193"/>
      <c r="C261" s="282"/>
      <c r="D261" s="283"/>
      <c r="E261" s="40"/>
      <c r="F261" s="40"/>
      <c r="G261" s="40"/>
      <c r="H261" s="232"/>
      <c r="I261" s="200"/>
    </row>
    <row r="262" spans="2:9" x14ac:dyDescent="0.25">
      <c r="B262" s="193"/>
      <c r="C262" s="282"/>
      <c r="D262" s="283"/>
      <c r="E262" s="40"/>
      <c r="F262" s="40"/>
      <c r="G262" s="40"/>
      <c r="H262" s="232"/>
      <c r="I262" s="200"/>
    </row>
    <row r="263" spans="2:9" x14ac:dyDescent="0.25">
      <c r="B263" s="193"/>
      <c r="C263" s="282"/>
      <c r="D263" s="283"/>
      <c r="E263" s="40"/>
      <c r="F263" s="40"/>
      <c r="G263" s="40"/>
      <c r="H263" s="232"/>
      <c r="I263" s="200"/>
    </row>
    <row r="264" spans="2:9" x14ac:dyDescent="0.25">
      <c r="B264" s="193"/>
      <c r="C264" s="282"/>
      <c r="D264" s="283"/>
      <c r="E264" s="40"/>
      <c r="F264" s="40"/>
      <c r="G264" s="40"/>
      <c r="H264" s="232"/>
      <c r="I264" s="200"/>
    </row>
    <row r="265" spans="2:9" x14ac:dyDescent="0.25">
      <c r="B265" s="193"/>
      <c r="C265" s="282"/>
      <c r="D265" s="283"/>
      <c r="E265" s="40"/>
      <c r="F265" s="40"/>
      <c r="G265" s="40"/>
      <c r="H265" s="232"/>
      <c r="I265" s="200"/>
    </row>
    <row r="266" spans="2:9" x14ac:dyDescent="0.25">
      <c r="B266" s="193"/>
      <c r="C266" s="282"/>
      <c r="D266" s="283"/>
      <c r="E266" s="40"/>
      <c r="F266" s="40"/>
      <c r="G266" s="40"/>
      <c r="H266" s="232"/>
      <c r="I266" s="200"/>
    </row>
    <row r="267" spans="2:9" x14ac:dyDescent="0.25">
      <c r="B267" s="193"/>
      <c r="C267" s="282"/>
      <c r="D267" s="283"/>
      <c r="E267" s="40"/>
      <c r="F267" s="40"/>
      <c r="G267" s="40"/>
      <c r="H267" s="232"/>
      <c r="I267" s="200"/>
    </row>
    <row r="268" spans="2:9" x14ac:dyDescent="0.25">
      <c r="B268" s="193"/>
      <c r="C268" s="282"/>
      <c r="D268" s="283"/>
      <c r="E268" s="40"/>
      <c r="F268" s="40"/>
      <c r="G268" s="40"/>
      <c r="H268" s="232"/>
      <c r="I268" s="200"/>
    </row>
    <row r="269" spans="2:9" x14ac:dyDescent="0.25">
      <c r="B269" s="193"/>
      <c r="C269" s="282"/>
      <c r="D269" s="283"/>
      <c r="E269" s="40"/>
      <c r="F269" s="40"/>
      <c r="G269" s="40"/>
      <c r="H269" s="232"/>
      <c r="I269" s="200"/>
    </row>
    <row r="270" spans="2:9" x14ac:dyDescent="0.25">
      <c r="B270" s="193"/>
      <c r="C270" s="282"/>
      <c r="D270" s="283"/>
      <c r="E270" s="40"/>
      <c r="F270" s="40"/>
      <c r="G270" s="40"/>
      <c r="H270" s="232"/>
      <c r="I270" s="200"/>
    </row>
    <row r="271" spans="2:9" x14ac:dyDescent="0.25">
      <c r="B271" s="193"/>
      <c r="C271" s="282"/>
      <c r="D271" s="283"/>
      <c r="E271" s="40"/>
      <c r="F271" s="40"/>
      <c r="G271" s="40"/>
      <c r="H271" s="232"/>
      <c r="I271" s="200"/>
    </row>
    <row r="272" spans="2:9" x14ac:dyDescent="0.25">
      <c r="B272" s="193"/>
      <c r="C272" s="282"/>
      <c r="D272" s="283"/>
      <c r="E272" s="40"/>
      <c r="F272" s="40"/>
      <c r="G272" s="40"/>
      <c r="H272" s="232"/>
      <c r="I272" s="200"/>
    </row>
  </sheetData>
  <mergeCells count="2">
    <mergeCell ref="B47:B48"/>
    <mergeCell ref="A98:A99"/>
  </mergeCells>
  <conditionalFormatting sqref="Q12 F137 H126:H129 H168:H171 F168:F171 H137 H142:H155 F142:F155">
    <cfRule type="expression" dxfId="705" priority="74">
      <formula>F12&gt;0</formula>
    </cfRule>
    <cfRule type="expression" dxfId="704" priority="75">
      <formula>F12&lt;0</formula>
    </cfRule>
  </conditionalFormatting>
  <conditionalFormatting sqref="O43:O63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7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69">
      <iconSet iconSet="3Arrows">
        <cfvo type="percent" val="0"/>
        <cfvo type="num" val="0"/>
        <cfvo type="num" val="0"/>
      </iconSet>
    </cfRule>
  </conditionalFormatting>
  <conditionalFormatting sqref="F113:F129">
    <cfRule type="expression" dxfId="703" priority="67">
      <formula>F113&gt;0</formula>
    </cfRule>
    <cfRule type="expression" dxfId="702" priority="68">
      <formula>F113&lt;0</formula>
    </cfRule>
  </conditionalFormatting>
  <conditionalFormatting sqref="H113:H119">
    <cfRule type="expression" dxfId="701" priority="55">
      <formula>H113&gt;0</formula>
    </cfRule>
    <cfRule type="expression" dxfId="700" priority="56">
      <formula>H113&lt;0</formula>
    </cfRule>
  </conditionalFormatting>
  <conditionalFormatting sqref="H120">
    <cfRule type="expression" dxfId="699" priority="53">
      <formula>H120&gt;0</formula>
    </cfRule>
    <cfRule type="expression" dxfId="698" priority="54">
      <formula>H120&lt;0</formula>
    </cfRule>
  </conditionalFormatting>
  <conditionalFormatting sqref="H121">
    <cfRule type="expression" dxfId="697" priority="51">
      <formula>H121&gt;0</formula>
    </cfRule>
    <cfRule type="expression" dxfId="696" priority="52">
      <formula>H121&lt;0</formula>
    </cfRule>
  </conditionalFormatting>
  <conditionalFormatting sqref="H122:H124">
    <cfRule type="expression" dxfId="695" priority="49">
      <formula>H122&gt;0</formula>
    </cfRule>
    <cfRule type="expression" dxfId="694" priority="50">
      <formula>H122&lt;0</formula>
    </cfRule>
  </conditionalFormatting>
  <conditionalFormatting sqref="H125">
    <cfRule type="expression" dxfId="693" priority="45">
      <formula>H125&gt;0</formula>
    </cfRule>
    <cfRule type="expression" dxfId="692" priority="46">
      <formula>H125&lt;0</formula>
    </cfRule>
  </conditionalFormatting>
  <conditionalFormatting sqref="Q7">
    <cfRule type="expression" dxfId="691" priority="39">
      <formula>Q7&gt;0</formula>
    </cfRule>
    <cfRule type="expression" dxfId="690" priority="40">
      <formula>Q7&lt;0</formula>
    </cfRule>
  </conditionalFormatting>
  <conditionalFormatting sqref="Q8">
    <cfRule type="expression" dxfId="689" priority="37">
      <formula>Q8&gt;0</formula>
    </cfRule>
    <cfRule type="expression" dxfId="688" priority="38">
      <formula>Q8&lt;0</formula>
    </cfRule>
  </conditionalFormatting>
  <conditionalFormatting sqref="F156:F167 H156:H167">
    <cfRule type="expression" dxfId="687" priority="35">
      <formula>F156&gt;0</formula>
    </cfRule>
    <cfRule type="expression" dxfId="686" priority="36">
      <formula>F156&lt;0</formula>
    </cfRule>
  </conditionalFormatting>
  <conditionalFormatting sqref="F172:F186 H172:H186">
    <cfRule type="expression" dxfId="685" priority="33">
      <formula>F172&gt;0</formula>
    </cfRule>
    <cfRule type="expression" dxfId="684" priority="34">
      <formula>F172&lt;0</formula>
    </cfRule>
  </conditionalFormatting>
  <conditionalFormatting sqref="F187:F195 H187:H195">
    <cfRule type="expression" dxfId="683" priority="31">
      <formula>F187&gt;0</formula>
    </cfRule>
    <cfRule type="expression" dxfId="682" priority="32">
      <formula>F187&lt;0</formula>
    </cfRule>
  </conditionalFormatting>
  <conditionalFormatting sqref="F130:F136 H130:H136">
    <cfRule type="expression" dxfId="681" priority="29">
      <formula>F130&gt;0</formula>
    </cfRule>
    <cfRule type="expression" dxfId="680" priority="30">
      <formula>F130&lt;0</formula>
    </cfRule>
  </conditionalFormatting>
  <conditionalFormatting sqref="H138:H141 F138:F141">
    <cfRule type="expression" dxfId="679" priority="27">
      <formula>F138&gt;0</formula>
    </cfRule>
    <cfRule type="expression" dxfId="678" priority="28">
      <formula>F138&lt;0</formula>
    </cfRule>
  </conditionalFormatting>
  <conditionalFormatting sqref="F215 H204:H207 H246:H249 F246:F249 H215 H220:H222 F220:F222 F224:F233 H224:H233">
    <cfRule type="expression" dxfId="677" priority="25">
      <formula>F204&gt;0</formula>
    </cfRule>
    <cfRule type="expression" dxfId="676" priority="26">
      <formula>F204&lt;0</formula>
    </cfRule>
  </conditionalFormatting>
  <conditionalFormatting sqref="F196:F207">
    <cfRule type="expression" dxfId="675" priority="23">
      <formula>F196&gt;0</formula>
    </cfRule>
    <cfRule type="expression" dxfId="674" priority="24">
      <formula>F196&lt;0</formula>
    </cfRule>
  </conditionalFormatting>
  <conditionalFormatting sqref="H196:H197">
    <cfRule type="expression" dxfId="673" priority="21">
      <formula>H196&gt;0</formula>
    </cfRule>
    <cfRule type="expression" dxfId="672" priority="22">
      <formula>H196&lt;0</formula>
    </cfRule>
  </conditionalFormatting>
  <conditionalFormatting sqref="H198">
    <cfRule type="expression" dxfId="671" priority="19">
      <formula>H198&gt;0</formula>
    </cfRule>
    <cfRule type="expression" dxfId="670" priority="20">
      <formula>H198&lt;0</formula>
    </cfRule>
  </conditionalFormatting>
  <conditionalFormatting sqref="H199">
    <cfRule type="expression" dxfId="669" priority="17">
      <formula>H199&gt;0</formula>
    </cfRule>
    <cfRule type="expression" dxfId="668" priority="18">
      <formula>H199&lt;0</formula>
    </cfRule>
  </conditionalFormatting>
  <conditionalFormatting sqref="H200:H202">
    <cfRule type="expression" dxfId="667" priority="15">
      <formula>H200&gt;0</formula>
    </cfRule>
    <cfRule type="expression" dxfId="666" priority="16">
      <formula>H200&lt;0</formula>
    </cfRule>
  </conditionalFormatting>
  <conditionalFormatting sqref="H203">
    <cfRule type="expression" dxfId="665" priority="13">
      <formula>H203&gt;0</formula>
    </cfRule>
    <cfRule type="expression" dxfId="664" priority="14">
      <formula>H203&lt;0</formula>
    </cfRule>
  </conditionalFormatting>
  <conditionalFormatting sqref="F234:F245 H234:H245">
    <cfRule type="expression" dxfId="663" priority="11">
      <formula>F234&gt;0</formula>
    </cfRule>
    <cfRule type="expression" dxfId="662" priority="12">
      <formula>F234&lt;0</formula>
    </cfRule>
  </conditionalFormatting>
  <conditionalFormatting sqref="F250:F264 H250:H264">
    <cfRule type="expression" dxfId="661" priority="9">
      <formula>F250&gt;0</formula>
    </cfRule>
    <cfRule type="expression" dxfId="660" priority="10">
      <formula>F250&lt;0</formula>
    </cfRule>
  </conditionalFormatting>
  <conditionalFormatting sqref="F265:F272 H265:H272">
    <cfRule type="expression" dxfId="659" priority="7">
      <formula>F265&gt;0</formula>
    </cfRule>
    <cfRule type="expression" dxfId="658" priority="8">
      <formula>F265&lt;0</formula>
    </cfRule>
  </conditionalFormatting>
  <conditionalFormatting sqref="F208:F214 H208:H214">
    <cfRule type="expression" dxfId="657" priority="5">
      <formula>F208&gt;0</formula>
    </cfRule>
    <cfRule type="expression" dxfId="656" priority="6">
      <formula>F208&lt;0</formula>
    </cfRule>
  </conditionalFormatting>
  <conditionalFormatting sqref="H216:H219 F216:F219">
    <cfRule type="expression" dxfId="655" priority="3">
      <formula>F216&gt;0</formula>
    </cfRule>
    <cfRule type="expression" dxfId="654" priority="4">
      <formula>F216&lt;0</formula>
    </cfRule>
  </conditionalFormatting>
  <conditionalFormatting sqref="H223 F223">
    <cfRule type="expression" dxfId="653" priority="1">
      <formula>F223&gt;0</formula>
    </cfRule>
    <cfRule type="expression" dxfId="652" priority="2">
      <formula>F223&lt;0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AE9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30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3.7109375" customWidth="1"/>
    <col min="21" max="21" width="25.140625" customWidth="1"/>
    <col min="23" max="23" width="17.140625" customWidth="1"/>
    <col min="24" max="24" width="7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337</v>
      </c>
      <c r="B2" s="510">
        <v>42768</v>
      </c>
      <c r="C2" s="4">
        <v>40</v>
      </c>
      <c r="D2" s="3">
        <v>91.52</v>
      </c>
      <c r="E2" s="3">
        <v>0</v>
      </c>
      <c r="F2" s="3">
        <f>D2*C2+E2</f>
        <v>3660.7999999999997</v>
      </c>
      <c r="G2" s="509"/>
      <c r="H2" s="185"/>
      <c r="I2" s="3"/>
      <c r="J2" s="3"/>
      <c r="K2" s="3"/>
      <c r="L2" s="74"/>
      <c r="M2" s="3"/>
      <c r="O2" s="11" t="s">
        <v>57</v>
      </c>
      <c r="Q2">
        <f>C18-H18</f>
        <v>80</v>
      </c>
      <c r="T2" s="1"/>
      <c r="W2" s="133">
        <v>42768</v>
      </c>
      <c r="X2" s="10">
        <v>92.16</v>
      </c>
      <c r="Y2" s="10">
        <v>92.19</v>
      </c>
      <c r="Z2" s="10">
        <v>86.55</v>
      </c>
      <c r="AA2" s="10">
        <v>89.73</v>
      </c>
      <c r="AB2" s="95">
        <v>8891900</v>
      </c>
      <c r="AC2" s="10">
        <v>89.73</v>
      </c>
      <c r="AD2" s="2">
        <f>Y2-Z2</f>
        <v>5.6400000000000006</v>
      </c>
      <c r="AE2" s="138">
        <f>AC2/AC3-1</f>
        <v>-8.4574576617016839E-2</v>
      </c>
    </row>
    <row r="3" spans="1:31" x14ac:dyDescent="0.25">
      <c r="A3" s="23" t="s">
        <v>71</v>
      </c>
      <c r="B3" s="510">
        <v>42768</v>
      </c>
      <c r="C3" s="4">
        <v>40</v>
      </c>
      <c r="D3" s="3">
        <v>88.8</v>
      </c>
      <c r="E3" s="3">
        <v>0</v>
      </c>
      <c r="F3" s="3">
        <f>D3*C3+E3</f>
        <v>3552</v>
      </c>
      <c r="G3" s="509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90.16</v>
      </c>
      <c r="T3" s="1"/>
      <c r="W3" s="133">
        <v>42767</v>
      </c>
      <c r="X3" s="10">
        <v>96.51</v>
      </c>
      <c r="Y3" s="10">
        <v>98.38</v>
      </c>
      <c r="Z3" s="10">
        <v>96.11</v>
      </c>
      <c r="AA3" s="10">
        <v>98.02</v>
      </c>
      <c r="AB3" s="95">
        <v>3003400</v>
      </c>
      <c r="AC3" s="10">
        <v>98.02</v>
      </c>
      <c r="AD3" s="2">
        <f t="shared" ref="AD3:AD66" si="0">Y3-Z3</f>
        <v>2.269999999999996</v>
      </c>
      <c r="AE3" s="138">
        <f t="shared" ref="AE3:AE66" si="1">AC3/AC4-1</f>
        <v>1.849542809642557E-2</v>
      </c>
    </row>
    <row r="4" spans="1:31" x14ac:dyDescent="0.25">
      <c r="B4" s="509"/>
      <c r="C4" s="4"/>
      <c r="D4" s="3"/>
      <c r="E4" s="3"/>
      <c r="F4" s="3"/>
      <c r="G4" s="509"/>
      <c r="H4" s="185"/>
      <c r="I4" s="3"/>
      <c r="J4" s="3"/>
      <c r="K4" s="3"/>
      <c r="L4" s="4"/>
      <c r="M4" s="4"/>
      <c r="O4" s="11" t="s">
        <v>66</v>
      </c>
      <c r="Q4" s="55">
        <v>90.47</v>
      </c>
      <c r="R4" s="505">
        <v>8.2000000000000007E-3</v>
      </c>
      <c r="T4" s="163"/>
      <c r="U4" s="1"/>
      <c r="W4" s="133">
        <v>42766</v>
      </c>
      <c r="X4" s="10">
        <v>96.39</v>
      </c>
      <c r="Y4" s="10">
        <v>96.9</v>
      </c>
      <c r="Z4" s="10">
        <v>95.25</v>
      </c>
      <c r="AA4" s="10">
        <v>96.24</v>
      </c>
      <c r="AB4" s="95">
        <v>3703300</v>
      </c>
      <c r="AC4" s="10">
        <v>96.24</v>
      </c>
      <c r="AD4" s="2">
        <f t="shared" si="0"/>
        <v>1.6500000000000057</v>
      </c>
      <c r="AE4" s="138">
        <f t="shared" si="1"/>
        <v>-2.3841608790298174E-3</v>
      </c>
    </row>
    <row r="5" spans="1:31" x14ac:dyDescent="0.25">
      <c r="B5" s="509"/>
      <c r="C5" s="4"/>
      <c r="D5" s="3"/>
      <c r="E5" s="3"/>
      <c r="F5" s="3"/>
      <c r="G5" s="509"/>
      <c r="H5" s="185"/>
      <c r="I5" s="3"/>
      <c r="J5" s="3"/>
      <c r="K5" s="3"/>
      <c r="L5" s="4"/>
      <c r="M5" s="4"/>
      <c r="O5" s="11" t="s">
        <v>67</v>
      </c>
      <c r="Q5" s="3">
        <f>Q4*Q2</f>
        <v>7237.6</v>
      </c>
      <c r="W5" s="133">
        <v>42765</v>
      </c>
      <c r="X5" s="10">
        <v>97.07</v>
      </c>
      <c r="Y5" s="10">
        <v>97.23</v>
      </c>
      <c r="Z5" s="10">
        <v>95.49</v>
      </c>
      <c r="AA5" s="10">
        <v>96.47</v>
      </c>
      <c r="AB5" s="95">
        <v>1185600</v>
      </c>
      <c r="AC5" s="10">
        <v>96.47</v>
      </c>
      <c r="AD5" s="2">
        <f t="shared" si="0"/>
        <v>1.7400000000000091</v>
      </c>
      <c r="AE5" s="138">
        <f t="shared" si="1"/>
        <v>-8.5303186022610555E-3</v>
      </c>
    </row>
    <row r="6" spans="1:31" x14ac:dyDescent="0.25">
      <c r="B6" s="509"/>
      <c r="C6" s="4"/>
      <c r="D6" s="3"/>
      <c r="E6" s="3"/>
      <c r="F6" s="3"/>
      <c r="G6" s="509"/>
      <c r="H6" s="185"/>
      <c r="I6" s="3"/>
      <c r="J6" s="3"/>
      <c r="K6" s="3"/>
      <c r="L6" s="4"/>
      <c r="M6" s="4"/>
      <c r="O6" s="11" t="s">
        <v>64</v>
      </c>
      <c r="Q6" s="2">
        <f>Q3*Q2</f>
        <v>7212.7999999999993</v>
      </c>
      <c r="W6" s="133">
        <v>42762</v>
      </c>
      <c r="X6" s="10">
        <v>95.67</v>
      </c>
      <c r="Y6" s="10">
        <v>97.34</v>
      </c>
      <c r="Z6" s="10">
        <v>95.53</v>
      </c>
      <c r="AA6" s="10">
        <v>97.3</v>
      </c>
      <c r="AB6" s="95">
        <v>1602100</v>
      </c>
      <c r="AC6" s="10">
        <v>97.3</v>
      </c>
      <c r="AD6" s="2">
        <f t="shared" si="0"/>
        <v>1.8100000000000023</v>
      </c>
      <c r="AE6" s="138">
        <f t="shared" si="1"/>
        <v>2.2810890360559277E-2</v>
      </c>
    </row>
    <row r="7" spans="1:31" x14ac:dyDescent="0.25">
      <c r="B7" s="509"/>
      <c r="C7" s="4"/>
      <c r="D7" s="3"/>
      <c r="E7" s="3"/>
      <c r="F7" s="3"/>
      <c r="G7" s="509"/>
      <c r="H7" s="185"/>
      <c r="I7" s="3"/>
      <c r="J7" s="3"/>
      <c r="K7" s="3"/>
      <c r="L7" s="4"/>
      <c r="M7" s="4"/>
      <c r="O7" s="11" t="s">
        <v>181</v>
      </c>
      <c r="Q7" s="2">
        <f>Q10+Q8</f>
        <v>562.72000000000116</v>
      </c>
      <c r="R7" s="30">
        <v>42800</v>
      </c>
      <c r="W7" s="133">
        <v>42761</v>
      </c>
      <c r="X7" s="10">
        <v>96.2</v>
      </c>
      <c r="Y7" s="10">
        <v>96.89</v>
      </c>
      <c r="Z7" s="10">
        <v>94.97</v>
      </c>
      <c r="AA7" s="10">
        <v>95.13</v>
      </c>
      <c r="AB7" s="95">
        <v>1627900</v>
      </c>
      <c r="AC7" s="10">
        <v>95.13</v>
      </c>
      <c r="AD7" s="2">
        <f t="shared" si="0"/>
        <v>1.9200000000000017</v>
      </c>
      <c r="AE7" s="138">
        <f t="shared" si="1"/>
        <v>-9.578344612181211E-3</v>
      </c>
    </row>
    <row r="8" spans="1:31" x14ac:dyDescent="0.25">
      <c r="B8" s="509"/>
      <c r="C8" s="4"/>
      <c r="D8" s="3"/>
      <c r="E8" s="3"/>
      <c r="F8" s="3"/>
      <c r="G8" s="509"/>
      <c r="H8" s="185"/>
      <c r="I8" s="3"/>
      <c r="J8" s="3"/>
      <c r="K8" s="3"/>
      <c r="L8" s="4"/>
      <c r="M8" s="4"/>
      <c r="O8" s="11" t="s">
        <v>184</v>
      </c>
      <c r="P8" s="34"/>
      <c r="Q8" s="2">
        <f>K18+M18-F18+Q2*Q4</f>
        <v>24.800000000001091</v>
      </c>
      <c r="W8" s="133">
        <v>42760</v>
      </c>
      <c r="X8" s="10">
        <v>94.76</v>
      </c>
      <c r="Y8" s="10">
        <v>96.39</v>
      </c>
      <c r="Z8" s="10">
        <v>94.67</v>
      </c>
      <c r="AA8" s="10">
        <v>96.05</v>
      </c>
      <c r="AB8" s="95">
        <v>1517000</v>
      </c>
      <c r="AC8" s="10">
        <v>96.05</v>
      </c>
      <c r="AD8" s="2">
        <f t="shared" si="0"/>
        <v>1.7199999999999989</v>
      </c>
      <c r="AE8" s="138">
        <f t="shared" si="1"/>
        <v>1.7478813559322015E-2</v>
      </c>
    </row>
    <row r="9" spans="1:31" x14ac:dyDescent="0.25">
      <c r="B9" s="509"/>
      <c r="C9" s="4"/>
      <c r="D9" s="3"/>
      <c r="E9" s="3"/>
      <c r="F9" s="3"/>
      <c r="G9" s="509"/>
      <c r="H9" s="185"/>
      <c r="I9" s="3"/>
      <c r="J9" s="3"/>
      <c r="K9" s="3"/>
      <c r="L9" s="4"/>
      <c r="M9" s="4"/>
      <c r="O9" s="11" t="s">
        <v>214</v>
      </c>
      <c r="Q9" s="138">
        <f>IF(Q2=0, 0, Q8/Q6)</f>
        <v>3.4383318544810746E-3</v>
      </c>
      <c r="W9" s="133">
        <v>42759</v>
      </c>
      <c r="X9" s="10">
        <v>95.3</v>
      </c>
      <c r="Y9" s="10">
        <v>95.44</v>
      </c>
      <c r="Z9" s="10">
        <v>93.79</v>
      </c>
      <c r="AA9" s="10">
        <v>94.4</v>
      </c>
      <c r="AB9" s="95">
        <v>1630000</v>
      </c>
      <c r="AC9" s="10">
        <v>94.4</v>
      </c>
      <c r="AD9" s="2">
        <f t="shared" si="0"/>
        <v>1.6499999999999915</v>
      </c>
      <c r="AE9" s="138">
        <f t="shared" si="1"/>
        <v>-6.3157894736841635E-3</v>
      </c>
    </row>
    <row r="10" spans="1:31" x14ac:dyDescent="0.25">
      <c r="G10" s="30"/>
      <c r="H10" s="72"/>
      <c r="O10" s="11" t="s">
        <v>213</v>
      </c>
      <c r="P10" s="34"/>
      <c r="Q10" s="2">
        <f>M71</f>
        <v>537.92000000000007</v>
      </c>
      <c r="W10" s="133">
        <v>42758</v>
      </c>
      <c r="X10" s="10">
        <v>95.5</v>
      </c>
      <c r="Y10" s="10">
        <v>95.6</v>
      </c>
      <c r="Z10" s="10">
        <v>94.27</v>
      </c>
      <c r="AA10" s="10">
        <v>95</v>
      </c>
      <c r="AB10" s="95">
        <v>1109600</v>
      </c>
      <c r="AC10" s="10">
        <v>95</v>
      </c>
      <c r="AD10" s="2">
        <f t="shared" si="0"/>
        <v>1.3299999999999983</v>
      </c>
      <c r="AE10" s="138">
        <f t="shared" si="1"/>
        <v>-5.3397549994765869E-3</v>
      </c>
    </row>
    <row r="11" spans="1:31" x14ac:dyDescent="0.25">
      <c r="G11" s="30"/>
      <c r="H11" s="72"/>
      <c r="O11" s="11" t="s">
        <v>178</v>
      </c>
      <c r="P11" s="34"/>
      <c r="Q11" s="138">
        <f>IF(U58="N/A (N/A)", 0, VALUE(TRIM(CLEAN(MID(U58, FIND("(", U58)+1, 5)))))</f>
        <v>0</v>
      </c>
      <c r="W11" s="133">
        <v>42755</v>
      </c>
      <c r="X11" s="10">
        <v>96.03</v>
      </c>
      <c r="Y11" s="10">
        <v>96.93</v>
      </c>
      <c r="Z11" s="10">
        <v>95.02</v>
      </c>
      <c r="AA11" s="10">
        <v>95.51</v>
      </c>
      <c r="AB11" s="95">
        <v>1143300</v>
      </c>
      <c r="AC11" s="10">
        <v>95.51</v>
      </c>
      <c r="AD11" s="2">
        <f t="shared" si="0"/>
        <v>1.9100000000000108</v>
      </c>
      <c r="AE11" s="138">
        <f t="shared" si="1"/>
        <v>-8.1005296500156199E-3</v>
      </c>
    </row>
    <row r="12" spans="1:31" x14ac:dyDescent="0.25">
      <c r="G12" s="30"/>
      <c r="H12" s="72"/>
      <c r="W12" s="133">
        <v>42754</v>
      </c>
      <c r="X12" s="10">
        <v>95.92</v>
      </c>
      <c r="Y12" s="10">
        <v>96.72</v>
      </c>
      <c r="Z12" s="10">
        <v>94.85</v>
      </c>
      <c r="AA12" s="10">
        <v>96.29</v>
      </c>
      <c r="AB12" s="95">
        <v>2058800</v>
      </c>
      <c r="AC12" s="10">
        <v>96.29</v>
      </c>
      <c r="AD12" s="2">
        <f t="shared" si="0"/>
        <v>1.8700000000000045</v>
      </c>
      <c r="AE12" s="138">
        <f t="shared" si="1"/>
        <v>5.2197515398266781E-3</v>
      </c>
    </row>
    <row r="13" spans="1:31" x14ac:dyDescent="0.25">
      <c r="G13" s="30"/>
      <c r="H13" s="72"/>
      <c r="W13" s="133">
        <v>42753</v>
      </c>
      <c r="X13" s="10">
        <v>97.2</v>
      </c>
      <c r="Y13" s="10">
        <v>97.4</v>
      </c>
      <c r="Z13" s="10">
        <v>95.69</v>
      </c>
      <c r="AA13" s="10">
        <v>95.79</v>
      </c>
      <c r="AB13" s="95">
        <v>1451000</v>
      </c>
      <c r="AC13" s="10">
        <v>95.79</v>
      </c>
      <c r="AD13" s="2">
        <f t="shared" si="0"/>
        <v>1.710000000000008</v>
      </c>
      <c r="AE13" s="138">
        <f t="shared" si="1"/>
        <v>-1.1251032204789291E-2</v>
      </c>
    </row>
    <row r="14" spans="1:31" x14ac:dyDescent="0.25">
      <c r="G14" s="30"/>
      <c r="H14" s="72"/>
      <c r="W14" s="133">
        <v>42752</v>
      </c>
      <c r="X14" s="10">
        <v>96.49</v>
      </c>
      <c r="Y14" s="10">
        <v>97.4</v>
      </c>
      <c r="Z14" s="10">
        <v>96.01</v>
      </c>
      <c r="AA14" s="10">
        <v>96.88</v>
      </c>
      <c r="AB14" s="95">
        <v>1525500</v>
      </c>
      <c r="AC14" s="10">
        <v>96.88</v>
      </c>
      <c r="AD14" s="2">
        <f t="shared" si="0"/>
        <v>1.3900000000000006</v>
      </c>
      <c r="AE14" s="138">
        <f t="shared" si="1"/>
        <v>-2.5738700710388196E-3</v>
      </c>
    </row>
    <row r="15" spans="1:31" x14ac:dyDescent="0.25">
      <c r="G15" s="30"/>
      <c r="H15" s="72"/>
      <c r="W15" s="133">
        <v>42748</v>
      </c>
      <c r="X15" s="10">
        <v>97.96</v>
      </c>
      <c r="Y15" s="10">
        <v>97.96</v>
      </c>
      <c r="Z15" s="10">
        <v>96.16</v>
      </c>
      <c r="AA15" s="10">
        <v>97.13</v>
      </c>
      <c r="AB15" s="95">
        <v>1806800</v>
      </c>
      <c r="AC15" s="10">
        <v>97.13</v>
      </c>
      <c r="AD15" s="2">
        <f t="shared" si="0"/>
        <v>1.7999999999999972</v>
      </c>
      <c r="AE15" s="138">
        <f t="shared" si="1"/>
        <v>-4.7135977046829369E-3</v>
      </c>
    </row>
    <row r="16" spans="1:31" x14ac:dyDescent="0.25">
      <c r="G16" s="30"/>
      <c r="H16" s="72"/>
      <c r="W16" s="133">
        <v>42747</v>
      </c>
      <c r="X16" s="10">
        <v>97.69</v>
      </c>
      <c r="Y16" s="10">
        <v>97.9</v>
      </c>
      <c r="Z16" s="10">
        <v>96.5</v>
      </c>
      <c r="AA16" s="10">
        <v>97.59</v>
      </c>
      <c r="AB16" s="95">
        <v>1411400</v>
      </c>
      <c r="AC16" s="10">
        <v>97.59</v>
      </c>
      <c r="AD16" s="2">
        <f t="shared" si="0"/>
        <v>1.4000000000000057</v>
      </c>
      <c r="AE16" s="138">
        <f t="shared" si="1"/>
        <v>-1.0745058286872777E-2</v>
      </c>
    </row>
    <row r="17" spans="1:31" x14ac:dyDescent="0.25">
      <c r="G17" s="30"/>
      <c r="W17" s="133">
        <v>42746</v>
      </c>
      <c r="X17" s="10">
        <v>99.26</v>
      </c>
      <c r="Y17" s="10">
        <v>99.35</v>
      </c>
      <c r="Z17" s="10">
        <v>97.04</v>
      </c>
      <c r="AA17" s="10">
        <v>98.65</v>
      </c>
      <c r="AB17" s="95">
        <v>1488800</v>
      </c>
      <c r="AC17" s="10">
        <v>98.65</v>
      </c>
      <c r="AD17" s="2">
        <f t="shared" si="0"/>
        <v>2.3099999999999881</v>
      </c>
      <c r="AE17" s="138">
        <f t="shared" si="1"/>
        <v>-4.942505547710252E-3</v>
      </c>
    </row>
    <row r="18" spans="1:31" x14ac:dyDescent="0.25">
      <c r="A18" s="32" t="s">
        <v>81</v>
      </c>
      <c r="B18" s="511"/>
      <c r="C18" s="14">
        <f>SUM(C2:C6)</f>
        <v>80</v>
      </c>
      <c r="D18" s="18"/>
      <c r="E18" s="18"/>
      <c r="F18" s="18">
        <f>SUM(F2:F6)</f>
        <v>7212.7999999999993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42745</v>
      </c>
      <c r="X18" s="10">
        <v>97.96</v>
      </c>
      <c r="Y18" s="10">
        <v>99.7</v>
      </c>
      <c r="Z18" s="10">
        <v>97.95</v>
      </c>
      <c r="AA18" s="10">
        <v>99.14</v>
      </c>
      <c r="AB18" s="95">
        <v>1907400</v>
      </c>
      <c r="AC18" s="10">
        <v>99.14</v>
      </c>
      <c r="AD18" s="2">
        <f t="shared" si="0"/>
        <v>1.75</v>
      </c>
      <c r="AE18" s="138">
        <f t="shared" si="1"/>
        <v>1.2149055640632955E-2</v>
      </c>
    </row>
    <row r="19" spans="1:31" ht="15.75" thickBot="1" x14ac:dyDescent="0.3">
      <c r="A19" s="356" t="s">
        <v>198</v>
      </c>
      <c r="B19" s="512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 t="shared" ref="M19" si="2">SumByColor($A$19,M2:M17)</f>
        <v>0</v>
      </c>
      <c r="W19" s="133">
        <v>42744</v>
      </c>
      <c r="X19" s="10">
        <v>97.57</v>
      </c>
      <c r="Y19" s="10">
        <v>98.63</v>
      </c>
      <c r="Z19" s="10">
        <v>97.33</v>
      </c>
      <c r="AA19" s="10">
        <v>97.95</v>
      </c>
      <c r="AB19" s="95">
        <v>1687800</v>
      </c>
      <c r="AC19" s="10">
        <v>97.95</v>
      </c>
      <c r="AD19" s="2">
        <f t="shared" si="0"/>
        <v>1.2999999999999972</v>
      </c>
      <c r="AE19" s="138">
        <f t="shared" si="1"/>
        <v>9.0656227464718242E-3</v>
      </c>
    </row>
    <row r="20" spans="1:31" x14ac:dyDescent="0.25">
      <c r="W20" s="133">
        <v>42741</v>
      </c>
      <c r="X20" s="10">
        <v>97.4</v>
      </c>
      <c r="Y20" s="10">
        <v>97.88</v>
      </c>
      <c r="Z20" s="10">
        <v>96.43</v>
      </c>
      <c r="AA20" s="10">
        <v>97.07</v>
      </c>
      <c r="AB20" s="95">
        <v>2974400</v>
      </c>
      <c r="AC20" s="10">
        <v>97.07</v>
      </c>
      <c r="AD20" s="2">
        <f t="shared" si="0"/>
        <v>1.4499999999999886</v>
      </c>
      <c r="AE20" s="138">
        <f t="shared" si="1"/>
        <v>-1.2346949274617547E-3</v>
      </c>
    </row>
    <row r="21" spans="1:31" x14ac:dyDescent="0.25">
      <c r="W21" s="133">
        <v>42740</v>
      </c>
      <c r="X21" s="10">
        <v>96.91</v>
      </c>
      <c r="Y21" s="10">
        <v>97.91</v>
      </c>
      <c r="Z21" s="10">
        <v>96.61</v>
      </c>
      <c r="AA21" s="10">
        <v>97.19</v>
      </c>
      <c r="AB21" s="95">
        <v>1534300</v>
      </c>
      <c r="AC21" s="10">
        <v>97.19</v>
      </c>
      <c r="AD21" s="2">
        <f t="shared" si="0"/>
        <v>1.2999999999999972</v>
      </c>
      <c r="AE21" s="138">
        <f t="shared" si="1"/>
        <v>6.7329604309094293E-3</v>
      </c>
    </row>
    <row r="22" spans="1:31" x14ac:dyDescent="0.25">
      <c r="W22" s="133">
        <v>42739</v>
      </c>
      <c r="X22" s="10">
        <v>95.52</v>
      </c>
      <c r="Y22" s="10">
        <v>97.29</v>
      </c>
      <c r="Z22" s="10">
        <v>94.88</v>
      </c>
      <c r="AA22" s="10">
        <v>96.54</v>
      </c>
      <c r="AB22" s="95">
        <v>2051600</v>
      </c>
      <c r="AC22" s="10">
        <v>96.54</v>
      </c>
      <c r="AD22" s="2">
        <f t="shared" si="0"/>
        <v>2.4100000000000108</v>
      </c>
      <c r="AE22" s="138">
        <f t="shared" si="1"/>
        <v>1.0678391959799027E-2</v>
      </c>
    </row>
    <row r="23" spans="1:31" x14ac:dyDescent="0.25">
      <c r="W23" s="133">
        <v>42738</v>
      </c>
      <c r="X23" s="10">
        <v>93.8</v>
      </c>
      <c r="Y23" s="10">
        <v>95.52</v>
      </c>
      <c r="Z23" s="10">
        <v>93.06</v>
      </c>
      <c r="AA23" s="10">
        <v>95.52</v>
      </c>
      <c r="AB23" s="95">
        <v>2166100</v>
      </c>
      <c r="AC23" s="10">
        <v>95.52</v>
      </c>
      <c r="AD23" s="2">
        <f t="shared" si="0"/>
        <v>2.4599999999999937</v>
      </c>
      <c r="AE23" s="138">
        <f t="shared" si="1"/>
        <v>1.9423692636072465E-2</v>
      </c>
    </row>
    <row r="24" spans="1:31" x14ac:dyDescent="0.25">
      <c r="B24" s="513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155</v>
      </c>
      <c r="W24" s="133">
        <v>42734</v>
      </c>
      <c r="X24" s="10">
        <v>93.89</v>
      </c>
      <c r="Y24" s="10">
        <v>94.58</v>
      </c>
      <c r="Z24" s="10">
        <v>93.35</v>
      </c>
      <c r="AA24" s="10">
        <v>93.7</v>
      </c>
      <c r="AB24" s="95">
        <v>1397500</v>
      </c>
      <c r="AC24" s="10">
        <v>93.7</v>
      </c>
      <c r="AD24" s="2">
        <f t="shared" si="0"/>
        <v>1.230000000000004</v>
      </c>
      <c r="AE24" s="138">
        <f t="shared" si="1"/>
        <v>-1.0671219720403968E-4</v>
      </c>
    </row>
    <row r="25" spans="1:31" x14ac:dyDescent="0.25">
      <c r="B25" s="157">
        <v>42704</v>
      </c>
      <c r="C25" s="237">
        <v>40</v>
      </c>
      <c r="D25" s="238">
        <v>83.05</v>
      </c>
      <c r="E25" s="40">
        <v>82.85</v>
      </c>
      <c r="F25" s="40">
        <f t="shared" ref="F25" si="3">C25*(E25-D25)</f>
        <v>-8.0000000000001137</v>
      </c>
      <c r="G25" s="40">
        <f t="shared" ref="G25" si="4">D25*C25</f>
        <v>3322</v>
      </c>
      <c r="H25" s="231">
        <f t="shared" ref="H25" si="5">(E25-D25)/D25</f>
        <v>-2.4081878386514491E-3</v>
      </c>
      <c r="I25" s="40"/>
      <c r="W25" s="133">
        <v>42733</v>
      </c>
      <c r="X25" s="10">
        <v>92.71</v>
      </c>
      <c r="Y25" s="10">
        <v>94.11</v>
      </c>
      <c r="Z25" s="10">
        <v>92.67</v>
      </c>
      <c r="AA25" s="10">
        <v>93.71</v>
      </c>
      <c r="AB25" s="95">
        <v>1330200</v>
      </c>
      <c r="AC25" s="10">
        <v>93.71</v>
      </c>
      <c r="AD25" s="2">
        <f t="shared" si="0"/>
        <v>1.4399999999999977</v>
      </c>
      <c r="AE25" s="138">
        <f t="shared" si="1"/>
        <v>1.0786322942508919E-2</v>
      </c>
    </row>
    <row r="26" spans="1:31" x14ac:dyDescent="0.25">
      <c r="B26" s="157">
        <v>42708</v>
      </c>
      <c r="C26" s="10">
        <v>40</v>
      </c>
      <c r="D26" s="40">
        <v>83.05</v>
      </c>
      <c r="E26" s="40">
        <v>83.35</v>
      </c>
      <c r="F26" s="40">
        <f t="shared" ref="F26" si="6">C26*(E26-D26)</f>
        <v>11.999999999999886</v>
      </c>
      <c r="G26" s="40">
        <f t="shared" ref="G26" si="7">D26*C26</f>
        <v>3322</v>
      </c>
      <c r="H26" s="231">
        <f t="shared" ref="H26" si="8">(E26-D26)/D26</f>
        <v>3.612281757977088E-3</v>
      </c>
      <c r="I26" s="40"/>
      <c r="W26" s="133">
        <v>42732</v>
      </c>
      <c r="X26" s="10">
        <v>93.2</v>
      </c>
      <c r="Y26" s="10">
        <v>93.83</v>
      </c>
      <c r="Z26" s="10">
        <v>92.17</v>
      </c>
      <c r="AA26" s="10">
        <v>92.71</v>
      </c>
      <c r="AB26" s="95">
        <v>1606500</v>
      </c>
      <c r="AC26" s="10">
        <v>92.71</v>
      </c>
      <c r="AD26" s="2">
        <f t="shared" si="0"/>
        <v>1.6599999999999966</v>
      </c>
      <c r="AE26" s="138">
        <f t="shared" si="1"/>
        <v>-6.8559185859667915E-3</v>
      </c>
    </row>
    <row r="27" spans="1:31" x14ac:dyDescent="0.25">
      <c r="B27" s="157">
        <v>42729</v>
      </c>
      <c r="C27" s="10">
        <v>40</v>
      </c>
      <c r="D27" s="40">
        <v>83.05</v>
      </c>
      <c r="E27" s="40">
        <v>93</v>
      </c>
      <c r="F27" s="40">
        <f t="shared" ref="F27" si="9">C27*(E27-D27)</f>
        <v>398.00000000000011</v>
      </c>
      <c r="G27" s="40">
        <f t="shared" ref="G27" si="10">D27*C27</f>
        <v>3322</v>
      </c>
      <c r="H27" s="231">
        <f t="shared" ref="H27" si="11">(E27-D27)/D27</f>
        <v>0.11980734497290793</v>
      </c>
      <c r="I27" s="40"/>
      <c r="W27" s="133">
        <v>42731</v>
      </c>
      <c r="X27" s="10">
        <v>93.17</v>
      </c>
      <c r="Y27" s="10">
        <v>94.5</v>
      </c>
      <c r="Z27" s="10">
        <v>93.14</v>
      </c>
      <c r="AA27" s="10">
        <v>93.35</v>
      </c>
      <c r="AB27" s="95">
        <v>1352700</v>
      </c>
      <c r="AC27" s="10">
        <v>93.35</v>
      </c>
      <c r="AD27" s="2">
        <f t="shared" si="0"/>
        <v>1.3599999999999994</v>
      </c>
      <c r="AE27" s="138">
        <f t="shared" si="1"/>
        <v>3.7634408602149616E-3</v>
      </c>
    </row>
    <row r="28" spans="1:31" x14ac:dyDescent="0.25">
      <c r="B28" s="157">
        <v>42739</v>
      </c>
      <c r="C28" s="10">
        <v>0</v>
      </c>
      <c r="D28" s="40"/>
      <c r="E28" s="40"/>
      <c r="F28" s="40">
        <v>537.91999999999996</v>
      </c>
      <c r="G28" s="40"/>
      <c r="H28" s="231"/>
      <c r="I28" s="40"/>
      <c r="W28" s="133">
        <v>42727</v>
      </c>
      <c r="X28" s="10">
        <v>91.72</v>
      </c>
      <c r="Y28" s="10">
        <v>93.35</v>
      </c>
      <c r="Z28" s="10">
        <v>91.52</v>
      </c>
      <c r="AA28" s="10">
        <v>93</v>
      </c>
      <c r="AB28" s="95">
        <v>1235100</v>
      </c>
      <c r="AC28" s="10">
        <v>93</v>
      </c>
      <c r="AD28" s="2">
        <f t="shared" si="0"/>
        <v>1.8299999999999983</v>
      </c>
      <c r="AE28" s="138">
        <f t="shared" si="1"/>
        <v>1.3071895424836555E-2</v>
      </c>
    </row>
    <row r="29" spans="1:31" x14ac:dyDescent="0.25">
      <c r="B29" s="157"/>
      <c r="C29" s="10"/>
      <c r="D29" s="40"/>
      <c r="E29" s="40"/>
      <c r="F29" s="40"/>
      <c r="G29" s="40"/>
      <c r="H29" s="231"/>
      <c r="I29" s="40"/>
      <c r="W29" s="133">
        <v>42726</v>
      </c>
      <c r="X29" s="10">
        <v>91.37</v>
      </c>
      <c r="Y29" s="10">
        <v>92.4</v>
      </c>
      <c r="Z29" s="10">
        <v>91.05</v>
      </c>
      <c r="AA29" s="10">
        <v>91.8</v>
      </c>
      <c r="AB29" s="95">
        <v>1598400</v>
      </c>
      <c r="AC29" s="10">
        <v>91.8</v>
      </c>
      <c r="AD29" s="2">
        <f t="shared" si="0"/>
        <v>1.3500000000000085</v>
      </c>
      <c r="AE29" s="138">
        <f t="shared" si="1"/>
        <v>4.0468117685659166E-3</v>
      </c>
    </row>
    <row r="30" spans="1:31" x14ac:dyDescent="0.25">
      <c r="B30" s="157">
        <v>42768</v>
      </c>
      <c r="C30" s="10">
        <v>80</v>
      </c>
      <c r="D30" s="40">
        <v>90.16</v>
      </c>
      <c r="E30" s="40">
        <v>89.73</v>
      </c>
      <c r="F30" s="40">
        <f t="shared" ref="F30" si="12">C30*(E30-D30)</f>
        <v>-34.399999999999409</v>
      </c>
      <c r="G30" s="40">
        <f t="shared" ref="G30" si="13">D30*C30</f>
        <v>7212.7999999999993</v>
      </c>
      <c r="H30" s="231">
        <f t="shared" ref="H30" si="14">(E30-D30)/D30</f>
        <v>-4.7692990239573269E-3</v>
      </c>
      <c r="I30" s="40"/>
      <c r="W30" s="133">
        <v>42725</v>
      </c>
      <c r="X30" s="10">
        <v>90.59</v>
      </c>
      <c r="Y30" s="10">
        <v>92.04</v>
      </c>
      <c r="Z30" s="10">
        <v>90.44</v>
      </c>
      <c r="AA30" s="10">
        <v>91.43</v>
      </c>
      <c r="AB30" s="95">
        <v>1606700</v>
      </c>
      <c r="AC30" s="10">
        <v>91.43</v>
      </c>
      <c r="AD30" s="2">
        <f t="shared" si="0"/>
        <v>1.6000000000000085</v>
      </c>
      <c r="AE30" s="138">
        <f t="shared" si="1"/>
        <v>6.1626499394740186E-3</v>
      </c>
    </row>
    <row r="31" spans="1:31" x14ac:dyDescent="0.25">
      <c r="B31" s="157"/>
      <c r="C31" s="10"/>
      <c r="D31" s="40"/>
      <c r="E31" s="40"/>
      <c r="F31" s="40"/>
      <c r="G31" s="40"/>
      <c r="H31" s="231"/>
      <c r="I31" s="40"/>
      <c r="W31" s="133">
        <v>42724</v>
      </c>
      <c r="X31" s="10">
        <v>91.53</v>
      </c>
      <c r="Y31" s="10">
        <v>92.26</v>
      </c>
      <c r="Z31" s="10">
        <v>90.42</v>
      </c>
      <c r="AA31" s="10">
        <v>90.87</v>
      </c>
      <c r="AB31" s="95">
        <v>1628600</v>
      </c>
      <c r="AC31" s="10">
        <v>90.87</v>
      </c>
      <c r="AD31" s="2">
        <f t="shared" si="0"/>
        <v>1.8400000000000034</v>
      </c>
      <c r="AE31" s="138">
        <f t="shared" si="1"/>
        <v>-6.6681241801486157E-3</v>
      </c>
    </row>
    <row r="32" spans="1:31" x14ac:dyDescent="0.25">
      <c r="B32" s="157"/>
      <c r="C32" s="10"/>
      <c r="D32" s="40"/>
      <c r="E32" s="40"/>
      <c r="F32" s="40"/>
      <c r="G32" s="40"/>
      <c r="H32" s="231"/>
      <c r="I32" s="40"/>
      <c r="W32" s="133">
        <v>42723</v>
      </c>
      <c r="X32" s="10">
        <v>91.31</v>
      </c>
      <c r="Y32" s="10">
        <v>92.22</v>
      </c>
      <c r="Z32" s="10">
        <v>91.27</v>
      </c>
      <c r="AA32" s="10">
        <v>91.48</v>
      </c>
      <c r="AB32" s="95">
        <v>2222500</v>
      </c>
      <c r="AC32" s="10">
        <v>91.48</v>
      </c>
      <c r="AD32" s="2">
        <f t="shared" si="0"/>
        <v>0.95000000000000284</v>
      </c>
      <c r="AE32" s="138">
        <f t="shared" si="1"/>
        <v>9.8479045847477131E-4</v>
      </c>
    </row>
    <row r="33" spans="2:31" x14ac:dyDescent="0.25">
      <c r="B33" s="157"/>
      <c r="C33" s="10"/>
      <c r="D33" s="40"/>
      <c r="E33" s="40"/>
      <c r="F33" s="40"/>
      <c r="G33" s="40"/>
      <c r="H33" s="231"/>
      <c r="I33" s="236"/>
      <c r="W33" s="133">
        <v>42720</v>
      </c>
      <c r="X33" s="10">
        <v>91.26</v>
      </c>
      <c r="Y33" s="10">
        <v>92.25</v>
      </c>
      <c r="Z33" s="10">
        <v>90.8</v>
      </c>
      <c r="AA33" s="10">
        <v>91.39</v>
      </c>
      <c r="AB33" s="95">
        <v>3456600</v>
      </c>
      <c r="AC33" s="10">
        <v>91.39</v>
      </c>
      <c r="AD33" s="2">
        <f t="shared" si="0"/>
        <v>1.4500000000000028</v>
      </c>
      <c r="AE33" s="138">
        <f t="shared" si="1"/>
        <v>1.0057471264367734E-2</v>
      </c>
    </row>
    <row r="34" spans="2:31" x14ac:dyDescent="0.25">
      <c r="B34" s="157"/>
      <c r="C34" s="10"/>
      <c r="D34" s="40"/>
      <c r="E34" s="40"/>
      <c r="F34" s="40"/>
      <c r="G34" s="40"/>
      <c r="H34" s="231"/>
      <c r="I34" s="40"/>
      <c r="W34" s="133">
        <v>42719</v>
      </c>
      <c r="X34" s="10">
        <v>89.76</v>
      </c>
      <c r="Y34" s="10">
        <v>90.83</v>
      </c>
      <c r="Z34" s="10">
        <v>89.24</v>
      </c>
      <c r="AA34" s="10">
        <v>90.48</v>
      </c>
      <c r="AB34" s="95">
        <v>2222300</v>
      </c>
      <c r="AC34" s="10">
        <v>90.48</v>
      </c>
      <c r="AD34" s="2">
        <f t="shared" si="0"/>
        <v>1.5900000000000034</v>
      </c>
      <c r="AE34" s="138">
        <f t="shared" si="1"/>
        <v>7.3480293921177608E-3</v>
      </c>
    </row>
    <row r="35" spans="2:31" x14ac:dyDescent="0.25">
      <c r="B35" s="157"/>
      <c r="C35" s="10"/>
      <c r="D35" s="40"/>
      <c r="E35" s="40"/>
      <c r="F35" s="40"/>
      <c r="G35" s="40"/>
      <c r="H35" s="231"/>
      <c r="I35" s="40"/>
      <c r="W35" s="133">
        <v>42718</v>
      </c>
      <c r="X35" s="10">
        <v>89.75</v>
      </c>
      <c r="Y35" s="10">
        <v>92.29</v>
      </c>
      <c r="Z35" s="10">
        <v>89.33</v>
      </c>
      <c r="AA35" s="10">
        <v>89.82</v>
      </c>
      <c r="AB35" s="95">
        <v>2329400</v>
      </c>
      <c r="AC35" s="10">
        <v>89.82</v>
      </c>
      <c r="AD35" s="2">
        <f t="shared" si="0"/>
        <v>2.960000000000008</v>
      </c>
      <c r="AE35" s="138">
        <f t="shared" si="1"/>
        <v>5.0352467270895485E-3</v>
      </c>
    </row>
    <row r="36" spans="2:31" x14ac:dyDescent="0.25">
      <c r="B36" s="157"/>
      <c r="C36" s="10"/>
      <c r="D36" s="40"/>
      <c r="E36" s="40"/>
      <c r="F36" s="40"/>
      <c r="G36" s="40"/>
      <c r="H36" s="231"/>
      <c r="I36" s="40"/>
      <c r="W36" s="133">
        <v>42717</v>
      </c>
      <c r="X36" s="10">
        <v>88.43</v>
      </c>
      <c r="Y36" s="10">
        <v>91.1</v>
      </c>
      <c r="Z36" s="10">
        <v>87.56</v>
      </c>
      <c r="AA36" s="10">
        <v>89.37</v>
      </c>
      <c r="AB36" s="95">
        <v>2896800</v>
      </c>
      <c r="AC36" s="10">
        <v>89.37</v>
      </c>
      <c r="AD36" s="2">
        <f t="shared" si="0"/>
        <v>3.539999999999992</v>
      </c>
      <c r="AE36" s="138">
        <f t="shared" si="1"/>
        <v>4.9477116833465118E-3</v>
      </c>
    </row>
    <row r="37" spans="2:31" x14ac:dyDescent="0.25">
      <c r="B37" s="157"/>
      <c r="C37" s="10"/>
      <c r="D37" s="40"/>
      <c r="E37" s="40"/>
      <c r="F37" s="40"/>
      <c r="G37" s="40"/>
      <c r="H37" s="231"/>
      <c r="I37" s="40"/>
      <c r="W37" s="133">
        <v>42716</v>
      </c>
      <c r="X37" s="10">
        <v>90.05</v>
      </c>
      <c r="Y37" s="10">
        <v>91.41</v>
      </c>
      <c r="Z37" s="10">
        <v>88.54</v>
      </c>
      <c r="AA37" s="10">
        <v>88.93</v>
      </c>
      <c r="AB37" s="95">
        <v>2720600</v>
      </c>
      <c r="AC37" s="10">
        <v>88.93</v>
      </c>
      <c r="AD37" s="2">
        <f t="shared" si="0"/>
        <v>2.8699999999999903</v>
      </c>
      <c r="AE37" s="138">
        <f t="shared" si="1"/>
        <v>-1.5934491534801309E-2</v>
      </c>
    </row>
    <row r="38" spans="2:31" x14ac:dyDescent="0.25">
      <c r="B38" s="157"/>
      <c r="C38" s="10"/>
      <c r="D38" s="40"/>
      <c r="E38" s="40"/>
      <c r="F38" s="40"/>
      <c r="G38" s="40"/>
      <c r="H38" s="231"/>
      <c r="I38" s="40"/>
      <c r="W38" s="133">
        <v>42713</v>
      </c>
      <c r="X38" s="10">
        <v>89.53</v>
      </c>
      <c r="Y38" s="10">
        <v>92.98</v>
      </c>
      <c r="Z38" s="10">
        <v>89.3</v>
      </c>
      <c r="AA38" s="10">
        <v>90.37</v>
      </c>
      <c r="AB38" s="95">
        <v>4170500</v>
      </c>
      <c r="AC38" s="10">
        <v>90.37</v>
      </c>
      <c r="AD38" s="2">
        <f t="shared" si="0"/>
        <v>3.6800000000000068</v>
      </c>
      <c r="AE38" s="138">
        <f t="shared" si="1"/>
        <v>1.1982082866741406E-2</v>
      </c>
    </row>
    <row r="39" spans="2:31" x14ac:dyDescent="0.25">
      <c r="B39" s="157"/>
      <c r="C39" s="10"/>
      <c r="D39" s="40"/>
      <c r="E39" s="40"/>
      <c r="F39" s="40"/>
      <c r="G39" s="40"/>
      <c r="H39" s="231"/>
      <c r="I39" s="40"/>
      <c r="W39" s="133">
        <v>42712</v>
      </c>
      <c r="X39" s="10">
        <v>85.55</v>
      </c>
      <c r="Y39" s="10">
        <v>91.34</v>
      </c>
      <c r="Z39" s="10">
        <v>85.27</v>
      </c>
      <c r="AA39" s="10">
        <v>89.3</v>
      </c>
      <c r="AB39" s="95">
        <v>6108600</v>
      </c>
      <c r="AC39" s="10">
        <v>89.3</v>
      </c>
      <c r="AD39" s="2">
        <f t="shared" si="0"/>
        <v>6.0700000000000074</v>
      </c>
      <c r="AE39" s="138">
        <f t="shared" si="1"/>
        <v>6.652334885942901E-2</v>
      </c>
    </row>
    <row r="40" spans="2:31" ht="20.25" thickBot="1" x14ac:dyDescent="0.35">
      <c r="B40" s="157"/>
      <c r="C40" s="10"/>
      <c r="D40" s="40"/>
      <c r="E40" s="40"/>
      <c r="F40" s="40"/>
      <c r="G40" s="40"/>
      <c r="H40" s="231"/>
      <c r="I40" s="40"/>
      <c r="O40" s="638" t="s">
        <v>78</v>
      </c>
      <c r="P40" s="638"/>
      <c r="W40" s="133">
        <v>42711</v>
      </c>
      <c r="X40" s="10">
        <v>82.99</v>
      </c>
      <c r="Y40" s="10">
        <v>83.75</v>
      </c>
      <c r="Z40" s="10">
        <v>81.900000000000006</v>
      </c>
      <c r="AA40" s="10">
        <v>83.73</v>
      </c>
      <c r="AB40" s="95">
        <v>2536800</v>
      </c>
      <c r="AC40" s="10">
        <v>83.73</v>
      </c>
      <c r="AD40" s="2">
        <f t="shared" si="0"/>
        <v>1.8499999999999943</v>
      </c>
      <c r="AE40" s="138">
        <f t="shared" si="1"/>
        <v>6.1283345349676388E-3</v>
      </c>
    </row>
    <row r="41" spans="2:31" ht="15.75" thickTop="1" x14ac:dyDescent="0.25">
      <c r="B41" s="157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99.51700000000001</v>
      </c>
      <c r="Q41" s="2"/>
      <c r="W41" s="133">
        <v>42710</v>
      </c>
      <c r="X41" s="10">
        <v>83.15</v>
      </c>
      <c r="Y41" s="10">
        <v>83.92</v>
      </c>
      <c r="Z41" s="10">
        <v>81.849999999999994</v>
      </c>
      <c r="AA41" s="10">
        <v>83.22</v>
      </c>
      <c r="AB41" s="95">
        <v>2878200</v>
      </c>
      <c r="AC41" s="10">
        <v>83.22</v>
      </c>
      <c r="AD41" s="2">
        <f t="shared" si="0"/>
        <v>2.0700000000000074</v>
      </c>
      <c r="AE41" s="138">
        <f t="shared" si="1"/>
        <v>8.8495575221239076E-3</v>
      </c>
    </row>
    <row r="42" spans="2:31" ht="20.25" thickBot="1" x14ac:dyDescent="0.35">
      <c r="B42" s="157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15">O42*$Q$4</f>
        <v>98.612300000000005</v>
      </c>
      <c r="Q42" s="2"/>
      <c r="T42" s="91" t="s">
        <v>113</v>
      </c>
      <c r="W42" s="133">
        <v>42709</v>
      </c>
      <c r="X42" s="10">
        <v>83.78</v>
      </c>
      <c r="Y42" s="10">
        <v>83.94</v>
      </c>
      <c r="Z42" s="10">
        <v>82.41</v>
      </c>
      <c r="AA42" s="10">
        <v>82.49</v>
      </c>
      <c r="AB42" s="95">
        <v>1974200</v>
      </c>
      <c r="AC42" s="10">
        <v>82.49</v>
      </c>
      <c r="AD42" s="2">
        <f t="shared" si="0"/>
        <v>1.5300000000000011</v>
      </c>
      <c r="AE42" s="138">
        <f t="shared" si="1"/>
        <v>-1.0317936412717499E-2</v>
      </c>
    </row>
    <row r="43" spans="2:31" ht="15.75" thickTop="1" x14ac:dyDescent="0.25">
      <c r="B43" s="157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15"/>
        <v>97.707599999999999</v>
      </c>
      <c r="Q43" s="2"/>
      <c r="T43" s="128" t="s">
        <v>98</v>
      </c>
      <c r="U43" s="129">
        <v>98.02</v>
      </c>
      <c r="W43" s="133">
        <v>42706</v>
      </c>
      <c r="X43" s="10">
        <v>81.44</v>
      </c>
      <c r="Y43" s="10">
        <v>84.66</v>
      </c>
      <c r="Z43" s="10">
        <v>81.25</v>
      </c>
      <c r="AA43" s="10">
        <v>83.35</v>
      </c>
      <c r="AB43" s="95">
        <v>2322800</v>
      </c>
      <c r="AC43" s="10">
        <v>83.35</v>
      </c>
      <c r="AD43" s="2">
        <f t="shared" si="0"/>
        <v>3.4099999999999966</v>
      </c>
      <c r="AE43" s="138">
        <f t="shared" si="1"/>
        <v>2.3075978887934223E-2</v>
      </c>
    </row>
    <row r="44" spans="2:31" x14ac:dyDescent="0.25">
      <c r="B44" s="157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15"/>
        <v>96.802900000000008</v>
      </c>
      <c r="Q44" s="2"/>
      <c r="T44" s="93" t="s">
        <v>99</v>
      </c>
      <c r="U44" s="130">
        <v>92.16</v>
      </c>
      <c r="W44" s="133">
        <v>42705</v>
      </c>
      <c r="X44" s="10">
        <v>82.8</v>
      </c>
      <c r="Y44" s="10">
        <v>83.1</v>
      </c>
      <c r="Z44" s="10">
        <v>81.12</v>
      </c>
      <c r="AA44" s="10">
        <v>81.47</v>
      </c>
      <c r="AB44" s="95">
        <v>2468900</v>
      </c>
      <c r="AC44" s="10">
        <v>81.47</v>
      </c>
      <c r="AD44" s="2">
        <f t="shared" si="0"/>
        <v>1.9799999999999898</v>
      </c>
      <c r="AE44" s="138">
        <f t="shared" si="1"/>
        <v>-1.6656608328304068E-2</v>
      </c>
    </row>
    <row r="45" spans="2:31" x14ac:dyDescent="0.25">
      <c r="B45" s="157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15"/>
        <v>95.898200000000003</v>
      </c>
      <c r="Q45" s="2"/>
      <c r="T45" s="93" t="s">
        <v>100</v>
      </c>
      <c r="U45" s="130" t="s">
        <v>129</v>
      </c>
      <c r="W45" s="133">
        <v>42704</v>
      </c>
      <c r="X45" s="10">
        <v>84.24</v>
      </c>
      <c r="Y45" s="10">
        <v>84.25</v>
      </c>
      <c r="Z45" s="10">
        <v>82.84</v>
      </c>
      <c r="AA45" s="10">
        <v>82.85</v>
      </c>
      <c r="AB45" s="95">
        <v>2765300</v>
      </c>
      <c r="AC45" s="10">
        <v>82.85</v>
      </c>
      <c r="AD45" s="2">
        <f t="shared" si="0"/>
        <v>1.4099999999999966</v>
      </c>
      <c r="AE45" s="138">
        <f t="shared" si="1"/>
        <v>-1.2514898688915532E-2</v>
      </c>
    </row>
    <row r="46" spans="2:31" x14ac:dyDescent="0.25">
      <c r="B46" s="157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15"/>
        <v>94.993499999999997</v>
      </c>
      <c r="Q46" s="2"/>
      <c r="T46" s="93" t="s">
        <v>101</v>
      </c>
      <c r="U46" s="130" t="s">
        <v>129</v>
      </c>
      <c r="W46" s="133">
        <v>42703</v>
      </c>
      <c r="X46" s="10">
        <v>84.56</v>
      </c>
      <c r="Y46" s="10">
        <v>85.45</v>
      </c>
      <c r="Z46" s="10">
        <v>83.77</v>
      </c>
      <c r="AA46" s="10">
        <v>83.9</v>
      </c>
      <c r="AB46" s="95">
        <v>2768000</v>
      </c>
      <c r="AC46" s="10">
        <v>83.9</v>
      </c>
      <c r="AD46" s="2">
        <f t="shared" si="0"/>
        <v>1.6800000000000068</v>
      </c>
      <c r="AE46" s="138">
        <f t="shared" si="1"/>
        <v>-4.7449584816131596E-3</v>
      </c>
    </row>
    <row r="47" spans="2:31" x14ac:dyDescent="0.25">
      <c r="B47" s="157"/>
      <c r="C47" s="10"/>
      <c r="D47" s="40"/>
      <c r="E47" s="40"/>
      <c r="F47" s="40"/>
      <c r="G47" s="40"/>
      <c r="H47" s="231"/>
      <c r="I47" s="236"/>
      <c r="O47" s="83">
        <v>1.04</v>
      </c>
      <c r="P47" s="83">
        <f t="shared" si="15"/>
        <v>94.088800000000006</v>
      </c>
      <c r="Q47" s="2"/>
      <c r="T47" s="93" t="s">
        <v>102</v>
      </c>
      <c r="U47" s="130">
        <v>116.24</v>
      </c>
      <c r="W47" s="133">
        <v>42702</v>
      </c>
      <c r="X47" s="10">
        <v>85.41</v>
      </c>
      <c r="Y47" s="10">
        <v>85.59</v>
      </c>
      <c r="Z47" s="10">
        <v>84.01</v>
      </c>
      <c r="AA47" s="10">
        <v>84.3</v>
      </c>
      <c r="AB47" s="95">
        <v>3076300</v>
      </c>
      <c r="AC47" s="10">
        <v>84.3</v>
      </c>
      <c r="AD47" s="2">
        <f t="shared" si="0"/>
        <v>1.5799999999999983</v>
      </c>
      <c r="AE47" s="138">
        <f t="shared" si="1"/>
        <v>-1.7482517482517501E-2</v>
      </c>
    </row>
    <row r="48" spans="2:31" x14ac:dyDescent="0.25">
      <c r="B48" s="157"/>
      <c r="C48" s="10"/>
      <c r="D48" s="40"/>
      <c r="E48" s="40"/>
      <c r="F48" s="40"/>
      <c r="G48" s="40"/>
      <c r="H48" s="231"/>
      <c r="I48" s="40"/>
      <c r="O48" s="83">
        <v>1.03</v>
      </c>
      <c r="P48" s="83">
        <f t="shared" si="15"/>
        <v>93.184100000000001</v>
      </c>
      <c r="Q48" s="2"/>
      <c r="T48" s="93" t="s">
        <v>103</v>
      </c>
      <c r="U48" s="130">
        <v>0.90350399999999997</v>
      </c>
      <c r="W48" s="133">
        <v>42699</v>
      </c>
      <c r="X48" s="10">
        <v>86.86</v>
      </c>
      <c r="Y48" s="10">
        <v>86.87</v>
      </c>
      <c r="Z48" s="10">
        <v>85.31</v>
      </c>
      <c r="AA48" s="10">
        <v>85.8</v>
      </c>
      <c r="AB48" s="95">
        <v>2022300</v>
      </c>
      <c r="AC48" s="10">
        <v>85.8</v>
      </c>
      <c r="AD48" s="2">
        <f t="shared" si="0"/>
        <v>1.5600000000000023</v>
      </c>
      <c r="AE48" s="138">
        <f t="shared" si="1"/>
        <v>-1.2203545935988935E-2</v>
      </c>
    </row>
    <row r="49" spans="2:31" x14ac:dyDescent="0.25">
      <c r="B49" s="157"/>
      <c r="C49" s="10"/>
      <c r="D49" s="40"/>
      <c r="E49" s="40"/>
      <c r="F49" s="40"/>
      <c r="G49" s="40"/>
      <c r="H49" s="231"/>
      <c r="I49" s="40"/>
      <c r="O49" s="83">
        <v>1.02</v>
      </c>
      <c r="P49" s="83">
        <f t="shared" si="15"/>
        <v>92.279399999999995</v>
      </c>
      <c r="Q49" s="2"/>
      <c r="T49" s="93" t="s">
        <v>122</v>
      </c>
      <c r="U49" s="130" t="s">
        <v>541</v>
      </c>
      <c r="W49" s="133">
        <v>42697</v>
      </c>
      <c r="X49" s="10">
        <v>85.01</v>
      </c>
      <c r="Y49" s="10">
        <v>86.93</v>
      </c>
      <c r="Z49" s="10">
        <v>84.51</v>
      </c>
      <c r="AA49" s="10">
        <v>86.86</v>
      </c>
      <c r="AB49" s="95">
        <v>2208200</v>
      </c>
      <c r="AC49" s="10">
        <v>86.86</v>
      </c>
      <c r="AD49" s="2">
        <f t="shared" si="0"/>
        <v>2.4200000000000017</v>
      </c>
      <c r="AE49" s="138">
        <f t="shared" si="1"/>
        <v>2.1401693320790116E-2</v>
      </c>
    </row>
    <row r="50" spans="2:31" x14ac:dyDescent="0.25">
      <c r="B50" s="157"/>
      <c r="C50" s="10"/>
      <c r="D50" s="40"/>
      <c r="E50" s="40"/>
      <c r="F50" s="40"/>
      <c r="G50" s="40"/>
      <c r="H50" s="231"/>
      <c r="I50" s="40"/>
      <c r="O50" s="83">
        <v>1.01</v>
      </c>
      <c r="P50" s="83">
        <f t="shared" si="15"/>
        <v>91.374700000000004</v>
      </c>
      <c r="Q50" s="2"/>
      <c r="T50" s="93"/>
      <c r="U50" s="130"/>
      <c r="W50" s="133">
        <v>42696</v>
      </c>
      <c r="X50" s="10">
        <v>88</v>
      </c>
      <c r="Y50" s="10">
        <v>88</v>
      </c>
      <c r="Z50" s="10">
        <v>83.42</v>
      </c>
      <c r="AA50" s="10">
        <v>85.04</v>
      </c>
      <c r="AB50" s="95">
        <v>4187700</v>
      </c>
      <c r="AC50" s="10">
        <v>85.04</v>
      </c>
      <c r="AD50" s="2">
        <f t="shared" si="0"/>
        <v>4.5799999999999983</v>
      </c>
      <c r="AE50" s="138">
        <f t="shared" si="1"/>
        <v>-4.663677130044841E-2</v>
      </c>
    </row>
    <row r="51" spans="2:31" x14ac:dyDescent="0.25">
      <c r="B51" s="157"/>
      <c r="C51" s="10"/>
      <c r="D51" s="40"/>
      <c r="E51" s="40"/>
      <c r="F51" s="40"/>
      <c r="G51" s="40"/>
      <c r="H51" s="231"/>
      <c r="I51" s="40"/>
      <c r="O51" s="83">
        <v>1</v>
      </c>
      <c r="P51" s="83">
        <f t="shared" si="15"/>
        <v>90.47</v>
      </c>
      <c r="Q51" s="2"/>
      <c r="T51" s="93" t="s">
        <v>105</v>
      </c>
      <c r="U51" s="130" t="s">
        <v>582</v>
      </c>
      <c r="W51" s="133">
        <v>42695</v>
      </c>
      <c r="X51" s="10">
        <v>89.05</v>
      </c>
      <c r="Y51" s="10">
        <v>90.11</v>
      </c>
      <c r="Z51" s="10">
        <v>88.78</v>
      </c>
      <c r="AA51" s="10">
        <v>89.2</v>
      </c>
      <c r="AB51" s="95">
        <v>1452300</v>
      </c>
      <c r="AC51" s="10">
        <v>89.2</v>
      </c>
      <c r="AD51" s="2">
        <f t="shared" si="0"/>
        <v>1.3299999999999983</v>
      </c>
      <c r="AE51" s="138">
        <f t="shared" si="1"/>
        <v>1.9094687184095793E-3</v>
      </c>
    </row>
    <row r="52" spans="2:31" x14ac:dyDescent="0.25">
      <c r="B52" s="157"/>
      <c r="C52" s="10"/>
      <c r="D52" s="40"/>
      <c r="E52" s="40"/>
      <c r="F52" s="40"/>
      <c r="G52" s="40"/>
      <c r="H52" s="231"/>
      <c r="I52" s="40"/>
      <c r="O52" s="83">
        <v>0.99</v>
      </c>
      <c r="P52" s="83">
        <f t="shared" si="15"/>
        <v>89.565299999999993</v>
      </c>
      <c r="Q52" s="2"/>
      <c r="T52" s="93" t="s">
        <v>106</v>
      </c>
      <c r="U52" s="130" t="s">
        <v>465</v>
      </c>
      <c r="W52" s="133">
        <v>42692</v>
      </c>
      <c r="X52" s="10">
        <v>90.81</v>
      </c>
      <c r="Y52" s="10">
        <v>90.99</v>
      </c>
      <c r="Z52" s="10">
        <v>88.81</v>
      </c>
      <c r="AA52" s="10">
        <v>89.03</v>
      </c>
      <c r="AB52" s="95">
        <v>1714800</v>
      </c>
      <c r="AC52" s="10">
        <v>89.03</v>
      </c>
      <c r="AD52" s="2">
        <f t="shared" si="0"/>
        <v>2.1799999999999926</v>
      </c>
      <c r="AE52" s="138">
        <f t="shared" si="1"/>
        <v>-1.8628747795414458E-2</v>
      </c>
    </row>
    <row r="53" spans="2:31" x14ac:dyDescent="0.25">
      <c r="B53" s="157"/>
      <c r="C53" s="10"/>
      <c r="D53" s="40"/>
      <c r="E53" s="40"/>
      <c r="F53" s="40"/>
      <c r="G53" s="40"/>
      <c r="H53" s="231"/>
      <c r="I53" s="40"/>
      <c r="O53" s="83">
        <v>0.98</v>
      </c>
      <c r="P53" s="83">
        <f t="shared" si="15"/>
        <v>88.660600000000002</v>
      </c>
      <c r="Q53" s="2"/>
      <c r="T53" s="93" t="s">
        <v>107</v>
      </c>
      <c r="U53" s="131">
        <v>8893653</v>
      </c>
      <c r="W53" s="133">
        <v>42691</v>
      </c>
      <c r="X53" s="10">
        <v>89.38</v>
      </c>
      <c r="Y53" s="10">
        <v>90.83</v>
      </c>
      <c r="Z53" s="10">
        <v>89.01</v>
      </c>
      <c r="AA53" s="10">
        <v>90.72</v>
      </c>
      <c r="AB53" s="95">
        <v>1780500</v>
      </c>
      <c r="AC53" s="10">
        <v>90.72</v>
      </c>
      <c r="AD53" s="2">
        <f t="shared" si="0"/>
        <v>1.8199999999999932</v>
      </c>
      <c r="AE53" s="138">
        <f t="shared" si="1"/>
        <v>1.7839111410299591E-2</v>
      </c>
    </row>
    <row r="54" spans="2:31" x14ac:dyDescent="0.25">
      <c r="B54" s="157"/>
      <c r="C54" s="10"/>
      <c r="D54" s="40"/>
      <c r="E54" s="40"/>
      <c r="F54" s="40"/>
      <c r="G54" s="40"/>
      <c r="H54" s="231"/>
      <c r="I54" s="40"/>
      <c r="O54" s="83">
        <v>0.97</v>
      </c>
      <c r="P54" s="83">
        <f t="shared" si="15"/>
        <v>87.755899999999997</v>
      </c>
      <c r="T54" s="93" t="s">
        <v>110</v>
      </c>
      <c r="U54" s="131">
        <v>2321530</v>
      </c>
      <c r="W54" s="133">
        <v>42690</v>
      </c>
      <c r="X54" s="10">
        <v>88.85</v>
      </c>
      <c r="Y54" s="10">
        <v>89.72</v>
      </c>
      <c r="Z54" s="10">
        <v>88.18</v>
      </c>
      <c r="AA54" s="10">
        <v>89.13</v>
      </c>
      <c r="AB54" s="95">
        <v>1301400</v>
      </c>
      <c r="AC54" s="10">
        <v>89.13</v>
      </c>
      <c r="AD54" s="2">
        <f t="shared" si="0"/>
        <v>1.539999999999992</v>
      </c>
      <c r="AE54" s="138">
        <f t="shared" si="1"/>
        <v>2.4744123270723506E-3</v>
      </c>
    </row>
    <row r="55" spans="2:31" x14ac:dyDescent="0.25">
      <c r="B55" s="157"/>
      <c r="C55" s="10"/>
      <c r="D55" s="40"/>
      <c r="E55" s="40"/>
      <c r="F55" s="40"/>
      <c r="G55" s="40"/>
      <c r="H55" s="231"/>
      <c r="I55" s="40"/>
      <c r="O55" s="83">
        <v>0.96</v>
      </c>
      <c r="P55" s="83">
        <f t="shared" si="15"/>
        <v>86.851199999999992</v>
      </c>
      <c r="T55" s="93" t="s">
        <v>108</v>
      </c>
      <c r="U55" s="130" t="s">
        <v>583</v>
      </c>
      <c r="W55" s="133">
        <v>42689</v>
      </c>
      <c r="X55" s="10">
        <v>87.55</v>
      </c>
      <c r="Y55" s="10">
        <v>89.63</v>
      </c>
      <c r="Z55" s="10">
        <v>87.01</v>
      </c>
      <c r="AA55" s="10">
        <v>88.91</v>
      </c>
      <c r="AB55" s="95">
        <v>2252800</v>
      </c>
      <c r="AC55" s="10">
        <v>88.91</v>
      </c>
      <c r="AD55" s="2">
        <f t="shared" si="0"/>
        <v>2.6199999999999903</v>
      </c>
      <c r="AE55" s="138">
        <f t="shared" si="1"/>
        <v>2.6792932209261933E-2</v>
      </c>
    </row>
    <row r="56" spans="2:31" x14ac:dyDescent="0.25">
      <c r="B56" s="157"/>
      <c r="C56" s="10"/>
      <c r="D56" s="40"/>
      <c r="E56" s="40"/>
      <c r="F56" s="40"/>
      <c r="G56" s="40"/>
      <c r="H56" s="231"/>
      <c r="I56" s="40"/>
      <c r="O56" s="83">
        <v>0.95</v>
      </c>
      <c r="P56" s="83">
        <f t="shared" si="15"/>
        <v>85.9465</v>
      </c>
      <c r="T56" s="93" t="s">
        <v>111</v>
      </c>
      <c r="U56" s="130">
        <v>35.47</v>
      </c>
      <c r="W56" s="133">
        <v>42688</v>
      </c>
      <c r="X56" s="10">
        <v>90.72</v>
      </c>
      <c r="Y56" s="10">
        <v>91.25</v>
      </c>
      <c r="Z56" s="10">
        <v>86.54</v>
      </c>
      <c r="AA56" s="10">
        <v>86.59</v>
      </c>
      <c r="AB56" s="95">
        <v>4298500</v>
      </c>
      <c r="AC56" s="10">
        <v>86.59</v>
      </c>
      <c r="AD56" s="2">
        <f t="shared" si="0"/>
        <v>4.7099999999999937</v>
      </c>
      <c r="AE56" s="138">
        <f t="shared" si="1"/>
        <v>-4.8566091638281517E-2</v>
      </c>
    </row>
    <row r="57" spans="2:31" x14ac:dyDescent="0.25">
      <c r="B57" s="157"/>
      <c r="C57" s="10"/>
      <c r="D57" s="40"/>
      <c r="E57" s="40"/>
      <c r="F57" s="40"/>
      <c r="G57" s="40"/>
      <c r="H57" s="231"/>
      <c r="I57" s="40"/>
      <c r="O57" s="83">
        <v>0.94</v>
      </c>
      <c r="P57" s="83">
        <f t="shared" si="15"/>
        <v>85.041799999999995</v>
      </c>
      <c r="T57" s="93" t="s">
        <v>112</v>
      </c>
      <c r="U57" s="130">
        <v>2.5299999999999998</v>
      </c>
      <c r="W57" s="133">
        <v>42685</v>
      </c>
      <c r="X57" s="10">
        <v>92.77</v>
      </c>
      <c r="Y57" s="10">
        <v>92.95</v>
      </c>
      <c r="Z57" s="10">
        <v>90.7</v>
      </c>
      <c r="AA57" s="10">
        <v>91.01</v>
      </c>
      <c r="AB57" s="95">
        <v>1599800</v>
      </c>
      <c r="AC57" s="10">
        <v>91.01</v>
      </c>
      <c r="AD57" s="2">
        <f t="shared" si="0"/>
        <v>2.25</v>
      </c>
      <c r="AE57" s="138">
        <f t="shared" si="1"/>
        <v>-1.9816908992999371E-2</v>
      </c>
    </row>
    <row r="58" spans="2:31" x14ac:dyDescent="0.25">
      <c r="B58" s="157"/>
      <c r="C58" s="10"/>
      <c r="D58" s="40"/>
      <c r="E58" s="40"/>
      <c r="F58" s="40"/>
      <c r="G58" s="40"/>
      <c r="H58" s="231"/>
      <c r="I58" s="40"/>
      <c r="O58" s="83">
        <v>0.93</v>
      </c>
      <c r="P58" s="83">
        <f t="shared" si="15"/>
        <v>84.137100000000004</v>
      </c>
      <c r="T58" s="93" t="s">
        <v>109</v>
      </c>
      <c r="U58" s="130" t="s">
        <v>123</v>
      </c>
      <c r="W58" s="133">
        <v>42684</v>
      </c>
      <c r="X58" s="10">
        <v>93.42</v>
      </c>
      <c r="Y58" s="10">
        <v>93.86</v>
      </c>
      <c r="Z58" s="10">
        <v>92.16</v>
      </c>
      <c r="AA58" s="10">
        <v>92.85</v>
      </c>
      <c r="AB58" s="95">
        <v>2801000</v>
      </c>
      <c r="AC58" s="10">
        <v>92.85</v>
      </c>
      <c r="AD58" s="2">
        <f t="shared" si="0"/>
        <v>1.7000000000000028</v>
      </c>
      <c r="AE58" s="138">
        <f t="shared" si="1"/>
        <v>4.3266630611140666E-3</v>
      </c>
    </row>
    <row r="59" spans="2:31" x14ac:dyDescent="0.25">
      <c r="B59" s="157"/>
      <c r="C59" s="10"/>
      <c r="D59" s="40"/>
      <c r="E59" s="40"/>
      <c r="F59" s="40"/>
      <c r="G59" s="40"/>
      <c r="H59" s="231"/>
      <c r="I59" s="40"/>
      <c r="O59" s="83">
        <v>0.92</v>
      </c>
      <c r="P59" s="83">
        <f t="shared" si="15"/>
        <v>83.232399999999998</v>
      </c>
      <c r="W59" s="133">
        <v>42683</v>
      </c>
      <c r="X59" s="10">
        <v>93.39</v>
      </c>
      <c r="Y59" s="10">
        <v>93.89</v>
      </c>
      <c r="Z59" s="10">
        <v>88.8</v>
      </c>
      <c r="AA59" s="10">
        <v>92.45</v>
      </c>
      <c r="AB59" s="95">
        <v>2430400</v>
      </c>
      <c r="AC59" s="10">
        <v>92.45</v>
      </c>
      <c r="AD59" s="2">
        <f t="shared" si="0"/>
        <v>5.0900000000000034</v>
      </c>
      <c r="AE59" s="138">
        <f t="shared" si="1"/>
        <v>1.1598643177590517E-2</v>
      </c>
    </row>
    <row r="60" spans="2:31" x14ac:dyDescent="0.25">
      <c r="B60" s="157"/>
      <c r="C60" s="10"/>
      <c r="D60" s="40"/>
      <c r="E60" s="40"/>
      <c r="F60" s="40"/>
      <c r="G60" s="40"/>
      <c r="H60" s="231"/>
      <c r="I60" s="40"/>
      <c r="O60" s="83">
        <v>0.91</v>
      </c>
      <c r="P60" s="83">
        <f t="shared" si="15"/>
        <v>82.327700000000007</v>
      </c>
      <c r="W60" s="133">
        <v>42682</v>
      </c>
      <c r="X60" s="10">
        <v>91.53</v>
      </c>
      <c r="Y60" s="10">
        <v>92.32</v>
      </c>
      <c r="Z60" s="10">
        <v>91.08</v>
      </c>
      <c r="AA60" s="10">
        <v>91.39</v>
      </c>
      <c r="AB60" s="95">
        <v>1649000</v>
      </c>
      <c r="AC60" s="10">
        <v>91.39</v>
      </c>
      <c r="AD60" s="2">
        <f t="shared" si="0"/>
        <v>1.2399999999999949</v>
      </c>
      <c r="AE60" s="138">
        <f t="shared" si="1"/>
        <v>5.4740529888319678E-4</v>
      </c>
    </row>
    <row r="61" spans="2:31" x14ac:dyDescent="0.25">
      <c r="B61" s="157"/>
      <c r="C61" s="10"/>
      <c r="D61" s="40"/>
      <c r="E61" s="40"/>
      <c r="F61" s="40"/>
      <c r="G61" s="40"/>
      <c r="H61" s="231"/>
      <c r="I61" s="40"/>
      <c r="O61" s="83">
        <v>0.9</v>
      </c>
      <c r="P61" s="83">
        <f t="shared" si="15"/>
        <v>81.423000000000002</v>
      </c>
      <c r="W61" s="133">
        <v>42681</v>
      </c>
      <c r="X61" s="10">
        <v>91.11</v>
      </c>
      <c r="Y61" s="10">
        <v>92.23</v>
      </c>
      <c r="Z61" s="10">
        <v>90.7</v>
      </c>
      <c r="AA61" s="10">
        <v>91.34</v>
      </c>
      <c r="AB61" s="95">
        <v>1671000</v>
      </c>
      <c r="AC61" s="10">
        <v>91.34</v>
      </c>
      <c r="AD61" s="2">
        <f t="shared" si="0"/>
        <v>1.5300000000000011</v>
      </c>
      <c r="AE61" s="138">
        <f t="shared" si="1"/>
        <v>1.9078433560191899E-2</v>
      </c>
    </row>
    <row r="62" spans="2:31" x14ac:dyDescent="0.25">
      <c r="B62" s="157"/>
      <c r="C62" s="10"/>
      <c r="D62" s="40"/>
      <c r="E62" s="40"/>
      <c r="F62" s="40"/>
      <c r="G62" s="40"/>
      <c r="H62" s="231"/>
      <c r="I62" s="40"/>
      <c r="W62" s="133">
        <v>42678</v>
      </c>
      <c r="X62" s="10">
        <v>89.26</v>
      </c>
      <c r="Y62" s="10">
        <v>91.34</v>
      </c>
      <c r="Z62" s="10">
        <v>89.17</v>
      </c>
      <c r="AA62" s="10">
        <v>89.63</v>
      </c>
      <c r="AB62" s="95">
        <v>1853900</v>
      </c>
      <c r="AC62" s="10">
        <v>89.63</v>
      </c>
      <c r="AD62" s="2">
        <f t="shared" si="0"/>
        <v>2.1700000000000017</v>
      </c>
      <c r="AE62" s="138">
        <f t="shared" si="1"/>
        <v>3.6954087346023901E-3</v>
      </c>
    </row>
    <row r="63" spans="2:31" x14ac:dyDescent="0.25">
      <c r="B63" s="157"/>
      <c r="C63" s="10"/>
      <c r="D63" s="40"/>
      <c r="E63" s="40"/>
      <c r="F63" s="40"/>
      <c r="G63" s="40"/>
      <c r="H63" s="231"/>
      <c r="I63" s="40"/>
      <c r="W63" s="133">
        <v>42677</v>
      </c>
      <c r="X63" s="10">
        <v>89.24</v>
      </c>
      <c r="Y63" s="10">
        <v>90.95</v>
      </c>
      <c r="Z63" s="10">
        <v>89</v>
      </c>
      <c r="AA63" s="10">
        <v>89.3</v>
      </c>
      <c r="AB63" s="95">
        <v>3464000</v>
      </c>
      <c r="AC63" s="10">
        <v>89.3</v>
      </c>
      <c r="AD63" s="2">
        <f t="shared" si="0"/>
        <v>1.9500000000000028</v>
      </c>
      <c r="AE63" s="138">
        <f t="shared" si="1"/>
        <v>6.6508849058730668E-3</v>
      </c>
    </row>
    <row r="64" spans="2:31" x14ac:dyDescent="0.25">
      <c r="B64" s="157"/>
      <c r="C64" s="10"/>
      <c r="D64" s="40"/>
      <c r="E64" s="40"/>
      <c r="F64" s="40"/>
      <c r="G64" s="40"/>
      <c r="H64" s="231"/>
      <c r="I64" s="40"/>
      <c r="W64" s="133">
        <v>42676</v>
      </c>
      <c r="X64" s="10">
        <v>92.18</v>
      </c>
      <c r="Y64" s="10">
        <v>92.22</v>
      </c>
      <c r="Z64" s="10">
        <v>88.69</v>
      </c>
      <c r="AA64" s="10">
        <v>88.71</v>
      </c>
      <c r="AB64" s="95">
        <v>3631200</v>
      </c>
      <c r="AC64" s="10">
        <v>88.71</v>
      </c>
      <c r="AD64" s="2">
        <f t="shared" si="0"/>
        <v>3.5300000000000011</v>
      </c>
      <c r="AE64" s="138">
        <f t="shared" si="1"/>
        <v>-3.5760869565217512E-2</v>
      </c>
    </row>
    <row r="65" spans="1:31" x14ac:dyDescent="0.25">
      <c r="B65" s="157"/>
      <c r="C65" s="10"/>
      <c r="D65" s="40"/>
      <c r="E65" s="40"/>
      <c r="F65" s="40"/>
      <c r="G65" s="40"/>
      <c r="H65" s="231"/>
      <c r="I65" s="40"/>
      <c r="W65" s="133">
        <v>42675</v>
      </c>
      <c r="X65" s="10">
        <v>95.5</v>
      </c>
      <c r="Y65" s="10">
        <v>95.73</v>
      </c>
      <c r="Z65" s="10">
        <v>91.57</v>
      </c>
      <c r="AA65" s="10">
        <v>92</v>
      </c>
      <c r="AB65" s="95">
        <v>3392300</v>
      </c>
      <c r="AC65" s="10">
        <v>92</v>
      </c>
      <c r="AD65" s="2">
        <f t="shared" si="0"/>
        <v>4.1600000000000108</v>
      </c>
      <c r="AE65" s="138">
        <f t="shared" si="1"/>
        <v>-3.3816425120772986E-2</v>
      </c>
    </row>
    <row r="66" spans="1:31" x14ac:dyDescent="0.25">
      <c r="B66" s="157"/>
      <c r="C66" s="10"/>
      <c r="D66" s="40"/>
      <c r="E66" s="40"/>
      <c r="F66" s="40"/>
      <c r="G66" s="40"/>
      <c r="H66" s="231"/>
      <c r="I66" s="40"/>
      <c r="W66" s="133">
        <v>42674</v>
      </c>
      <c r="X66" s="10">
        <v>94.46</v>
      </c>
      <c r="Y66" s="10">
        <v>95.49</v>
      </c>
      <c r="Z66" s="10">
        <v>92.91</v>
      </c>
      <c r="AA66" s="10">
        <v>95.22</v>
      </c>
      <c r="AB66" s="95">
        <v>4863600</v>
      </c>
      <c r="AC66" s="10">
        <v>95.22</v>
      </c>
      <c r="AD66" s="2">
        <f t="shared" si="0"/>
        <v>2.5799999999999983</v>
      </c>
      <c r="AE66" s="138">
        <f t="shared" si="1"/>
        <v>-9.7753743760399248E-3</v>
      </c>
    </row>
    <row r="67" spans="1:31" x14ac:dyDescent="0.25">
      <c r="B67" s="157"/>
      <c r="C67" s="10"/>
      <c r="D67" s="40"/>
      <c r="E67" s="40"/>
      <c r="F67" s="40"/>
      <c r="G67" s="40"/>
      <c r="H67" s="231"/>
      <c r="I67" s="40"/>
      <c r="W67" s="133">
        <v>42671</v>
      </c>
      <c r="X67" s="10">
        <v>92.36</v>
      </c>
      <c r="Y67" s="10">
        <v>96.8</v>
      </c>
      <c r="Z67" s="10">
        <v>92.05</v>
      </c>
      <c r="AA67" s="10">
        <v>96.16</v>
      </c>
      <c r="AB67" s="95">
        <v>4749100</v>
      </c>
      <c r="AC67" s="10">
        <v>96.16</v>
      </c>
      <c r="AD67" s="2">
        <f>Y67-Z67</f>
        <v>4.75</v>
      </c>
      <c r="AE67" s="138" t="e">
        <f>AC67/#REF!-1</f>
        <v>#REF!</v>
      </c>
    </row>
    <row r="68" spans="1:31" x14ac:dyDescent="0.25">
      <c r="B68" s="157"/>
      <c r="C68" s="10"/>
      <c r="D68" s="40"/>
      <c r="E68" s="40"/>
      <c r="F68" s="40"/>
      <c r="G68" s="40"/>
      <c r="H68" s="231"/>
      <c r="I68" s="40"/>
      <c r="W68" s="133" t="s">
        <v>121</v>
      </c>
      <c r="X68" s="10"/>
      <c r="Y68" s="10"/>
      <c r="Z68" s="10"/>
      <c r="AA68" s="10"/>
      <c r="AB68" s="95"/>
      <c r="AC68" s="10"/>
      <c r="AD68" s="2" t="e">
        <f>#REF!-#REF!</f>
        <v>#REF!</v>
      </c>
      <c r="AE68" s="138" t="e">
        <f>#REF!/AC69-1</f>
        <v>#REF!</v>
      </c>
    </row>
    <row r="69" spans="1:31" x14ac:dyDescent="0.25">
      <c r="B69" s="157"/>
      <c r="C69" s="10"/>
      <c r="D69" s="40"/>
      <c r="E69" s="40"/>
      <c r="F69" s="40"/>
      <c r="G69" s="40"/>
      <c r="H69" s="231"/>
      <c r="I69" s="40"/>
      <c r="W69" s="133"/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1" spans="1:31" x14ac:dyDescent="0.25">
      <c r="L71" t="s">
        <v>65</v>
      </c>
      <c r="M71" s="2">
        <f>M89+K89-F89</f>
        <v>537.92000000000007</v>
      </c>
    </row>
    <row r="72" spans="1:31" x14ac:dyDescent="0.25">
      <c r="A72" s="263" t="s">
        <v>1</v>
      </c>
      <c r="B72" s="591" t="s">
        <v>2</v>
      </c>
      <c r="C72" s="263" t="s">
        <v>4</v>
      </c>
      <c r="D72" s="264" t="s">
        <v>5</v>
      </c>
      <c r="E72" s="264" t="s">
        <v>94</v>
      </c>
      <c r="F72" s="264" t="s">
        <v>60</v>
      </c>
      <c r="G72" s="263" t="s">
        <v>3</v>
      </c>
      <c r="H72" s="263" t="s">
        <v>6</v>
      </c>
      <c r="I72" s="264" t="s">
        <v>7</v>
      </c>
      <c r="J72" s="264" t="s">
        <v>95</v>
      </c>
      <c r="K72" s="264" t="s">
        <v>61</v>
      </c>
      <c r="L72" s="263" t="s">
        <v>37</v>
      </c>
      <c r="M72" s="263" t="s">
        <v>38</v>
      </c>
    </row>
    <row r="73" spans="1:31" x14ac:dyDescent="0.25">
      <c r="A73" s="265" t="s">
        <v>337</v>
      </c>
      <c r="B73" s="592">
        <v>42704</v>
      </c>
      <c r="C73" s="261">
        <v>40</v>
      </c>
      <c r="D73" s="262">
        <v>83.05</v>
      </c>
      <c r="E73" s="262">
        <v>0</v>
      </c>
      <c r="F73" s="262">
        <f>C73*D73+E73</f>
        <v>3322</v>
      </c>
      <c r="G73" s="592">
        <v>42739</v>
      </c>
      <c r="H73" s="267">
        <v>40</v>
      </c>
      <c r="I73" s="262">
        <v>96.5</v>
      </c>
      <c r="J73" s="262">
        <v>0.08</v>
      </c>
      <c r="K73" s="262">
        <f>I73*H73-J73</f>
        <v>3859.92</v>
      </c>
      <c r="L73" s="266"/>
      <c r="M73" s="262"/>
    </row>
    <row r="74" spans="1:31" x14ac:dyDescent="0.25">
      <c r="A74" s="268" t="s">
        <v>71</v>
      </c>
      <c r="B74" s="592"/>
      <c r="C74" s="261"/>
      <c r="D74" s="262"/>
      <c r="E74" s="262"/>
      <c r="F74" s="262"/>
      <c r="G74" s="592"/>
      <c r="H74" s="267"/>
      <c r="I74" s="262"/>
      <c r="J74" s="262"/>
      <c r="K74" s="262"/>
      <c r="L74" s="261"/>
      <c r="M74" s="261"/>
    </row>
    <row r="75" spans="1:31" x14ac:dyDescent="0.25">
      <c r="A75" s="261"/>
      <c r="B75" s="592"/>
      <c r="C75" s="261"/>
      <c r="D75" s="262"/>
      <c r="E75" s="262"/>
      <c r="F75" s="262"/>
      <c r="G75" s="592"/>
      <c r="H75" s="267"/>
      <c r="I75" s="262"/>
      <c r="J75" s="262"/>
      <c r="K75" s="262"/>
      <c r="L75" s="261"/>
      <c r="M75" s="261"/>
    </row>
    <row r="76" spans="1:31" x14ac:dyDescent="0.25">
      <c r="A76" s="261"/>
      <c r="B76" s="592"/>
      <c r="C76" s="261"/>
      <c r="D76" s="262"/>
      <c r="E76" s="262"/>
      <c r="F76" s="262"/>
      <c r="G76" s="592"/>
      <c r="H76" s="267"/>
      <c r="I76" s="262"/>
      <c r="J76" s="262"/>
      <c r="K76" s="262"/>
      <c r="L76" s="261"/>
      <c r="M76" s="261"/>
    </row>
    <row r="77" spans="1:31" x14ac:dyDescent="0.25">
      <c r="A77" s="261"/>
      <c r="B77" s="592"/>
      <c r="C77" s="261"/>
      <c r="D77" s="262"/>
      <c r="E77" s="262"/>
      <c r="F77" s="262"/>
      <c r="G77" s="592"/>
      <c r="H77" s="267"/>
      <c r="I77" s="262"/>
      <c r="J77" s="262"/>
      <c r="K77" s="262"/>
      <c r="L77" s="261"/>
      <c r="M77" s="261"/>
    </row>
    <row r="78" spans="1:31" x14ac:dyDescent="0.25">
      <c r="A78" s="261"/>
      <c r="B78" s="592"/>
      <c r="C78" s="261"/>
      <c r="D78" s="262"/>
      <c r="E78" s="262"/>
      <c r="F78" s="262"/>
      <c r="G78" s="592"/>
      <c r="H78" s="267"/>
      <c r="I78" s="262"/>
      <c r="J78" s="262"/>
      <c r="K78" s="262"/>
      <c r="L78" s="261"/>
      <c r="M78" s="261"/>
    </row>
    <row r="79" spans="1:31" x14ac:dyDescent="0.25">
      <c r="A79" s="261"/>
      <c r="B79" s="592"/>
      <c r="C79" s="261"/>
      <c r="D79" s="262"/>
      <c r="E79" s="262"/>
      <c r="F79" s="262"/>
      <c r="G79" s="592"/>
      <c r="H79" s="267"/>
      <c r="I79" s="262"/>
      <c r="J79" s="262"/>
      <c r="K79" s="262"/>
      <c r="L79" s="261"/>
      <c r="M79" s="261"/>
    </row>
    <row r="80" spans="1:31" x14ac:dyDescent="0.25">
      <c r="A80" s="261"/>
      <c r="B80" s="592"/>
      <c r="C80" s="261"/>
      <c r="D80" s="262"/>
      <c r="E80" s="262"/>
      <c r="F80" s="262"/>
      <c r="G80" s="592"/>
      <c r="H80" s="267"/>
      <c r="I80" s="262"/>
      <c r="J80" s="262"/>
      <c r="K80" s="262"/>
      <c r="L80" s="261"/>
      <c r="M80" s="261"/>
    </row>
    <row r="81" spans="1:13" x14ac:dyDescent="0.25">
      <c r="A81" s="261"/>
      <c r="B81" s="592"/>
      <c r="C81" s="261"/>
      <c r="D81" s="262"/>
      <c r="E81" s="262"/>
      <c r="F81" s="262"/>
      <c r="G81" s="592"/>
      <c r="H81" s="267"/>
      <c r="I81" s="262"/>
      <c r="J81" s="262"/>
      <c r="K81" s="262"/>
      <c r="L81" s="261"/>
      <c r="M81" s="261"/>
    </row>
    <row r="82" spans="1:13" x14ac:dyDescent="0.25">
      <c r="A82" s="261"/>
      <c r="B82" s="592"/>
      <c r="C82" s="261"/>
      <c r="D82" s="262"/>
      <c r="E82" s="262"/>
      <c r="F82" s="262"/>
      <c r="G82" s="592"/>
      <c r="H82" s="267"/>
      <c r="I82" s="262"/>
      <c r="J82" s="262"/>
      <c r="K82" s="262"/>
      <c r="L82" s="261"/>
      <c r="M82" s="261"/>
    </row>
    <row r="83" spans="1:13" x14ac:dyDescent="0.25">
      <c r="A83" s="261"/>
      <c r="B83" s="592"/>
      <c r="C83" s="261"/>
      <c r="D83" s="262"/>
      <c r="E83" s="262"/>
      <c r="F83" s="262"/>
      <c r="G83" s="592"/>
      <c r="H83" s="267"/>
      <c r="I83" s="262"/>
      <c r="J83" s="262"/>
      <c r="K83" s="262"/>
      <c r="L83" s="261"/>
      <c r="M83" s="261"/>
    </row>
    <row r="84" spans="1:13" x14ac:dyDescent="0.25">
      <c r="A84" s="261"/>
      <c r="B84" s="592"/>
      <c r="C84" s="261"/>
      <c r="D84" s="262"/>
      <c r="E84" s="262"/>
      <c r="F84" s="262"/>
      <c r="G84" s="592"/>
      <c r="H84" s="267"/>
      <c r="I84" s="262"/>
      <c r="J84" s="262"/>
      <c r="K84" s="262"/>
      <c r="L84" s="261"/>
      <c r="M84" s="261"/>
    </row>
    <row r="85" spans="1:13" x14ac:dyDescent="0.25">
      <c r="A85" s="261"/>
      <c r="B85" s="592"/>
      <c r="C85" s="261"/>
      <c r="D85" s="262"/>
      <c r="E85" s="262"/>
      <c r="F85" s="262"/>
      <c r="G85" s="592"/>
      <c r="H85" s="267"/>
      <c r="I85" s="262"/>
      <c r="J85" s="262"/>
      <c r="K85" s="262"/>
      <c r="L85" s="261"/>
      <c r="M85" s="261"/>
    </row>
    <row r="86" spans="1:13" x14ac:dyDescent="0.25">
      <c r="A86" s="261"/>
      <c r="B86" s="592"/>
      <c r="C86" s="261"/>
      <c r="D86" s="262"/>
      <c r="E86" s="262"/>
      <c r="F86" s="262"/>
      <c r="G86" s="592"/>
      <c r="H86" s="267"/>
      <c r="I86" s="262"/>
      <c r="J86" s="262"/>
      <c r="K86" s="262"/>
      <c r="L86" s="261"/>
      <c r="M86" s="261"/>
    </row>
    <row r="87" spans="1:13" x14ac:dyDescent="0.25">
      <c r="A87" s="261"/>
      <c r="B87" s="592"/>
      <c r="C87" s="261"/>
      <c r="D87" s="262"/>
      <c r="E87" s="262"/>
      <c r="F87" s="262"/>
      <c r="G87" s="592"/>
      <c r="H87" s="267"/>
      <c r="I87" s="262"/>
      <c r="J87" s="262"/>
      <c r="K87" s="262"/>
      <c r="L87" s="261"/>
      <c r="M87" s="261"/>
    </row>
    <row r="88" spans="1:13" x14ac:dyDescent="0.25">
      <c r="A88" s="261"/>
      <c r="B88" s="592"/>
      <c r="C88" s="261"/>
      <c r="D88" s="262"/>
      <c r="E88" s="262"/>
      <c r="F88" s="262"/>
      <c r="G88" s="592"/>
      <c r="H88" s="261"/>
      <c r="I88" s="262"/>
      <c r="J88" s="262"/>
      <c r="K88" s="262"/>
      <c r="L88" s="261"/>
      <c r="M88" s="261"/>
    </row>
    <row r="89" spans="1:13" x14ac:dyDescent="0.25">
      <c r="A89" s="32" t="s">
        <v>81</v>
      </c>
      <c r="B89" s="511"/>
      <c r="C89" s="14">
        <f>SUM(C73:C77)</f>
        <v>40</v>
      </c>
      <c r="D89" s="18"/>
      <c r="E89" s="18"/>
      <c r="F89" s="18">
        <f>SUM(F73:F77)</f>
        <v>3322</v>
      </c>
      <c r="G89" s="14"/>
      <c r="H89" s="14">
        <f>SUM(H73:H76)</f>
        <v>40</v>
      </c>
      <c r="I89" s="18"/>
      <c r="J89" s="18"/>
      <c r="K89" s="18">
        <f>SUM(K73:K76)</f>
        <v>3859.92</v>
      </c>
      <c r="L89" s="14"/>
      <c r="M89" s="18">
        <f>SUM(M73:M81)</f>
        <v>0</v>
      </c>
    </row>
    <row r="90" spans="1:13" ht="15.75" thickBot="1" x14ac:dyDescent="0.3">
      <c r="A90" s="467" t="s">
        <v>198</v>
      </c>
      <c r="B90" s="593"/>
      <c r="C90" s="469">
        <f>SumByColor($A$19,C73:C88)</f>
        <v>0</v>
      </c>
      <c r="D90" s="469"/>
      <c r="E90" s="469"/>
      <c r="F90" s="470">
        <f>SumByColor($A$19,F73:F88)</f>
        <v>0</v>
      </c>
      <c r="G90" s="469"/>
      <c r="H90" s="469">
        <f>SumByColor($A$19,H73:H88)</f>
        <v>0</v>
      </c>
      <c r="I90" s="469"/>
      <c r="J90" s="469"/>
      <c r="K90" s="470">
        <f>SumByColor($A$19,K73:K88)</f>
        <v>0</v>
      </c>
      <c r="L90" s="469"/>
      <c r="M90" s="470">
        <f t="shared" ref="M90" si="16">SumByColor($A$19,M73:M88)</f>
        <v>0</v>
      </c>
    </row>
  </sheetData>
  <mergeCells count="1">
    <mergeCell ref="O40:P40"/>
  </mergeCells>
  <conditionalFormatting sqref="O41:O61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{2693AE47-DAA5-47CD-97BF-4C1B6E169842}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651" priority="13">
      <formula>F33&gt;0</formula>
    </cfRule>
    <cfRule type="expression" dxfId="650" priority="14">
      <formula>F33&lt;0</formula>
    </cfRule>
  </conditionalFormatting>
  <conditionalFormatting sqref="Q7">
    <cfRule type="expression" dxfId="649" priority="11">
      <formula>Q7&gt;0</formula>
    </cfRule>
    <cfRule type="expression" dxfId="648" priority="12">
      <formula>Q7&lt;0</formula>
    </cfRule>
  </conditionalFormatting>
  <conditionalFormatting sqref="Q8">
    <cfRule type="expression" dxfId="647" priority="9">
      <formula>Q8&gt;0</formula>
    </cfRule>
    <cfRule type="expression" dxfId="646" priority="10">
      <formula>Q8&lt;0</formula>
    </cfRule>
  </conditionalFormatting>
  <conditionalFormatting sqref="F25:F29 F31:F32">
    <cfRule type="expression" dxfId="645" priority="7">
      <formula>F25&gt;0</formula>
    </cfRule>
    <cfRule type="expression" dxfId="644" priority="8">
      <formula>F25&lt;0</formula>
    </cfRule>
  </conditionalFormatting>
  <conditionalFormatting sqref="H25:H29 H31:H32">
    <cfRule type="expression" dxfId="643" priority="5">
      <formula>H25&gt;0</formula>
    </cfRule>
    <cfRule type="expression" dxfId="642" priority="6">
      <formula>H25&lt;0</formula>
    </cfRule>
  </conditionalFormatting>
  <conditionalFormatting sqref="F30">
    <cfRule type="expression" dxfId="641" priority="3">
      <formula>F30&gt;0</formula>
    </cfRule>
    <cfRule type="expression" dxfId="640" priority="4">
      <formula>F30&lt;0</formula>
    </cfRule>
  </conditionalFormatting>
  <conditionalFormatting sqref="H30">
    <cfRule type="expression" dxfId="639" priority="1">
      <formula>H30&gt;0</formula>
    </cfRule>
    <cfRule type="expression" dxfId="638" priority="2">
      <formula>H30&lt;0</formula>
    </cfRule>
  </conditionalFormatting>
  <hyperlinks>
    <hyperlink ref="A3" location="ACTIVE!A1" display="Back"/>
    <hyperlink ref="A74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693AE47-DAA5-47CD-97BF-4C1B6E16984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10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5703125" bestFit="1" customWidth="1"/>
    <col min="6" max="6" width="10.5703125" bestFit="1" customWidth="1"/>
    <col min="7" max="8" width="9.5703125" bestFit="1" customWidth="1"/>
    <col min="9" max="9" width="10.42578125" style="2" bestFit="1" customWidth="1"/>
    <col min="10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customWidth="1"/>
    <col min="21" max="21" width="19.5703125" style="34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5" t="s">
        <v>7</v>
      </c>
      <c r="J1" s="45" t="s">
        <v>95</v>
      </c>
      <c r="K1" s="45" t="s">
        <v>61</v>
      </c>
      <c r="L1" s="15" t="s">
        <v>37</v>
      </c>
      <c r="M1" s="15" t="s">
        <v>38</v>
      </c>
      <c r="U1" s="127"/>
      <c r="W1" s="132" t="s">
        <v>114</v>
      </c>
      <c r="X1" s="132" t="s">
        <v>115</v>
      </c>
      <c r="Y1" s="132" t="s">
        <v>116</v>
      </c>
      <c r="Z1" s="132" t="s">
        <v>117</v>
      </c>
      <c r="AA1" s="132" t="s">
        <v>118</v>
      </c>
      <c r="AB1" s="132" t="s">
        <v>119</v>
      </c>
      <c r="AC1" s="132" t="s">
        <v>120</v>
      </c>
      <c r="AD1" s="16" t="s">
        <v>126</v>
      </c>
      <c r="AE1" s="16" t="s">
        <v>128</v>
      </c>
    </row>
    <row r="2" spans="1:42" x14ac:dyDescent="0.25">
      <c r="A2" s="6" t="s">
        <v>199</v>
      </c>
      <c r="B2" s="74">
        <v>42724</v>
      </c>
      <c r="C2" s="4">
        <v>20</v>
      </c>
      <c r="D2" s="3">
        <v>52.68</v>
      </c>
      <c r="E2" s="3">
        <v>0</v>
      </c>
      <c r="F2" s="3">
        <f>C2*D2+E2</f>
        <v>1053.5999999999999</v>
      </c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40</v>
      </c>
      <c r="T2" s="16"/>
      <c r="U2" s="127"/>
      <c r="V2" s="16"/>
      <c r="W2" s="141">
        <v>42768</v>
      </c>
      <c r="X2" s="142">
        <v>53</v>
      </c>
      <c r="Y2" s="142">
        <v>53.01</v>
      </c>
      <c r="Z2" s="10">
        <v>52.48</v>
      </c>
      <c r="AA2" s="10">
        <v>52.8</v>
      </c>
      <c r="AB2" s="95">
        <v>7832000</v>
      </c>
      <c r="AC2" s="10">
        <v>52.8</v>
      </c>
      <c r="AE2" s="138"/>
    </row>
    <row r="3" spans="1:42" x14ac:dyDescent="0.25">
      <c r="A3" s="23" t="s">
        <v>71</v>
      </c>
      <c r="B3" s="503">
        <v>42766</v>
      </c>
      <c r="C3" s="4">
        <v>20</v>
      </c>
      <c r="D3" s="3">
        <v>51.72</v>
      </c>
      <c r="E3" s="3">
        <v>0</v>
      </c>
      <c r="F3" s="3">
        <f>C3*D3+E3</f>
        <v>1034.4000000000001</v>
      </c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52.2</v>
      </c>
      <c r="W3" s="133">
        <v>42767</v>
      </c>
      <c r="X3" s="10">
        <v>52.98</v>
      </c>
      <c r="Y3" s="10">
        <v>53.26</v>
      </c>
      <c r="Z3" s="10">
        <v>52.61</v>
      </c>
      <c r="AA3" s="10">
        <v>53.02</v>
      </c>
      <c r="AB3" s="95">
        <v>8805800</v>
      </c>
      <c r="AC3" s="10">
        <v>53.02</v>
      </c>
      <c r="AE3" s="138"/>
      <c r="AL3" s="234"/>
      <c r="AO3" s="234"/>
    </row>
    <row r="4" spans="1:42" x14ac:dyDescent="0.25">
      <c r="B4" s="4"/>
      <c r="C4" s="4"/>
      <c r="D4" s="4"/>
      <c r="E4" s="4"/>
      <c r="F4" s="4"/>
      <c r="G4" s="74"/>
      <c r="H4" s="185"/>
      <c r="I4" s="3"/>
      <c r="J4" s="3"/>
      <c r="K4" s="3"/>
      <c r="L4" s="4"/>
      <c r="M4" s="4"/>
      <c r="O4" s="11" t="s">
        <v>66</v>
      </c>
      <c r="Q4" s="201">
        <v>52.36</v>
      </c>
      <c r="R4" s="505">
        <v>-8.3000000000000001E-3</v>
      </c>
      <c r="T4" s="1"/>
      <c r="W4" s="133">
        <v>42766</v>
      </c>
      <c r="X4" s="10">
        <v>51.68</v>
      </c>
      <c r="Y4" s="10">
        <v>52.9</v>
      </c>
      <c r="Z4" s="10">
        <v>51.63</v>
      </c>
      <c r="AA4" s="10">
        <v>52.9</v>
      </c>
      <c r="AB4" s="95">
        <v>12247600</v>
      </c>
      <c r="AC4" s="10">
        <v>52.9</v>
      </c>
      <c r="AE4" s="138"/>
      <c r="AL4" s="234"/>
      <c r="AO4" s="234"/>
    </row>
    <row r="5" spans="1:42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2094.4</v>
      </c>
      <c r="W5" s="133">
        <v>42765</v>
      </c>
      <c r="X5" s="10">
        <v>52.78</v>
      </c>
      <c r="Y5" s="10">
        <v>53.22</v>
      </c>
      <c r="Z5" s="10">
        <v>52.41</v>
      </c>
      <c r="AA5" s="10">
        <v>53.08</v>
      </c>
      <c r="AB5" s="95">
        <v>9742800</v>
      </c>
      <c r="AC5" s="10">
        <v>53.08</v>
      </c>
      <c r="AE5" s="138"/>
      <c r="AL5" s="234"/>
      <c r="AO5" s="234"/>
    </row>
    <row r="6" spans="1:42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2088</v>
      </c>
      <c r="W6" s="133">
        <v>42762</v>
      </c>
      <c r="X6" s="10">
        <v>53.68</v>
      </c>
      <c r="Y6" s="10">
        <v>54.08</v>
      </c>
      <c r="Z6" s="10">
        <v>53.03</v>
      </c>
      <c r="AA6" s="10">
        <v>53.19</v>
      </c>
      <c r="AB6" s="95">
        <v>7275300</v>
      </c>
      <c r="AC6" s="10">
        <v>53.19</v>
      </c>
      <c r="AE6" s="138"/>
      <c r="AL6" s="234"/>
      <c r="AO6" s="234"/>
    </row>
    <row r="7" spans="1:42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181</v>
      </c>
      <c r="Q7" s="2">
        <f>Q10+Q8</f>
        <v>360.62000000000126</v>
      </c>
      <c r="R7">
        <v>20</v>
      </c>
      <c r="W7" s="133">
        <v>42761</v>
      </c>
      <c r="X7" s="10">
        <v>54.11</v>
      </c>
      <c r="Y7" s="10">
        <v>54.12</v>
      </c>
      <c r="Z7" s="10">
        <v>53.36</v>
      </c>
      <c r="AA7" s="10">
        <v>53.65</v>
      </c>
      <c r="AB7" s="95">
        <v>6199100</v>
      </c>
      <c r="AC7" s="10">
        <v>53.65</v>
      </c>
      <c r="AE7" s="138"/>
    </row>
    <row r="8" spans="1:42" x14ac:dyDescent="0.25">
      <c r="B8" s="4"/>
      <c r="C8" s="4"/>
      <c r="D8" s="4"/>
      <c r="E8" s="4"/>
      <c r="F8" s="4"/>
      <c r="G8" s="4"/>
      <c r="H8" s="185"/>
      <c r="I8" s="3"/>
      <c r="J8" s="3"/>
      <c r="K8" s="3"/>
      <c r="L8" s="4"/>
      <c r="M8" s="4"/>
      <c r="O8" s="11" t="s">
        <v>184</v>
      </c>
      <c r="P8" s="34"/>
      <c r="Q8" s="2">
        <f>K18+M18-F18+Q2*Q4</f>
        <v>6.4000000000000909</v>
      </c>
      <c r="W8" s="133">
        <v>42760</v>
      </c>
      <c r="X8" s="10">
        <v>53.73</v>
      </c>
      <c r="Y8" s="10">
        <v>54.12</v>
      </c>
      <c r="Z8" s="10">
        <v>53.69</v>
      </c>
      <c r="AA8" s="10">
        <v>53.86</v>
      </c>
      <c r="AB8" s="95">
        <v>6591600</v>
      </c>
      <c r="AC8" s="10">
        <v>53.86</v>
      </c>
      <c r="AE8" s="138"/>
      <c r="AL8" s="234"/>
      <c r="AO8" s="234"/>
      <c r="AP8" s="234"/>
    </row>
    <row r="9" spans="1:42" x14ac:dyDescent="0.25">
      <c r="H9" s="72"/>
      <c r="O9" s="11" t="s">
        <v>214</v>
      </c>
      <c r="Q9" s="138">
        <f>IF(Q2=0, 0, Q8/Q6)</f>
        <v>3.0651340996169017E-3</v>
      </c>
      <c r="W9" s="133">
        <v>42759</v>
      </c>
      <c r="X9" s="10">
        <v>53.02</v>
      </c>
      <c r="Y9" s="10">
        <v>53.57</v>
      </c>
      <c r="Z9" s="10">
        <v>52.99</v>
      </c>
      <c r="AA9" s="10">
        <v>53.45</v>
      </c>
      <c r="AB9" s="95">
        <v>6255100</v>
      </c>
      <c r="AC9" s="10">
        <v>53.45</v>
      </c>
      <c r="AE9" s="138"/>
    </row>
    <row r="10" spans="1:42" x14ac:dyDescent="0.25">
      <c r="H10" s="72"/>
      <c r="O10" s="11" t="s">
        <v>213</v>
      </c>
      <c r="P10" s="34"/>
      <c r="Q10" s="2">
        <f>M63 + M84</f>
        <v>354.22000000000116</v>
      </c>
      <c r="T10" s="11"/>
      <c r="W10" s="133">
        <v>42758</v>
      </c>
      <c r="X10" s="10">
        <v>53.02</v>
      </c>
      <c r="Y10" s="10">
        <v>53.26</v>
      </c>
      <c r="Z10" s="10">
        <v>52.72</v>
      </c>
      <c r="AA10" s="10">
        <v>53.24</v>
      </c>
      <c r="AB10" s="95">
        <v>6665500</v>
      </c>
      <c r="AC10" s="10">
        <v>53.24</v>
      </c>
      <c r="AE10" s="138"/>
      <c r="AL10" s="234"/>
      <c r="AO10" s="234"/>
    </row>
    <row r="11" spans="1:42" x14ac:dyDescent="0.25">
      <c r="H11" s="72"/>
      <c r="O11" s="11" t="s">
        <v>178</v>
      </c>
      <c r="P11" s="34"/>
      <c r="Q11" s="138">
        <f>IF(U58="N/A (N/A)", 0, VALUE(TRIM(CLEAN(MID(U58, FIND("(", U58)+1, 5)))))</f>
        <v>1.3599999999999999E-2</v>
      </c>
      <c r="T11" s="1"/>
      <c r="W11" s="133">
        <v>42755</v>
      </c>
      <c r="X11" s="10">
        <v>53.22</v>
      </c>
      <c r="Y11" s="10">
        <v>53.35</v>
      </c>
      <c r="Z11" s="10">
        <v>52.9</v>
      </c>
      <c r="AA11" s="10">
        <v>53.2</v>
      </c>
      <c r="AB11" s="95">
        <v>7697000</v>
      </c>
      <c r="AC11" s="10">
        <v>53.2</v>
      </c>
      <c r="AE11" s="138"/>
    </row>
    <row r="12" spans="1:42" x14ac:dyDescent="0.25">
      <c r="H12" s="72"/>
      <c r="W12" s="133">
        <v>42754</v>
      </c>
      <c r="X12" s="10">
        <v>53.84</v>
      </c>
      <c r="Y12" s="10">
        <v>53.94</v>
      </c>
      <c r="Z12" s="10">
        <v>52.89</v>
      </c>
      <c r="AA12" s="10">
        <v>52.93</v>
      </c>
      <c r="AB12" s="95">
        <v>8239700</v>
      </c>
      <c r="AC12" s="10">
        <v>52.93</v>
      </c>
      <c r="AE12" s="138"/>
      <c r="AL12" s="234"/>
      <c r="AO12" s="234"/>
    </row>
    <row r="13" spans="1:42" x14ac:dyDescent="0.25">
      <c r="H13" s="72"/>
      <c r="T13" s="1"/>
      <c r="W13" s="133">
        <v>42753</v>
      </c>
      <c r="X13" s="10">
        <v>53.86</v>
      </c>
      <c r="Y13" s="10">
        <v>53.89</v>
      </c>
      <c r="Z13" s="10">
        <v>52.86</v>
      </c>
      <c r="AA13" s="10">
        <v>53.27</v>
      </c>
      <c r="AB13" s="95">
        <v>6717400</v>
      </c>
      <c r="AC13" s="10">
        <v>53.27</v>
      </c>
      <c r="AE13" s="138"/>
    </row>
    <row r="14" spans="1:42" x14ac:dyDescent="0.25">
      <c r="H14" s="72"/>
      <c r="W14" s="133">
        <v>42752</v>
      </c>
      <c r="X14" s="10">
        <v>53.4</v>
      </c>
      <c r="Y14" s="10">
        <v>53.95</v>
      </c>
      <c r="Z14" s="10">
        <v>53.01</v>
      </c>
      <c r="AA14" s="10">
        <v>53.65</v>
      </c>
      <c r="AB14" s="95">
        <v>9885000</v>
      </c>
      <c r="AC14" s="10">
        <v>53.65</v>
      </c>
      <c r="AE14" s="138"/>
      <c r="AL14" s="234"/>
      <c r="AO14" s="234"/>
      <c r="AP14" s="234"/>
    </row>
    <row r="15" spans="1:42" x14ac:dyDescent="0.25">
      <c r="H15" s="72"/>
      <c r="W15" s="133">
        <v>42748</v>
      </c>
      <c r="X15" s="10">
        <v>52.59</v>
      </c>
      <c r="Y15" s="10">
        <v>52.93</v>
      </c>
      <c r="Z15" s="10">
        <v>52.23</v>
      </c>
      <c r="AA15" s="10">
        <v>52.92</v>
      </c>
      <c r="AB15" s="95">
        <v>6657000</v>
      </c>
      <c r="AC15" s="10">
        <v>52.92</v>
      </c>
      <c r="AE15" s="138"/>
    </row>
    <row r="16" spans="1:42" x14ac:dyDescent="0.25">
      <c r="H16" s="72"/>
      <c r="O16" s="2"/>
      <c r="P16" s="2"/>
      <c r="Q16" s="2"/>
      <c r="T16" s="69"/>
      <c r="W16" s="133">
        <v>42747</v>
      </c>
      <c r="X16" s="10">
        <v>52.51</v>
      </c>
      <c r="Y16" s="10">
        <v>52.69</v>
      </c>
      <c r="Z16" s="10">
        <v>52.16</v>
      </c>
      <c r="AA16" s="10">
        <v>52.4</v>
      </c>
      <c r="AB16" s="95">
        <v>7254100</v>
      </c>
      <c r="AC16" s="10">
        <v>52.4</v>
      </c>
      <c r="AE16" s="138"/>
    </row>
    <row r="17" spans="1:41" x14ac:dyDescent="0.25">
      <c r="H17" s="72"/>
      <c r="O17" s="2"/>
      <c r="P17" s="2"/>
      <c r="Q17" s="2"/>
      <c r="W17" s="133">
        <v>42746</v>
      </c>
      <c r="X17" s="10">
        <v>53.12</v>
      </c>
      <c r="Y17" s="10">
        <v>53.29</v>
      </c>
      <c r="Z17" s="10">
        <v>52.67</v>
      </c>
      <c r="AA17" s="10">
        <v>52.69</v>
      </c>
      <c r="AB17" s="95">
        <v>8096300</v>
      </c>
      <c r="AC17" s="10">
        <v>52.69</v>
      </c>
      <c r="AE17" s="138"/>
    </row>
    <row r="18" spans="1:41" x14ac:dyDescent="0.25">
      <c r="A18" s="22" t="s">
        <v>81</v>
      </c>
      <c r="B18" s="12"/>
      <c r="C18" s="12">
        <f>SUM(C2:C7)</f>
        <v>40</v>
      </c>
      <c r="D18" s="12"/>
      <c r="E18" s="12"/>
      <c r="F18" s="13">
        <f>SUM(F2:F7)</f>
        <v>2088</v>
      </c>
      <c r="G18" s="12"/>
      <c r="H18" s="12">
        <f>SUM(H2:H17)</f>
        <v>0</v>
      </c>
      <c r="I18" s="13"/>
      <c r="J18" s="13"/>
      <c r="K18" s="13">
        <f>SUM(K2:K17)</f>
        <v>0</v>
      </c>
      <c r="L18" s="13"/>
      <c r="M18" s="13">
        <f t="shared" ref="M18" si="0">SUM(M2:M17)</f>
        <v>0</v>
      </c>
      <c r="O18" s="2"/>
      <c r="P18" s="2"/>
      <c r="Q18" s="2"/>
      <c r="W18" s="133">
        <v>42745</v>
      </c>
      <c r="X18" s="10">
        <v>53.55</v>
      </c>
      <c r="Y18" s="10">
        <v>53.73</v>
      </c>
      <c r="Z18" s="10">
        <v>53.11</v>
      </c>
      <c r="AA18" s="10">
        <v>53.11</v>
      </c>
      <c r="AB18" s="95">
        <v>7992600</v>
      </c>
      <c r="AC18" s="10">
        <v>53.11</v>
      </c>
      <c r="AE18" s="138"/>
      <c r="AL18" s="234"/>
      <c r="AO18" s="234"/>
    </row>
    <row r="19" spans="1:41" ht="15.75" thickBot="1" x14ac:dyDescent="0.3">
      <c r="A19" s="356" t="s">
        <v>198</v>
      </c>
      <c r="B19" s="357"/>
      <c r="C19" s="358">
        <f>SumByColor($A$19,C2:C17)</f>
        <v>0</v>
      </c>
      <c r="D19" s="358"/>
      <c r="E19" s="358"/>
      <c r="F19" s="359">
        <f>SumByColor($A$19,F2:F5)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>SumByColor($A$19,M2:M17)</f>
        <v>0</v>
      </c>
      <c r="O19" s="2"/>
      <c r="P19" s="2"/>
      <c r="Q19" s="2"/>
      <c r="W19" s="133">
        <v>42744</v>
      </c>
      <c r="X19" s="10">
        <v>53.96</v>
      </c>
      <c r="Y19" s="10">
        <v>53.99</v>
      </c>
      <c r="Z19" s="10">
        <v>53.22</v>
      </c>
      <c r="AA19" s="10">
        <v>53.38</v>
      </c>
      <c r="AB19" s="95">
        <v>8724800</v>
      </c>
      <c r="AC19" s="10">
        <v>53.38</v>
      </c>
      <c r="AE19" s="138"/>
    </row>
    <row r="20" spans="1:41" x14ac:dyDescent="0.25">
      <c r="O20" s="2"/>
      <c r="P20" s="2"/>
      <c r="Q20" s="2"/>
      <c r="W20" s="133">
        <v>42741</v>
      </c>
      <c r="X20" s="10">
        <v>53.09</v>
      </c>
      <c r="Y20" s="10">
        <v>54.09</v>
      </c>
      <c r="Z20" s="10">
        <v>52.98</v>
      </c>
      <c r="AA20" s="10">
        <v>53.91</v>
      </c>
      <c r="AB20" s="95">
        <v>12411900</v>
      </c>
      <c r="AC20" s="10">
        <v>53.91</v>
      </c>
      <c r="AE20" s="138"/>
    </row>
    <row r="21" spans="1:41" x14ac:dyDescent="0.25">
      <c r="O21" s="2"/>
      <c r="P21" s="2"/>
      <c r="Q21" s="2"/>
      <c r="W21" s="133">
        <v>42740</v>
      </c>
      <c r="X21" s="10">
        <v>52.92</v>
      </c>
      <c r="Y21" s="10">
        <v>53.1</v>
      </c>
      <c r="Z21" s="10">
        <v>52.44</v>
      </c>
      <c r="AA21" s="10">
        <v>53.06</v>
      </c>
      <c r="AB21" s="95">
        <v>8631200</v>
      </c>
      <c r="AC21" s="10">
        <v>53.06</v>
      </c>
      <c r="AE21" s="138"/>
    </row>
    <row r="22" spans="1:41" x14ac:dyDescent="0.25">
      <c r="B22" s="532" t="s">
        <v>114</v>
      </c>
      <c r="C22" s="532" t="s">
        <v>147</v>
      </c>
      <c r="D22" s="533" t="s">
        <v>146</v>
      </c>
      <c r="E22" s="534" t="s">
        <v>148</v>
      </c>
      <c r="F22" s="535" t="s">
        <v>65</v>
      </c>
      <c r="G22" s="536" t="s">
        <v>152</v>
      </c>
      <c r="H22" s="535" t="s">
        <v>88</v>
      </c>
      <c r="I22" s="536" t="s">
        <v>155</v>
      </c>
      <c r="O22" s="2"/>
      <c r="P22" s="2"/>
      <c r="Q22" s="2"/>
      <c r="W22" s="133">
        <v>42739</v>
      </c>
      <c r="X22" s="10">
        <v>52.23</v>
      </c>
      <c r="Y22" s="10">
        <v>53.35</v>
      </c>
      <c r="Z22" s="10">
        <v>52.09</v>
      </c>
      <c r="AA22" s="10">
        <v>53.07</v>
      </c>
      <c r="AB22" s="95">
        <v>13542000</v>
      </c>
      <c r="AC22" s="10">
        <v>53.07</v>
      </c>
      <c r="AE22" s="138"/>
    </row>
    <row r="23" spans="1:41" x14ac:dyDescent="0.25">
      <c r="B23" s="537">
        <v>42472</v>
      </c>
      <c r="C23" s="538">
        <v>50</v>
      </c>
      <c r="D23" s="539">
        <v>56.99</v>
      </c>
      <c r="E23" s="540">
        <v>58.55</v>
      </c>
      <c r="F23" s="540">
        <f t="shared" ref="F23:F31" si="1">-C23*(D23-E23)</f>
        <v>77.999999999999758</v>
      </c>
      <c r="G23" s="540">
        <f t="shared" ref="G23:G31" si="2">IF(C23=0, 0,D23*C23)</f>
        <v>2849.5</v>
      </c>
      <c r="H23" s="541">
        <f t="shared" ref="H23:H31" si="3">IF(C23=0, D23, (E23-D23)/D23)</f>
        <v>2.7373223372521408E-2</v>
      </c>
      <c r="I23" s="540"/>
      <c r="O23" s="2"/>
      <c r="P23" s="2"/>
      <c r="Q23" s="2"/>
      <c r="W23" s="133">
        <v>42738</v>
      </c>
      <c r="X23" s="10">
        <v>51.99</v>
      </c>
      <c r="Y23" s="10">
        <v>52.5</v>
      </c>
      <c r="Z23" s="10">
        <v>51.77</v>
      </c>
      <c r="AA23" s="10">
        <v>51.98</v>
      </c>
      <c r="AB23" s="95">
        <v>13228600</v>
      </c>
      <c r="AC23" s="10">
        <v>51.98</v>
      </c>
      <c r="AE23" s="138"/>
    </row>
    <row r="24" spans="1:41" x14ac:dyDescent="0.25">
      <c r="B24" s="537">
        <v>42484</v>
      </c>
      <c r="C24" s="538">
        <v>50</v>
      </c>
      <c r="D24" s="539">
        <v>56.99</v>
      </c>
      <c r="E24" s="540">
        <v>59.43</v>
      </c>
      <c r="F24" s="540">
        <f t="shared" si="1"/>
        <v>121.99999999999989</v>
      </c>
      <c r="G24" s="540">
        <f t="shared" si="2"/>
        <v>2849.5</v>
      </c>
      <c r="H24" s="541">
        <f t="shared" si="3"/>
        <v>4.281452886471307E-2</v>
      </c>
      <c r="I24" s="540"/>
      <c r="O24" s="2"/>
      <c r="P24" s="2"/>
      <c r="Q24" s="2"/>
      <c r="W24" s="133">
        <v>42734</v>
      </c>
      <c r="X24" s="10">
        <v>51.1</v>
      </c>
      <c r="Y24" s="10">
        <v>51.33</v>
      </c>
      <c r="Z24" s="10">
        <v>50.7</v>
      </c>
      <c r="AA24" s="10">
        <v>50.83</v>
      </c>
      <c r="AB24" s="95">
        <v>7345200</v>
      </c>
      <c r="AC24" s="10">
        <v>50.83</v>
      </c>
      <c r="AE24" s="138"/>
    </row>
    <row r="25" spans="1:41" x14ac:dyDescent="0.25">
      <c r="B25" s="537">
        <v>42502</v>
      </c>
      <c r="C25" s="538">
        <v>50</v>
      </c>
      <c r="D25" s="539">
        <v>56.99</v>
      </c>
      <c r="E25" s="540">
        <v>57.99</v>
      </c>
      <c r="F25" s="540">
        <f t="shared" si="1"/>
        <v>50</v>
      </c>
      <c r="G25" s="540">
        <f t="shared" si="2"/>
        <v>2849.5</v>
      </c>
      <c r="H25" s="541">
        <f t="shared" si="3"/>
        <v>1.754693805930865E-2</v>
      </c>
      <c r="I25" s="540"/>
      <c r="O25" s="2"/>
      <c r="P25" s="2"/>
      <c r="Q25" s="2"/>
      <c r="W25" s="133">
        <v>42733</v>
      </c>
      <c r="X25" s="10">
        <v>51</v>
      </c>
      <c r="Y25" s="10">
        <v>51.24</v>
      </c>
      <c r="Z25" s="10">
        <v>50.88</v>
      </c>
      <c r="AA25" s="10">
        <v>51.06</v>
      </c>
      <c r="AB25" s="95">
        <v>4659600</v>
      </c>
      <c r="AC25" s="10">
        <v>51.06</v>
      </c>
      <c r="AE25" s="138"/>
    </row>
    <row r="26" spans="1:41" x14ac:dyDescent="0.25">
      <c r="B26" s="537">
        <v>42508</v>
      </c>
      <c r="C26" s="538">
        <v>50</v>
      </c>
      <c r="D26" s="539">
        <v>56.99</v>
      </c>
      <c r="E26" s="540">
        <v>56.12</v>
      </c>
      <c r="F26" s="540">
        <f t="shared" si="1"/>
        <v>-43.500000000000227</v>
      </c>
      <c r="G26" s="540">
        <f t="shared" si="2"/>
        <v>2849.5</v>
      </c>
      <c r="H26" s="541">
        <f t="shared" si="3"/>
        <v>-1.5265836111598605E-2</v>
      </c>
      <c r="I26" s="540"/>
      <c r="O26" s="2"/>
      <c r="P26" s="2"/>
      <c r="Q26" s="2"/>
      <c r="W26" s="133">
        <v>42732</v>
      </c>
      <c r="X26" s="10">
        <v>51.31</v>
      </c>
      <c r="Y26" s="10">
        <v>51.5</v>
      </c>
      <c r="Z26" s="10">
        <v>50.87</v>
      </c>
      <c r="AA26" s="10">
        <v>51.02</v>
      </c>
      <c r="AB26" s="95">
        <v>6255600</v>
      </c>
      <c r="AC26" s="10">
        <v>51.02</v>
      </c>
      <c r="AE26" s="138"/>
    </row>
    <row r="27" spans="1:41" x14ac:dyDescent="0.25">
      <c r="B27" s="537">
        <v>42524</v>
      </c>
      <c r="C27" s="538">
        <v>120</v>
      </c>
      <c r="D27" s="539">
        <v>55.284999999999997</v>
      </c>
      <c r="E27" s="540">
        <v>53.45</v>
      </c>
      <c r="F27" s="540">
        <f t="shared" si="1"/>
        <v>-220.19999999999925</v>
      </c>
      <c r="G27" s="540">
        <f t="shared" si="2"/>
        <v>6634.2</v>
      </c>
      <c r="H27" s="541">
        <f t="shared" si="3"/>
        <v>-3.3191643302884939E-2</v>
      </c>
      <c r="I27" s="540"/>
      <c r="O27" s="2"/>
      <c r="P27" s="2"/>
      <c r="Q27" s="2"/>
      <c r="W27" s="133">
        <v>42731</v>
      </c>
      <c r="X27" s="10">
        <v>51.8</v>
      </c>
      <c r="Y27" s="10">
        <v>52.25</v>
      </c>
      <c r="Z27" s="10">
        <v>51.2</v>
      </c>
      <c r="AA27" s="10">
        <v>51.29</v>
      </c>
      <c r="AB27" s="95">
        <v>8089700</v>
      </c>
      <c r="AC27" s="10">
        <v>51.29</v>
      </c>
      <c r="AE27" s="138"/>
    </row>
    <row r="28" spans="1:41" x14ac:dyDescent="0.25">
      <c r="B28" s="537">
        <v>42530</v>
      </c>
      <c r="C28" s="538">
        <v>120</v>
      </c>
      <c r="D28" s="539">
        <v>55.284999999999997</v>
      </c>
      <c r="E28" s="540">
        <v>54.94</v>
      </c>
      <c r="F28" s="540">
        <f t="shared" si="1"/>
        <v>-41.399999999999864</v>
      </c>
      <c r="G28" s="540">
        <f t="shared" si="2"/>
        <v>6634.2</v>
      </c>
      <c r="H28" s="541">
        <f t="shared" si="3"/>
        <v>-6.2403907027222373E-3</v>
      </c>
      <c r="I28" s="540"/>
      <c r="O28" s="2"/>
      <c r="P28" s="2"/>
      <c r="Q28" s="2"/>
      <c r="W28" s="133">
        <v>42727</v>
      </c>
      <c r="X28" s="10">
        <v>51.99</v>
      </c>
      <c r="Y28" s="10">
        <v>52.35</v>
      </c>
      <c r="Z28" s="10">
        <v>51.67</v>
      </c>
      <c r="AA28" s="10">
        <v>51.91</v>
      </c>
      <c r="AB28" s="95">
        <v>9335800</v>
      </c>
      <c r="AC28" s="10">
        <v>51.91</v>
      </c>
      <c r="AE28" s="138"/>
    </row>
    <row r="29" spans="1:41" x14ac:dyDescent="0.25">
      <c r="B29" s="537">
        <v>42537</v>
      </c>
      <c r="C29" s="538">
        <v>120</v>
      </c>
      <c r="D29" s="539">
        <v>55.284999999999997</v>
      </c>
      <c r="E29" s="540">
        <v>53.47</v>
      </c>
      <c r="F29" s="540">
        <f t="shared" si="1"/>
        <v>-217.79999999999973</v>
      </c>
      <c r="G29" s="540">
        <f t="shared" si="2"/>
        <v>6634.2</v>
      </c>
      <c r="H29" s="541">
        <f t="shared" si="3"/>
        <v>-3.2829881523017052E-2</v>
      </c>
      <c r="I29" s="540"/>
      <c r="W29" s="133">
        <v>42726</v>
      </c>
      <c r="X29" s="10">
        <v>52.8</v>
      </c>
      <c r="Y29" s="10">
        <v>53</v>
      </c>
      <c r="Z29" s="10">
        <v>52.03</v>
      </c>
      <c r="AA29" s="10">
        <v>52.14</v>
      </c>
      <c r="AB29" s="95">
        <v>11791500</v>
      </c>
      <c r="AC29" s="10">
        <v>52.14</v>
      </c>
      <c r="AE29" s="138"/>
    </row>
    <row r="30" spans="1:41" x14ac:dyDescent="0.25">
      <c r="B30" s="537">
        <v>42542</v>
      </c>
      <c r="C30" s="538">
        <v>120</v>
      </c>
      <c r="D30" s="539">
        <v>55.284999999999997</v>
      </c>
      <c r="E30" s="540">
        <v>54.77</v>
      </c>
      <c r="F30" s="540">
        <f t="shared" si="1"/>
        <v>-61.799999999999216</v>
      </c>
      <c r="G30" s="540">
        <f t="shared" si="2"/>
        <v>6634.2</v>
      </c>
      <c r="H30" s="541">
        <f t="shared" si="3"/>
        <v>-9.3153658315997742E-3</v>
      </c>
      <c r="I30" s="540"/>
      <c r="W30" s="133">
        <v>42725</v>
      </c>
      <c r="X30" s="10">
        <v>52.9</v>
      </c>
      <c r="Y30" s="10">
        <v>53.35</v>
      </c>
      <c r="Z30" s="10">
        <v>51.55</v>
      </c>
      <c r="AA30" s="10">
        <v>52.3</v>
      </c>
      <c r="AB30" s="95">
        <v>23192700</v>
      </c>
      <c r="AC30" s="10">
        <v>52.3</v>
      </c>
      <c r="AE30" s="138"/>
    </row>
    <row r="31" spans="1:41" x14ac:dyDescent="0.25">
      <c r="B31" s="537">
        <v>42546</v>
      </c>
      <c r="C31" s="538">
        <v>150</v>
      </c>
      <c r="D31" s="539">
        <v>54.704000000000001</v>
      </c>
      <c r="E31" s="540">
        <v>52.59</v>
      </c>
      <c r="F31" s="540">
        <f t="shared" si="1"/>
        <v>-317.09999999999957</v>
      </c>
      <c r="G31" s="540">
        <f t="shared" si="2"/>
        <v>8205.6</v>
      </c>
      <c r="H31" s="541">
        <f t="shared" si="3"/>
        <v>-3.8644340450424051E-2</v>
      </c>
      <c r="I31" s="540"/>
      <c r="W31" s="133">
        <v>42724</v>
      </c>
      <c r="X31" s="10">
        <v>51.06</v>
      </c>
      <c r="Y31" s="10">
        <v>51.99</v>
      </c>
      <c r="Z31" s="10">
        <v>50.75</v>
      </c>
      <c r="AA31" s="10">
        <v>51.79</v>
      </c>
      <c r="AB31" s="95">
        <v>12709800</v>
      </c>
      <c r="AC31" s="10">
        <v>51.79</v>
      </c>
      <c r="AE31" s="138"/>
    </row>
    <row r="32" spans="1:41" x14ac:dyDescent="0.25">
      <c r="B32" s="537">
        <v>42549</v>
      </c>
      <c r="C32" s="538">
        <v>150</v>
      </c>
      <c r="D32" s="539">
        <v>54.704000000000001</v>
      </c>
      <c r="E32" s="540">
        <v>53.09</v>
      </c>
      <c r="F32" s="540">
        <f t="shared" ref="F32" si="4">-C32*(D32-E32)</f>
        <v>-242.09999999999957</v>
      </c>
      <c r="G32" s="540">
        <f t="shared" ref="G32" si="5">IF(C32=0, 0,D32*C32)</f>
        <v>8205.6</v>
      </c>
      <c r="H32" s="541">
        <f t="shared" ref="H32" si="6">IF(C32=0, D32, (E32-D32)/D32)</f>
        <v>-2.9504241006142094E-2</v>
      </c>
      <c r="I32" s="540" t="s">
        <v>234</v>
      </c>
      <c r="W32" s="133">
        <v>42723</v>
      </c>
      <c r="X32" s="10">
        <v>50.91</v>
      </c>
      <c r="Y32" s="10">
        <v>51.36</v>
      </c>
      <c r="Z32" s="10">
        <v>50.48</v>
      </c>
      <c r="AA32" s="10">
        <v>50.85</v>
      </c>
      <c r="AB32" s="95">
        <v>9312400</v>
      </c>
      <c r="AC32" s="10">
        <v>50.85</v>
      </c>
      <c r="AE32" s="138"/>
    </row>
    <row r="33" spans="2:41" x14ac:dyDescent="0.25">
      <c r="B33" s="537">
        <v>42550</v>
      </c>
      <c r="C33" s="538">
        <v>100</v>
      </c>
      <c r="D33" s="539">
        <v>54.6511</v>
      </c>
      <c r="E33" s="540">
        <v>55.13</v>
      </c>
      <c r="F33" s="540">
        <f t="shared" ref="F33:F35" si="7">-C33*(D33-E33)</f>
        <v>47.890000000000299</v>
      </c>
      <c r="G33" s="540">
        <f t="shared" ref="G33:G35" si="8">IF(C33=0, 0,D33*C33)</f>
        <v>5465.11</v>
      </c>
      <c r="H33" s="541">
        <f t="shared" ref="H33:H35" si="9">IF(C33=0, D33, (E33-D33)/D33)</f>
        <v>8.7628611317979513E-3</v>
      </c>
      <c r="I33" s="540" t="s">
        <v>235</v>
      </c>
      <c r="W33" s="133">
        <v>42720</v>
      </c>
      <c r="X33" s="10">
        <v>51.6</v>
      </c>
      <c r="Y33" s="10">
        <v>51.64</v>
      </c>
      <c r="Z33" s="10">
        <v>50.67</v>
      </c>
      <c r="AA33" s="10">
        <v>50.92</v>
      </c>
      <c r="AB33" s="95">
        <v>12847200</v>
      </c>
      <c r="AC33" s="10">
        <v>50.92</v>
      </c>
      <c r="AE33" s="138"/>
    </row>
    <row r="34" spans="2:41" x14ac:dyDescent="0.25">
      <c r="B34" s="537">
        <v>42552</v>
      </c>
      <c r="C34" s="538">
        <v>100</v>
      </c>
      <c r="D34" s="539">
        <v>54.6511</v>
      </c>
      <c r="E34" s="540">
        <v>55.61</v>
      </c>
      <c r="F34" s="540">
        <f t="shared" si="7"/>
        <v>95.889999999999986</v>
      </c>
      <c r="G34" s="540">
        <f t="shared" si="8"/>
        <v>5465.11</v>
      </c>
      <c r="H34" s="541">
        <f t="shared" si="9"/>
        <v>1.7545849946295679E-2</v>
      </c>
      <c r="I34" s="540"/>
      <c r="W34" s="133">
        <v>42719</v>
      </c>
      <c r="X34" s="10">
        <v>52</v>
      </c>
      <c r="Y34" s="10">
        <v>52.04</v>
      </c>
      <c r="Z34" s="10">
        <v>51.09</v>
      </c>
      <c r="AA34" s="10">
        <v>51.29</v>
      </c>
      <c r="AB34" s="95">
        <v>9544000</v>
      </c>
      <c r="AC34" s="10">
        <v>51.29</v>
      </c>
      <c r="AE34" s="138"/>
    </row>
    <row r="35" spans="2:41" x14ac:dyDescent="0.25">
      <c r="B35" s="537">
        <v>42556</v>
      </c>
      <c r="C35" s="538">
        <v>100</v>
      </c>
      <c r="D35" s="539">
        <v>54.539099999999998</v>
      </c>
      <c r="E35" s="540">
        <v>55.2</v>
      </c>
      <c r="F35" s="540">
        <f t="shared" si="7"/>
        <v>66.090000000000515</v>
      </c>
      <c r="G35" s="540">
        <f t="shared" si="8"/>
        <v>5453.91</v>
      </c>
      <c r="H35" s="541">
        <f t="shared" si="9"/>
        <v>1.2117911736717422E-2</v>
      </c>
      <c r="I35" s="540" t="s">
        <v>189</v>
      </c>
      <c r="W35" s="133">
        <v>42718</v>
      </c>
      <c r="X35" s="10">
        <v>52.24</v>
      </c>
      <c r="Y35" s="10">
        <v>52.34</v>
      </c>
      <c r="Z35" s="10">
        <v>51.59</v>
      </c>
      <c r="AA35" s="10">
        <v>51.79</v>
      </c>
      <c r="AB35" s="95">
        <v>7865800</v>
      </c>
      <c r="AC35" s="10">
        <v>51.79</v>
      </c>
      <c r="AE35" s="138"/>
    </row>
    <row r="36" spans="2:41" x14ac:dyDescent="0.25">
      <c r="B36" s="537">
        <v>42562</v>
      </c>
      <c r="C36" s="538">
        <v>100</v>
      </c>
      <c r="D36" s="539">
        <v>54.539099999999998</v>
      </c>
      <c r="E36" s="540">
        <v>56.83</v>
      </c>
      <c r="F36" s="540">
        <f t="shared" ref="F36:F37" si="10">-C36*(D36-E36)</f>
        <v>229.09000000000006</v>
      </c>
      <c r="G36" s="540">
        <f t="shared" ref="G36:G37" si="11">IF(C36=0, 0,D36*C36)</f>
        <v>5453.91</v>
      </c>
      <c r="H36" s="541">
        <f t="shared" ref="H36:H37" si="12">IF(C36=0, D36, (E36-D36)/D36)</f>
        <v>4.2004726884015332E-2</v>
      </c>
      <c r="I36" s="540"/>
      <c r="W36" s="133">
        <v>42717</v>
      </c>
      <c r="X36" s="10">
        <v>51.83</v>
      </c>
      <c r="Y36" s="10">
        <v>53.22</v>
      </c>
      <c r="Z36" s="10">
        <v>51.83</v>
      </c>
      <c r="AA36" s="10">
        <v>52.3</v>
      </c>
      <c r="AB36" s="95">
        <v>11321800</v>
      </c>
      <c r="AC36" s="10">
        <v>52.3</v>
      </c>
      <c r="AE36" s="138"/>
      <c r="AL36" s="234"/>
    </row>
    <row r="37" spans="2:41" x14ac:dyDescent="0.25">
      <c r="B37" s="537">
        <v>42563</v>
      </c>
      <c r="C37" s="538">
        <v>30</v>
      </c>
      <c r="D37" s="539">
        <v>46.98</v>
      </c>
      <c r="E37" s="540">
        <v>58.06</v>
      </c>
      <c r="F37" s="540">
        <f t="shared" si="10"/>
        <v>332.40000000000015</v>
      </c>
      <c r="G37" s="540">
        <f t="shared" si="11"/>
        <v>1409.3999999999999</v>
      </c>
      <c r="H37" s="541">
        <f t="shared" si="12"/>
        <v>0.23584504044274171</v>
      </c>
      <c r="I37" s="540"/>
      <c r="W37" s="133">
        <v>42716</v>
      </c>
      <c r="X37" s="10">
        <v>51.5</v>
      </c>
      <c r="Y37" s="10">
        <v>51.9</v>
      </c>
      <c r="Z37" s="10">
        <v>50.94</v>
      </c>
      <c r="AA37" s="10">
        <v>51.54</v>
      </c>
      <c r="AB37" s="95">
        <v>11452800</v>
      </c>
      <c r="AC37" s="10">
        <v>51.54</v>
      </c>
      <c r="AE37" s="138"/>
    </row>
    <row r="38" spans="2:41" x14ac:dyDescent="0.25">
      <c r="B38" s="537">
        <v>42570</v>
      </c>
      <c r="C38" s="538">
        <v>30</v>
      </c>
      <c r="D38" s="539">
        <v>46.98</v>
      </c>
      <c r="E38" s="540">
        <v>57.76</v>
      </c>
      <c r="F38" s="540">
        <f t="shared" ref="F38" si="13">-C38*(D38-E38)</f>
        <v>323.40000000000003</v>
      </c>
      <c r="G38" s="540">
        <f t="shared" ref="G38" si="14">IF(C38=0, 0,D38*C38)</f>
        <v>1409.3999999999999</v>
      </c>
      <c r="H38" s="541">
        <f t="shared" ref="H38" si="15">IF(C38=0, D38, (E38-D38)/D38)</f>
        <v>0.22945934440187318</v>
      </c>
      <c r="I38" s="540"/>
      <c r="W38" s="133">
        <v>42713</v>
      </c>
      <c r="X38" s="10">
        <v>51.76</v>
      </c>
      <c r="Y38" s="10">
        <v>51.97</v>
      </c>
      <c r="Z38" s="10">
        <v>51.5</v>
      </c>
      <c r="AA38" s="10">
        <v>51.72</v>
      </c>
      <c r="AB38" s="95">
        <v>5860000</v>
      </c>
      <c r="AC38" s="10">
        <v>51.72</v>
      </c>
      <c r="AE38" s="138"/>
    </row>
    <row r="39" spans="2:41" x14ac:dyDescent="0.25">
      <c r="B39" s="537">
        <v>42571</v>
      </c>
      <c r="C39" s="538">
        <v>30</v>
      </c>
      <c r="D39" s="539">
        <v>46.98</v>
      </c>
      <c r="E39" s="540">
        <v>57.76</v>
      </c>
      <c r="F39" s="540">
        <f t="shared" ref="F39" si="16">-C39*(D39-E39)</f>
        <v>323.40000000000003</v>
      </c>
      <c r="G39" s="540">
        <f t="shared" ref="G39" si="17">IF(C39=0, 0,D39*C39)</f>
        <v>1409.3999999999999</v>
      </c>
      <c r="H39" s="541">
        <f t="shared" ref="H39" si="18">IF(C39=0, D39, (E39-D39)/D39)</f>
        <v>0.22945934440187318</v>
      </c>
      <c r="I39" s="540"/>
      <c r="W39" s="133">
        <v>42712</v>
      </c>
      <c r="X39" s="10">
        <v>52.15</v>
      </c>
      <c r="Y39" s="10">
        <v>52.47</v>
      </c>
      <c r="Z39" s="10">
        <v>51.45</v>
      </c>
      <c r="AA39" s="10">
        <v>51.55</v>
      </c>
      <c r="AB39" s="95">
        <v>9242500</v>
      </c>
      <c r="AC39" s="10">
        <v>51.55</v>
      </c>
      <c r="AE39" s="138"/>
    </row>
    <row r="40" spans="2:41" x14ac:dyDescent="0.25">
      <c r="B40" s="537">
        <v>42572</v>
      </c>
      <c r="C40" s="538">
        <v>30</v>
      </c>
      <c r="D40" s="539">
        <v>46.98</v>
      </c>
      <c r="E40" s="540">
        <v>56.99</v>
      </c>
      <c r="F40" s="540">
        <f t="shared" ref="F40" si="19">-C40*(D40-E40)</f>
        <v>300.30000000000018</v>
      </c>
      <c r="G40" s="540">
        <f t="shared" ref="G40" si="20">IF(C40=0, 0,D40*C40)</f>
        <v>1409.3999999999999</v>
      </c>
      <c r="H40" s="541">
        <f t="shared" ref="H40" si="21">IF(C40=0, D40, (E40-D40)/D40)</f>
        <v>0.21306939123031091</v>
      </c>
      <c r="I40" s="540"/>
      <c r="W40" s="133">
        <v>42711</v>
      </c>
      <c r="X40" s="10">
        <v>50.79</v>
      </c>
      <c r="Y40" s="10">
        <v>52.25</v>
      </c>
      <c r="Z40" s="10">
        <v>50.6</v>
      </c>
      <c r="AA40" s="10">
        <v>52.1</v>
      </c>
      <c r="AB40" s="95">
        <v>10244200</v>
      </c>
      <c r="AC40" s="10">
        <v>52.1</v>
      </c>
      <c r="AE40" s="138"/>
    </row>
    <row r="41" spans="2:41" x14ac:dyDescent="0.25">
      <c r="B41" s="537">
        <v>42577</v>
      </c>
      <c r="C41" s="538">
        <v>30</v>
      </c>
      <c r="D41" s="539">
        <v>46.98</v>
      </c>
      <c r="E41" s="540">
        <v>56.37</v>
      </c>
      <c r="F41" s="540">
        <f t="shared" ref="F41" si="22">-C41*(D41-E41)</f>
        <v>281.70000000000005</v>
      </c>
      <c r="G41" s="540">
        <f t="shared" ref="G41" si="23">IF(C41=0, 0,D41*C41)</f>
        <v>1409.3999999999999</v>
      </c>
      <c r="H41" s="541">
        <f t="shared" ref="H41" si="24">IF(C41=0, D41, (E41-D41)/D41)</f>
        <v>0.19987228607918264</v>
      </c>
      <c r="I41" s="540"/>
      <c r="W41" s="133">
        <v>42710</v>
      </c>
      <c r="X41" s="10">
        <v>50.83</v>
      </c>
      <c r="Y41" s="10">
        <v>51.1</v>
      </c>
      <c r="Z41" s="10">
        <v>50.26</v>
      </c>
      <c r="AA41" s="10">
        <v>50.57</v>
      </c>
      <c r="AB41" s="95">
        <v>12411900</v>
      </c>
      <c r="AC41" s="10">
        <v>50.57</v>
      </c>
      <c r="AE41" s="138"/>
    </row>
    <row r="42" spans="2:41" ht="20.25" thickBot="1" x14ac:dyDescent="0.35">
      <c r="B42" s="537">
        <v>42580</v>
      </c>
      <c r="C42" s="538">
        <v>30</v>
      </c>
      <c r="D42" s="539">
        <v>46.98</v>
      </c>
      <c r="E42" s="540">
        <v>55.5</v>
      </c>
      <c r="F42" s="540">
        <f t="shared" ref="F42" si="25">-C42*(D42-E42)</f>
        <v>255.60000000000008</v>
      </c>
      <c r="G42" s="540">
        <f t="shared" ref="G42" si="26">IF(C42=0, 0,D42*C42)</f>
        <v>1409.3999999999999</v>
      </c>
      <c r="H42" s="541">
        <f t="shared" ref="H42" si="27">IF(C42=0, D42, (E42-D42)/D42)</f>
        <v>0.18135376756066418</v>
      </c>
      <c r="I42" s="540"/>
      <c r="T42" s="91" t="s">
        <v>113</v>
      </c>
      <c r="W42" s="133">
        <v>42709</v>
      </c>
      <c r="X42" s="10">
        <v>50.8</v>
      </c>
      <c r="Y42" s="10">
        <v>52.27</v>
      </c>
      <c r="Z42" s="10">
        <v>50.7</v>
      </c>
      <c r="AA42" s="10">
        <v>51.85</v>
      </c>
      <c r="AB42" s="95">
        <v>11995300</v>
      </c>
      <c r="AC42" s="10">
        <v>51.85</v>
      </c>
      <c r="AE42" s="138"/>
      <c r="AL42" s="234"/>
      <c r="AO42" s="234"/>
    </row>
    <row r="43" spans="2:41" ht="15.75" thickTop="1" x14ac:dyDescent="0.25">
      <c r="B43" s="193">
        <v>42593</v>
      </c>
      <c r="C43" s="10">
        <v>0</v>
      </c>
      <c r="D43" s="200"/>
      <c r="E43" s="40"/>
      <c r="F43" s="40">
        <v>281.95999999999998</v>
      </c>
      <c r="G43" s="40"/>
      <c r="H43" s="232"/>
      <c r="I43" s="40"/>
      <c r="T43" s="128" t="s">
        <v>98</v>
      </c>
      <c r="U43" s="129">
        <v>53.02</v>
      </c>
      <c r="W43" s="133">
        <v>42706</v>
      </c>
      <c r="X43" s="10">
        <v>50.26</v>
      </c>
      <c r="Y43" s="10">
        <v>50.68</v>
      </c>
      <c r="Z43" s="10">
        <v>50.11</v>
      </c>
      <c r="AA43" s="10">
        <v>50.46</v>
      </c>
      <c r="AB43" s="95">
        <v>6730200</v>
      </c>
      <c r="AC43" s="10">
        <v>50.46</v>
      </c>
      <c r="AE43" s="138"/>
    </row>
    <row r="44" spans="2:41" ht="20.25" thickBot="1" x14ac:dyDescent="0.35">
      <c r="B44" s="193"/>
      <c r="C44" s="10"/>
      <c r="D44" s="200"/>
      <c r="E44" s="40"/>
      <c r="F44" s="40"/>
      <c r="G44" s="40"/>
      <c r="H44" s="232"/>
      <c r="I44" s="40"/>
      <c r="O44" s="638" t="s">
        <v>78</v>
      </c>
      <c r="P44" s="638"/>
      <c r="T44" s="93" t="s">
        <v>99</v>
      </c>
      <c r="U44" s="130">
        <v>53</v>
      </c>
      <c r="W44" s="133">
        <v>42705</v>
      </c>
      <c r="X44" s="10">
        <v>50.11</v>
      </c>
      <c r="Y44" s="10">
        <v>51.25</v>
      </c>
      <c r="Z44" s="10">
        <v>50.06</v>
      </c>
      <c r="AA44" s="10">
        <v>50.65</v>
      </c>
      <c r="AB44" s="95">
        <v>7610100</v>
      </c>
      <c r="AC44" s="10">
        <v>50.65</v>
      </c>
      <c r="AE44" s="138"/>
    </row>
    <row r="45" spans="2:41" ht="15.75" thickTop="1" x14ac:dyDescent="0.25">
      <c r="B45" s="191" t="s">
        <v>114</v>
      </c>
      <c r="C45" s="191" t="s">
        <v>147</v>
      </c>
      <c r="D45" s="192" t="s">
        <v>146</v>
      </c>
      <c r="E45" s="194" t="s">
        <v>148</v>
      </c>
      <c r="F45" s="195" t="s">
        <v>65</v>
      </c>
      <c r="G45" s="229" t="s">
        <v>152</v>
      </c>
      <c r="H45" s="195" t="s">
        <v>88</v>
      </c>
      <c r="I45" s="229" t="s">
        <v>155</v>
      </c>
      <c r="O45" s="83">
        <v>1.1000000000000001</v>
      </c>
      <c r="P45" s="83">
        <f>O45*$Q$4</f>
        <v>57.596000000000004</v>
      </c>
      <c r="T45" s="93" t="s">
        <v>100</v>
      </c>
      <c r="U45" s="130" t="s">
        <v>129</v>
      </c>
      <c r="W45" s="133">
        <v>42705</v>
      </c>
      <c r="X45" s="10" t="s">
        <v>291</v>
      </c>
      <c r="Y45" s="10"/>
      <c r="Z45" s="10"/>
      <c r="AA45" s="10"/>
      <c r="AB45" s="95"/>
      <c r="AC45" s="10"/>
      <c r="AE45" s="138"/>
    </row>
    <row r="46" spans="2:41" x14ac:dyDescent="0.25">
      <c r="B46" s="266">
        <v>42640</v>
      </c>
      <c r="C46" s="261">
        <v>40</v>
      </c>
      <c r="D46" s="543">
        <v>52.68</v>
      </c>
      <c r="E46" s="262">
        <v>55.34</v>
      </c>
      <c r="F46" s="262">
        <f t="shared" ref="F46" si="28">-C46*(D46-E46)</f>
        <v>106.40000000000015</v>
      </c>
      <c r="G46" s="262">
        <f t="shared" ref="G46" si="29">IF(C46=0, 0,D46*C46)</f>
        <v>2107.1999999999998</v>
      </c>
      <c r="H46" s="274">
        <f t="shared" ref="H46" si="30">IF(C46=0, D46, (E46-D46)/D46)</f>
        <v>5.0493545937737354E-2</v>
      </c>
      <c r="I46" s="262" t="s">
        <v>260</v>
      </c>
      <c r="O46" s="83">
        <v>1.0900000000000001</v>
      </c>
      <c r="P46" s="83">
        <f t="shared" ref="P46:P65" si="31">O46*$Q$4</f>
        <v>57.072400000000002</v>
      </c>
      <c r="T46" s="93" t="s">
        <v>101</v>
      </c>
      <c r="U46" s="130" t="s">
        <v>129</v>
      </c>
      <c r="W46" s="133">
        <v>42704</v>
      </c>
      <c r="X46" s="10">
        <v>50.52</v>
      </c>
      <c r="Y46" s="10">
        <v>50.81</v>
      </c>
      <c r="Z46" s="10">
        <v>50.07</v>
      </c>
      <c r="AA46" s="10">
        <v>50.07</v>
      </c>
      <c r="AB46" s="95">
        <v>8198400</v>
      </c>
      <c r="AC46" s="10">
        <v>49.89</v>
      </c>
      <c r="AE46" s="138"/>
    </row>
    <row r="47" spans="2:41" x14ac:dyDescent="0.25">
      <c r="B47" s="266">
        <v>42641</v>
      </c>
      <c r="C47" s="261">
        <v>40</v>
      </c>
      <c r="D47" s="543">
        <v>52.68</v>
      </c>
      <c r="E47" s="262">
        <v>53.25</v>
      </c>
      <c r="F47" s="262">
        <f t="shared" ref="F47" si="32">-C47*(D47-E47)</f>
        <v>22.800000000000011</v>
      </c>
      <c r="G47" s="262">
        <f t="shared" ref="G47" si="33">IF(C47=0, 0,D47*C47)</f>
        <v>2107.1999999999998</v>
      </c>
      <c r="H47" s="274">
        <f t="shared" ref="H47" si="34">IF(C47=0, D47, (E47-D47)/D47)</f>
        <v>1.0820045558086565E-2</v>
      </c>
      <c r="I47" s="262"/>
      <c r="O47" s="83">
        <v>1.08</v>
      </c>
      <c r="P47" s="83">
        <f t="shared" si="31"/>
        <v>56.5488</v>
      </c>
      <c r="T47" s="93" t="s">
        <v>102</v>
      </c>
      <c r="U47" s="130">
        <v>61.81</v>
      </c>
      <c r="W47" s="133">
        <v>42703</v>
      </c>
      <c r="X47" s="10">
        <v>51.2</v>
      </c>
      <c r="Y47" s="10">
        <v>51.37</v>
      </c>
      <c r="Z47" s="10">
        <v>50.57</v>
      </c>
      <c r="AA47" s="10">
        <v>50.63</v>
      </c>
      <c r="AB47" s="95">
        <v>6065700</v>
      </c>
      <c r="AC47" s="10">
        <v>50.45</v>
      </c>
      <c r="AE47" s="138"/>
    </row>
    <row r="48" spans="2:41" x14ac:dyDescent="0.25">
      <c r="B48" s="266">
        <v>42668</v>
      </c>
      <c r="C48" s="261">
        <v>40</v>
      </c>
      <c r="D48" s="543">
        <v>52.68</v>
      </c>
      <c r="E48" s="262">
        <v>51.05</v>
      </c>
      <c r="F48" s="262">
        <f t="shared" ref="F48" si="35">-C48*(D48-E48)</f>
        <v>-65.200000000000102</v>
      </c>
      <c r="G48" s="262">
        <f t="shared" ref="G48" si="36">IF(C48=0, 0,D48*C48)</f>
        <v>2107.1999999999998</v>
      </c>
      <c r="H48" s="274">
        <f t="shared" ref="H48" si="37">IF(C48=0, D48, (E48-D48)/D48)</f>
        <v>-3.0941533788914247E-2</v>
      </c>
      <c r="I48" s="262"/>
      <c r="O48" s="83">
        <v>1.07</v>
      </c>
      <c r="P48" s="83">
        <f t="shared" si="31"/>
        <v>56.025200000000005</v>
      </c>
      <c r="T48" s="93" t="s">
        <v>103</v>
      </c>
      <c r="U48" s="130">
        <v>0.50433799999999995</v>
      </c>
      <c r="W48" s="133">
        <v>42702</v>
      </c>
      <c r="X48" s="10">
        <v>51.44</v>
      </c>
      <c r="Y48" s="10">
        <v>51.44</v>
      </c>
      <c r="Z48" s="10">
        <v>50.61</v>
      </c>
      <c r="AA48" s="10">
        <v>51.01</v>
      </c>
      <c r="AB48" s="95">
        <v>8602100</v>
      </c>
      <c r="AC48" s="10">
        <v>50.83</v>
      </c>
      <c r="AE48" s="138"/>
    </row>
    <row r="49" spans="1:41" x14ac:dyDescent="0.25">
      <c r="B49" s="266">
        <v>42674</v>
      </c>
      <c r="C49" s="261">
        <v>40</v>
      </c>
      <c r="D49" s="543">
        <v>52.68</v>
      </c>
      <c r="E49" s="262">
        <v>50.18</v>
      </c>
      <c r="F49" s="262">
        <f t="shared" ref="F49" si="38">-C49*(D49-E49)</f>
        <v>-100</v>
      </c>
      <c r="G49" s="262">
        <f t="shared" ref="G49" si="39">IF(C49=0, 0,D49*C49)</f>
        <v>2107.1999999999998</v>
      </c>
      <c r="H49" s="274">
        <f t="shared" ref="H49" si="40">IF(C49=0, D49, (E49-D49)/D49)</f>
        <v>-4.7456340167046321E-2</v>
      </c>
      <c r="I49" s="262"/>
      <c r="O49" s="83">
        <v>1.06</v>
      </c>
      <c r="P49" s="83">
        <f t="shared" si="31"/>
        <v>55.501600000000003</v>
      </c>
      <c r="T49" s="93" t="s">
        <v>122</v>
      </c>
      <c r="U49" s="130" t="s">
        <v>366</v>
      </c>
      <c r="W49" s="133">
        <v>42699</v>
      </c>
      <c r="X49" s="10">
        <v>51.68</v>
      </c>
      <c r="Y49" s="10">
        <v>51.74</v>
      </c>
      <c r="Z49" s="10">
        <v>51.35</v>
      </c>
      <c r="AA49" s="10">
        <v>51.52</v>
      </c>
      <c r="AB49" s="95">
        <v>2736800</v>
      </c>
      <c r="AC49" s="10">
        <v>51.33</v>
      </c>
      <c r="AE49" s="138"/>
    </row>
    <row r="50" spans="1:41" x14ac:dyDescent="0.25">
      <c r="B50" s="266">
        <v>42676</v>
      </c>
      <c r="C50" s="261">
        <v>40</v>
      </c>
      <c r="D50" s="543">
        <v>52.68</v>
      </c>
      <c r="E50" s="262">
        <v>49.72</v>
      </c>
      <c r="F50" s="262">
        <f t="shared" ref="F50" si="41">-C50*(D50-E50)</f>
        <v>-118.40000000000003</v>
      </c>
      <c r="G50" s="262">
        <f t="shared" ref="G50" si="42">IF(C50=0, 0,D50*C50)</f>
        <v>2107.1999999999998</v>
      </c>
      <c r="H50" s="274">
        <f t="shared" ref="H50" si="43">IF(C50=0, D50, (E50-D50)/D50)</f>
        <v>-5.6188306757782858E-2</v>
      </c>
      <c r="I50" s="262"/>
      <c r="O50" s="83">
        <v>1.05</v>
      </c>
      <c r="P50" s="83">
        <f t="shared" si="31"/>
        <v>54.978000000000002</v>
      </c>
      <c r="T50" s="93"/>
      <c r="U50" s="130"/>
      <c r="W50" s="133">
        <v>42697</v>
      </c>
      <c r="X50" s="10">
        <v>51.71</v>
      </c>
      <c r="Y50" s="10">
        <v>51.85</v>
      </c>
      <c r="Z50" s="10">
        <v>51.2</v>
      </c>
      <c r="AA50" s="10">
        <v>51.34</v>
      </c>
      <c r="AB50" s="95">
        <v>4141600</v>
      </c>
      <c r="AC50" s="10">
        <v>51.16</v>
      </c>
      <c r="AE50" s="138"/>
      <c r="AL50" s="234"/>
      <c r="AO50" s="234"/>
    </row>
    <row r="51" spans="1:41" x14ac:dyDescent="0.25">
      <c r="B51" s="266">
        <v>42701</v>
      </c>
      <c r="C51" s="261">
        <v>40</v>
      </c>
      <c r="D51" s="543">
        <v>52.68</v>
      </c>
      <c r="E51" s="262">
        <v>51.52</v>
      </c>
      <c r="F51" s="262">
        <f t="shared" ref="F51:F54" si="44">-C51*(D51-E51)</f>
        <v>-46.399999999999864</v>
      </c>
      <c r="G51" s="262">
        <f t="shared" ref="G51:G54" si="45">IF(C51=0, 0,D51*C51)</f>
        <v>2107.1999999999998</v>
      </c>
      <c r="H51" s="274">
        <f t="shared" ref="H51:H54" si="46">IF(C51=0, D51, (E51-D51)/D51)</f>
        <v>-2.2019741837509425E-2</v>
      </c>
      <c r="I51" s="262"/>
      <c r="O51" s="83">
        <v>1.04</v>
      </c>
      <c r="P51" s="83">
        <f t="shared" si="31"/>
        <v>54.4544</v>
      </c>
      <c r="T51" s="93" t="s">
        <v>105</v>
      </c>
      <c r="U51" s="130" t="s">
        <v>584</v>
      </c>
      <c r="W51" s="133">
        <v>42696</v>
      </c>
      <c r="X51" s="10">
        <v>51.47</v>
      </c>
      <c r="Y51" s="10">
        <v>51.75</v>
      </c>
      <c r="Z51" s="10">
        <v>51.05</v>
      </c>
      <c r="AA51" s="10">
        <v>51.71</v>
      </c>
      <c r="AB51" s="95">
        <v>5228100</v>
      </c>
      <c r="AC51" s="10">
        <v>51.52</v>
      </c>
      <c r="AE51" s="138"/>
    </row>
    <row r="52" spans="1:41" x14ac:dyDescent="0.25">
      <c r="B52" s="266">
        <v>42724</v>
      </c>
      <c r="C52" s="261">
        <v>40</v>
      </c>
      <c r="D52" s="543">
        <v>51.680500000000002</v>
      </c>
      <c r="E52" s="262">
        <v>51.79</v>
      </c>
      <c r="F52" s="262">
        <f t="shared" si="44"/>
        <v>4.3799999999998818</v>
      </c>
      <c r="G52" s="262">
        <f t="shared" si="45"/>
        <v>2067.2200000000003</v>
      </c>
      <c r="H52" s="274">
        <f t="shared" si="46"/>
        <v>2.1187875504299889E-3</v>
      </c>
      <c r="I52" s="262"/>
      <c r="O52" s="83">
        <v>1.03</v>
      </c>
      <c r="P52" s="83">
        <f t="shared" si="31"/>
        <v>53.930799999999998</v>
      </c>
      <c r="T52" s="93" t="s">
        <v>106</v>
      </c>
      <c r="U52" s="130" t="s">
        <v>367</v>
      </c>
      <c r="W52" s="133">
        <v>42695</v>
      </c>
      <c r="X52" s="10">
        <v>51</v>
      </c>
      <c r="Y52" s="10">
        <v>51.42</v>
      </c>
      <c r="Z52" s="10">
        <v>50.95</v>
      </c>
      <c r="AA52" s="10">
        <v>51.28</v>
      </c>
      <c r="AB52" s="95">
        <v>5357200</v>
      </c>
      <c r="AC52" s="10">
        <v>51.1</v>
      </c>
      <c r="AE52" s="138"/>
    </row>
    <row r="53" spans="1:41" x14ac:dyDescent="0.25">
      <c r="B53" s="266">
        <v>42739</v>
      </c>
      <c r="C53" s="261">
        <v>40</v>
      </c>
      <c r="D53" s="543">
        <v>51.500500000000002</v>
      </c>
      <c r="E53" s="262">
        <v>53.07</v>
      </c>
      <c r="F53" s="262">
        <f t="shared" si="44"/>
        <v>62.779999999999916</v>
      </c>
      <c r="G53" s="262">
        <f t="shared" si="45"/>
        <v>2060.02</v>
      </c>
      <c r="H53" s="274">
        <f t="shared" si="46"/>
        <v>3.0475432277356489E-2</v>
      </c>
      <c r="I53" s="262" t="s">
        <v>189</v>
      </c>
      <c r="O53" s="83">
        <v>1.02</v>
      </c>
      <c r="P53" s="83">
        <f t="shared" si="31"/>
        <v>53.407200000000003</v>
      </c>
      <c r="T53" s="93" t="s">
        <v>107</v>
      </c>
      <c r="U53" s="131">
        <v>7874179</v>
      </c>
      <c r="W53" s="133">
        <v>42692</v>
      </c>
      <c r="X53" s="10">
        <v>51.39</v>
      </c>
      <c r="Y53" s="10">
        <v>51.89</v>
      </c>
      <c r="Z53" s="10">
        <v>50.96</v>
      </c>
      <c r="AA53" s="10">
        <v>51.1</v>
      </c>
      <c r="AB53" s="95">
        <v>7461600</v>
      </c>
      <c r="AC53" s="10">
        <v>50.92</v>
      </c>
      <c r="AE53" s="138"/>
    </row>
    <row r="54" spans="1:41" x14ac:dyDescent="0.25">
      <c r="B54" s="266">
        <v>42741</v>
      </c>
      <c r="C54" s="261">
        <v>20</v>
      </c>
      <c r="D54" s="543">
        <v>49.067</v>
      </c>
      <c r="E54" s="262">
        <v>53.06</v>
      </c>
      <c r="F54" s="262">
        <f t="shared" si="44"/>
        <v>79.860000000000042</v>
      </c>
      <c r="G54" s="262">
        <f t="shared" si="45"/>
        <v>981.34</v>
      </c>
      <c r="H54" s="274">
        <f t="shared" si="46"/>
        <v>8.1378523243728004E-2</v>
      </c>
      <c r="I54" s="262"/>
      <c r="O54" s="83">
        <v>1.01</v>
      </c>
      <c r="P54" s="83">
        <f t="shared" si="31"/>
        <v>52.883600000000001</v>
      </c>
      <c r="T54" s="93" t="s">
        <v>110</v>
      </c>
      <c r="U54" s="131">
        <v>8858870</v>
      </c>
      <c r="W54" s="133">
        <v>42691</v>
      </c>
      <c r="X54" s="10">
        <v>50.94</v>
      </c>
      <c r="Y54" s="10">
        <v>51.67</v>
      </c>
      <c r="Z54" s="10">
        <v>50.72</v>
      </c>
      <c r="AA54" s="10">
        <v>51.59</v>
      </c>
      <c r="AB54" s="95">
        <v>7671600</v>
      </c>
      <c r="AC54" s="10">
        <v>51.4</v>
      </c>
      <c r="AE54" s="138"/>
      <c r="AL54" s="234"/>
      <c r="AO54" s="234"/>
    </row>
    <row r="55" spans="1:41" x14ac:dyDescent="0.25">
      <c r="B55" s="193">
        <v>42754</v>
      </c>
      <c r="C55" s="10">
        <v>20</v>
      </c>
      <c r="D55" s="200">
        <v>52.68</v>
      </c>
      <c r="E55" s="40">
        <v>52.93</v>
      </c>
      <c r="F55" s="40">
        <f t="shared" ref="F55" si="47">-C55*(D55-E55)</f>
        <v>5</v>
      </c>
      <c r="G55" s="40">
        <f t="shared" ref="G55" si="48">IF(C55=0, 0,D55*C55)</f>
        <v>1053.5999999999999</v>
      </c>
      <c r="H55" s="232">
        <f t="shared" ref="H55" si="49">IF(C55=0, D55, (E55-D55)/D55)</f>
        <v>4.7456340167046319E-3</v>
      </c>
      <c r="I55" s="40"/>
      <c r="O55" s="83">
        <v>1</v>
      </c>
      <c r="P55" s="83">
        <f t="shared" si="31"/>
        <v>52.36</v>
      </c>
      <c r="T55" s="93" t="s">
        <v>108</v>
      </c>
      <c r="U55" s="130" t="s">
        <v>585</v>
      </c>
      <c r="W55" s="133">
        <v>42690</v>
      </c>
      <c r="X55" s="10">
        <v>50</v>
      </c>
      <c r="Y55" s="10">
        <v>50.8</v>
      </c>
      <c r="Z55" s="10">
        <v>49.95</v>
      </c>
      <c r="AA55" s="10">
        <v>50.68</v>
      </c>
      <c r="AB55" s="95">
        <v>6760300</v>
      </c>
      <c r="AC55" s="10">
        <v>50.5</v>
      </c>
      <c r="AE55" s="138"/>
    </row>
    <row r="56" spans="1:41" x14ac:dyDescent="0.25">
      <c r="A56" t="s">
        <v>437</v>
      </c>
      <c r="B56" s="193">
        <v>42760</v>
      </c>
      <c r="C56" s="10">
        <v>20</v>
      </c>
      <c r="D56" s="200">
        <v>52.68</v>
      </c>
      <c r="E56" s="40">
        <v>53.86</v>
      </c>
      <c r="F56" s="40">
        <f t="shared" ref="F56:F57" si="50">-C56*(D56-E56)</f>
        <v>23.599999999999994</v>
      </c>
      <c r="G56" s="40">
        <f t="shared" ref="G56:G57" si="51">IF(C56=0, 0,D56*C56)</f>
        <v>1053.5999999999999</v>
      </c>
      <c r="H56" s="232">
        <f t="shared" ref="H56:H57" si="52">IF(C56=0, D56, (E56-D56)/D56)</f>
        <v>2.2399392558845856E-2</v>
      </c>
      <c r="I56" s="40"/>
      <c r="O56" s="83">
        <v>0.99</v>
      </c>
      <c r="P56" s="83">
        <f t="shared" si="31"/>
        <v>51.836399999999998</v>
      </c>
      <c r="T56" s="93" t="s">
        <v>111</v>
      </c>
      <c r="U56" s="130">
        <v>23.28</v>
      </c>
      <c r="W56" s="133">
        <v>42689</v>
      </c>
      <c r="X56" s="10">
        <v>50.46</v>
      </c>
      <c r="Y56" s="10">
        <v>50.64</v>
      </c>
      <c r="Z56" s="10">
        <v>49.75</v>
      </c>
      <c r="AA56" s="10">
        <v>50.13</v>
      </c>
      <c r="AB56" s="95">
        <v>9299800</v>
      </c>
      <c r="AC56" s="10">
        <v>49.95</v>
      </c>
      <c r="AE56" s="138"/>
    </row>
    <row r="57" spans="1:41" x14ac:dyDescent="0.25">
      <c r="A57" t="s">
        <v>493</v>
      </c>
      <c r="B57" s="193">
        <v>42766</v>
      </c>
      <c r="C57" s="10">
        <v>40</v>
      </c>
      <c r="D57" s="200">
        <v>52.2</v>
      </c>
      <c r="E57" s="40">
        <v>52.9</v>
      </c>
      <c r="F57" s="40">
        <f t="shared" si="50"/>
        <v>27.999999999999829</v>
      </c>
      <c r="G57" s="40">
        <f t="shared" si="51"/>
        <v>2088</v>
      </c>
      <c r="H57" s="232">
        <f t="shared" si="52"/>
        <v>1.3409961685823672E-2</v>
      </c>
      <c r="I57" s="40"/>
      <c r="O57" s="83">
        <v>0.98</v>
      </c>
      <c r="P57" s="83">
        <f t="shared" si="31"/>
        <v>51.312799999999996</v>
      </c>
      <c r="T57" s="93" t="s">
        <v>112</v>
      </c>
      <c r="U57" s="130">
        <v>2.27</v>
      </c>
      <c r="W57" s="133">
        <v>42688</v>
      </c>
      <c r="X57" s="10">
        <v>51.18</v>
      </c>
      <c r="Y57" s="10">
        <v>51.19</v>
      </c>
      <c r="Z57" s="10">
        <v>50.21</v>
      </c>
      <c r="AA57" s="10">
        <v>50.21</v>
      </c>
      <c r="AB57" s="95">
        <v>8063900</v>
      </c>
      <c r="AC57" s="10">
        <v>50.03</v>
      </c>
      <c r="AE57" s="138"/>
    </row>
    <row r="58" spans="1:41" x14ac:dyDescent="0.25">
      <c r="B58" s="193"/>
      <c r="C58" s="10"/>
      <c r="D58" s="200"/>
      <c r="E58" s="40"/>
      <c r="F58" s="40"/>
      <c r="G58" s="40"/>
      <c r="H58" s="232"/>
      <c r="I58" s="40"/>
      <c r="O58" s="83">
        <v>0.97</v>
      </c>
      <c r="P58" s="83">
        <f t="shared" si="31"/>
        <v>50.789200000000001</v>
      </c>
      <c r="T58" s="93" t="s">
        <v>109</v>
      </c>
      <c r="U58" s="130" t="s">
        <v>510</v>
      </c>
      <c r="W58" s="133">
        <v>42685</v>
      </c>
      <c r="X58" s="10">
        <v>50.22</v>
      </c>
      <c r="Y58" s="10">
        <v>50.85</v>
      </c>
      <c r="Z58" s="10">
        <v>50.18</v>
      </c>
      <c r="AA58" s="10">
        <v>50.77</v>
      </c>
      <c r="AB58" s="95">
        <v>6283600</v>
      </c>
      <c r="AC58" s="10">
        <v>50.59</v>
      </c>
      <c r="AE58" s="138"/>
      <c r="AL58" s="234"/>
      <c r="AO58" s="234"/>
    </row>
    <row r="59" spans="1:41" x14ac:dyDescent="0.25">
      <c r="B59" s="193"/>
      <c r="C59" s="10"/>
      <c r="D59" s="200"/>
      <c r="E59" s="40"/>
      <c r="F59" s="40"/>
      <c r="G59" s="40"/>
      <c r="H59" s="232"/>
      <c r="I59" s="40"/>
      <c r="O59" s="83">
        <v>0.96</v>
      </c>
      <c r="P59" s="83">
        <f t="shared" si="31"/>
        <v>50.265599999999999</v>
      </c>
      <c r="W59" s="133">
        <v>42684</v>
      </c>
      <c r="X59" s="10">
        <v>51.29</v>
      </c>
      <c r="Y59" s="10">
        <v>51.37</v>
      </c>
      <c r="Z59" s="10">
        <v>50.33</v>
      </c>
      <c r="AA59" s="10">
        <v>50.39</v>
      </c>
      <c r="AB59" s="95">
        <v>12316100</v>
      </c>
      <c r="AC59" s="10">
        <v>50.21</v>
      </c>
      <c r="AE59" s="138"/>
    </row>
    <row r="60" spans="1:41" x14ac:dyDescent="0.25">
      <c r="B60" s="193"/>
      <c r="C60" s="10"/>
      <c r="D60" s="200"/>
      <c r="E60" s="40"/>
      <c r="F60" s="40"/>
      <c r="G60" s="40"/>
      <c r="H60" s="232"/>
      <c r="I60" s="40"/>
      <c r="O60" s="83">
        <v>0.95</v>
      </c>
      <c r="P60" s="83">
        <f t="shared" si="31"/>
        <v>49.741999999999997</v>
      </c>
      <c r="W60" s="133">
        <v>42683</v>
      </c>
      <c r="X60" s="10">
        <v>50.07</v>
      </c>
      <c r="Y60" s="10">
        <v>51.27</v>
      </c>
      <c r="Z60" s="10">
        <v>49.8</v>
      </c>
      <c r="AA60" s="10">
        <v>51.12</v>
      </c>
      <c r="AB60" s="95">
        <v>9058600</v>
      </c>
      <c r="AC60" s="10">
        <v>50.94</v>
      </c>
      <c r="AE60" s="138"/>
    </row>
    <row r="61" spans="1:41" x14ac:dyDescent="0.25">
      <c r="B61" s="193"/>
      <c r="C61" s="10"/>
      <c r="D61" s="200"/>
      <c r="E61" s="40"/>
      <c r="F61" s="40"/>
      <c r="G61" s="40"/>
      <c r="H61" s="232"/>
      <c r="I61" s="40"/>
      <c r="O61" s="83">
        <v>0.94</v>
      </c>
      <c r="P61" s="83">
        <f t="shared" si="31"/>
        <v>49.218399999999995</v>
      </c>
      <c r="W61" s="133">
        <v>42682</v>
      </c>
      <c r="X61" s="10">
        <v>51.1</v>
      </c>
      <c r="Y61" s="10">
        <v>51.49</v>
      </c>
      <c r="Z61" s="10">
        <v>50.95</v>
      </c>
      <c r="AA61" s="10">
        <v>51.08</v>
      </c>
      <c r="AB61" s="95">
        <v>8107100</v>
      </c>
      <c r="AC61" s="10">
        <v>50.9</v>
      </c>
      <c r="AE61" s="138"/>
    </row>
    <row r="62" spans="1:41" x14ac:dyDescent="0.25">
      <c r="O62" s="83">
        <v>0.93</v>
      </c>
      <c r="P62" s="83">
        <f t="shared" si="31"/>
        <v>48.694800000000001</v>
      </c>
      <c r="W62" s="133">
        <v>42681</v>
      </c>
      <c r="X62" s="10">
        <v>50.48</v>
      </c>
      <c r="Y62" s="10">
        <v>50.93</v>
      </c>
      <c r="Z62" s="10">
        <v>50.28</v>
      </c>
      <c r="AA62" s="10">
        <v>50.91</v>
      </c>
      <c r="AB62" s="95">
        <v>8358700</v>
      </c>
      <c r="AC62" s="10">
        <v>50.73</v>
      </c>
      <c r="AE62" s="138"/>
    </row>
    <row r="63" spans="1:41" x14ac:dyDescent="0.25">
      <c r="L63" t="s">
        <v>65</v>
      </c>
      <c r="M63" s="2">
        <f>M81+K81-F81</f>
        <v>281.96000000000095</v>
      </c>
      <c r="O63" s="83">
        <v>0.92</v>
      </c>
      <c r="P63" s="83">
        <f t="shared" si="31"/>
        <v>48.171199999999999</v>
      </c>
      <c r="W63" s="133">
        <v>42678</v>
      </c>
      <c r="X63" s="10">
        <v>49.8</v>
      </c>
      <c r="Y63" s="10">
        <v>50.45</v>
      </c>
      <c r="Z63" s="10">
        <v>49.76</v>
      </c>
      <c r="AA63" s="10">
        <v>49.96</v>
      </c>
      <c r="AB63" s="95">
        <v>9925200</v>
      </c>
      <c r="AC63" s="10">
        <v>49.78</v>
      </c>
      <c r="AE63" s="138"/>
    </row>
    <row r="64" spans="1:41" x14ac:dyDescent="0.25">
      <c r="A64" s="32" t="s">
        <v>1</v>
      </c>
      <c r="B64" s="32" t="s">
        <v>2</v>
      </c>
      <c r="C64" s="32" t="s">
        <v>4</v>
      </c>
      <c r="D64" s="32" t="s">
        <v>5</v>
      </c>
      <c r="E64" s="32" t="s">
        <v>94</v>
      </c>
      <c r="F64" s="32" t="s">
        <v>60</v>
      </c>
      <c r="G64" s="32" t="s">
        <v>3</v>
      </c>
      <c r="H64" s="32" t="s">
        <v>6</v>
      </c>
      <c r="I64" s="498" t="s">
        <v>7</v>
      </c>
      <c r="J64" s="498" t="s">
        <v>95</v>
      </c>
      <c r="K64" s="498" t="s">
        <v>61</v>
      </c>
      <c r="L64" s="32" t="s">
        <v>37</v>
      </c>
      <c r="M64" s="32" t="s">
        <v>38</v>
      </c>
      <c r="O64" s="83">
        <v>0.91</v>
      </c>
      <c r="P64" s="83">
        <f t="shared" si="31"/>
        <v>47.647600000000004</v>
      </c>
      <c r="W64" s="133">
        <v>42677</v>
      </c>
      <c r="X64" s="10">
        <v>49.98</v>
      </c>
      <c r="Y64" s="10">
        <v>50</v>
      </c>
      <c r="Z64" s="10">
        <v>49.31</v>
      </c>
      <c r="AA64" s="10">
        <v>49.73</v>
      </c>
      <c r="AB64" s="95">
        <v>7678700</v>
      </c>
      <c r="AC64" s="10">
        <v>49.55</v>
      </c>
      <c r="AE64" s="138"/>
    </row>
    <row r="65" spans="1:31" x14ac:dyDescent="0.25">
      <c r="A65" s="265" t="s">
        <v>199</v>
      </c>
      <c r="B65" s="266">
        <v>42472</v>
      </c>
      <c r="C65" s="261">
        <v>50</v>
      </c>
      <c r="D65" s="262">
        <v>56.99</v>
      </c>
      <c r="E65" s="262">
        <v>0</v>
      </c>
      <c r="F65" s="262">
        <f>C65*D65+E65</f>
        <v>2849.5</v>
      </c>
      <c r="G65" s="266">
        <v>42550</v>
      </c>
      <c r="H65" s="267">
        <v>50</v>
      </c>
      <c r="I65" s="262">
        <v>54.95</v>
      </c>
      <c r="J65" s="262">
        <v>7.01</v>
      </c>
      <c r="K65" s="262">
        <f>I65*H65-J65</f>
        <v>2740.49</v>
      </c>
      <c r="L65" s="266">
        <v>42556</v>
      </c>
      <c r="M65" s="262">
        <v>11.2</v>
      </c>
      <c r="O65" s="83">
        <v>0.9</v>
      </c>
      <c r="P65" s="83">
        <f t="shared" si="31"/>
        <v>47.124000000000002</v>
      </c>
      <c r="W65" s="133">
        <v>42676</v>
      </c>
      <c r="X65" s="10">
        <v>49.24</v>
      </c>
      <c r="Y65" s="10">
        <v>50.27</v>
      </c>
      <c r="Z65" s="10">
        <v>49.01</v>
      </c>
      <c r="AA65" s="10">
        <v>49.72</v>
      </c>
      <c r="AB65" s="95">
        <v>10775900</v>
      </c>
      <c r="AC65" s="10">
        <v>49.54</v>
      </c>
      <c r="AE65" s="138"/>
    </row>
    <row r="66" spans="1:31" x14ac:dyDescent="0.25">
      <c r="A66" s="268" t="s">
        <v>71</v>
      </c>
      <c r="B66" s="266">
        <v>42521</v>
      </c>
      <c r="C66" s="261">
        <v>20</v>
      </c>
      <c r="D66" s="262">
        <v>55.21</v>
      </c>
      <c r="E66" s="262">
        <v>0</v>
      </c>
      <c r="F66" s="262">
        <f>C66*D66+E66</f>
        <v>1104.2</v>
      </c>
      <c r="G66" s="266"/>
      <c r="H66" s="267"/>
      <c r="I66" s="262"/>
      <c r="J66" s="262"/>
      <c r="K66" s="262"/>
      <c r="L66" s="261" t="s">
        <v>247</v>
      </c>
      <c r="M66" s="261"/>
      <c r="W66" s="133">
        <v>42675</v>
      </c>
      <c r="X66" s="10">
        <v>50.5</v>
      </c>
      <c r="Y66" s="10">
        <v>50.51</v>
      </c>
      <c r="Z66" s="10">
        <v>49.14</v>
      </c>
      <c r="AA66" s="10">
        <v>49.62</v>
      </c>
      <c r="AB66" s="95">
        <v>14100400</v>
      </c>
      <c r="AC66" s="10">
        <v>49.44</v>
      </c>
      <c r="AE66" s="138"/>
    </row>
    <row r="67" spans="1:31" x14ac:dyDescent="0.25">
      <c r="A67" s="261"/>
      <c r="B67" s="266">
        <v>42524</v>
      </c>
      <c r="C67" s="261">
        <v>30</v>
      </c>
      <c r="D67" s="262">
        <v>53.75</v>
      </c>
      <c r="E67" s="262">
        <v>0</v>
      </c>
      <c r="F67" s="262">
        <f>C67*D67+E67</f>
        <v>1612.5</v>
      </c>
      <c r="G67" s="266"/>
      <c r="H67" s="267"/>
      <c r="I67" s="262"/>
      <c r="J67" s="262"/>
      <c r="K67" s="262"/>
      <c r="L67" s="261"/>
      <c r="M67" s="261"/>
      <c r="W67" s="133">
        <v>42674</v>
      </c>
      <c r="X67" s="10">
        <v>50.88</v>
      </c>
      <c r="Y67" s="10">
        <v>51.15</v>
      </c>
      <c r="Z67" s="10">
        <v>50</v>
      </c>
      <c r="AA67" s="10">
        <v>50.18</v>
      </c>
      <c r="AB67" s="95">
        <v>17931300</v>
      </c>
      <c r="AC67" s="10">
        <v>50</v>
      </c>
      <c r="AE67" s="138"/>
    </row>
    <row r="68" spans="1:31" x14ac:dyDescent="0.25">
      <c r="A68" s="261"/>
      <c r="B68" s="266">
        <v>42524</v>
      </c>
      <c r="C68" s="261">
        <v>20</v>
      </c>
      <c r="D68" s="262">
        <v>53.4</v>
      </c>
      <c r="E68" s="262">
        <v>0</v>
      </c>
      <c r="F68" s="262">
        <f>C68*D68+E68</f>
        <v>1068</v>
      </c>
      <c r="G68" s="266">
        <v>42563</v>
      </c>
      <c r="H68" s="267">
        <v>70</v>
      </c>
      <c r="I68" s="262">
        <v>57.78</v>
      </c>
      <c r="J68" s="262">
        <v>0.09</v>
      </c>
      <c r="K68" s="262">
        <f>I68*H68-J68</f>
        <v>4044.5099999999998</v>
      </c>
      <c r="L68" s="261"/>
      <c r="M68" s="261"/>
      <c r="W68" s="133">
        <v>42671</v>
      </c>
      <c r="X68" s="10">
        <v>52.12</v>
      </c>
      <c r="Y68" s="10">
        <v>52.5</v>
      </c>
      <c r="Z68" s="10">
        <v>51.79</v>
      </c>
      <c r="AA68" s="10">
        <v>52.02</v>
      </c>
      <c r="AB68" s="95">
        <v>9096700</v>
      </c>
      <c r="AC68" s="10">
        <v>51.83</v>
      </c>
      <c r="AE68" s="138"/>
    </row>
    <row r="69" spans="1:31" x14ac:dyDescent="0.25">
      <c r="A69" s="261"/>
      <c r="B69" s="266">
        <v>42545</v>
      </c>
      <c r="C69" s="261">
        <v>30</v>
      </c>
      <c r="D69" s="262">
        <v>52.38</v>
      </c>
      <c r="E69" s="262">
        <v>0</v>
      </c>
      <c r="F69" s="262">
        <f>C69*D69+E69</f>
        <v>1571.4</v>
      </c>
      <c r="G69" s="266">
        <v>42593</v>
      </c>
      <c r="H69" s="267">
        <v>30</v>
      </c>
      <c r="I69" s="262">
        <v>56.38</v>
      </c>
      <c r="J69" s="262">
        <v>0.04</v>
      </c>
      <c r="K69" s="262">
        <f>I69*H69-J69</f>
        <v>1691.3600000000001</v>
      </c>
      <c r="L69" s="261"/>
      <c r="M69" s="261"/>
      <c r="W69" s="284" t="s">
        <v>121</v>
      </c>
      <c r="AB69" s="235"/>
    </row>
    <row r="70" spans="1:31" x14ac:dyDescent="0.25">
      <c r="A70" s="261"/>
      <c r="B70" s="261"/>
      <c r="C70" s="261"/>
      <c r="D70" s="262"/>
      <c r="E70" s="262"/>
      <c r="F70" s="262"/>
      <c r="G70" s="261"/>
      <c r="H70" s="267"/>
      <c r="I70" s="262"/>
      <c r="J70" s="262"/>
      <c r="K70" s="262"/>
      <c r="L70" s="261"/>
      <c r="M70" s="261"/>
    </row>
    <row r="71" spans="1:31" x14ac:dyDescent="0.25">
      <c r="A71" s="261"/>
      <c r="B71" s="261"/>
      <c r="C71" s="261"/>
      <c r="D71" s="261"/>
      <c r="E71" s="261"/>
      <c r="F71" s="261"/>
      <c r="G71" s="261"/>
      <c r="H71" s="267"/>
      <c r="I71" s="262"/>
      <c r="J71" s="262"/>
      <c r="K71" s="262"/>
      <c r="L71" s="261"/>
      <c r="M71" s="261"/>
    </row>
    <row r="72" spans="1:31" x14ac:dyDescent="0.25">
      <c r="A72" s="261"/>
      <c r="B72" s="261"/>
      <c r="C72" s="261"/>
      <c r="D72" s="261"/>
      <c r="E72" s="261"/>
      <c r="F72" s="261"/>
      <c r="G72" s="261"/>
      <c r="H72" s="267"/>
      <c r="I72" s="262"/>
      <c r="J72" s="262"/>
      <c r="K72" s="262"/>
      <c r="L72" s="261"/>
      <c r="M72" s="261"/>
    </row>
    <row r="73" spans="1:31" x14ac:dyDescent="0.25">
      <c r="A73" s="261"/>
      <c r="B73" s="261"/>
      <c r="C73" s="261"/>
      <c r="D73" s="261"/>
      <c r="E73" s="261"/>
      <c r="F73" s="261"/>
      <c r="G73" s="261"/>
      <c r="H73" s="267"/>
      <c r="I73" s="262"/>
      <c r="J73" s="262"/>
      <c r="K73" s="262"/>
      <c r="L73" s="261"/>
      <c r="M73" s="261"/>
    </row>
    <row r="74" spans="1:31" x14ac:dyDescent="0.25">
      <c r="A74" s="261"/>
      <c r="B74" s="261"/>
      <c r="C74" s="261"/>
      <c r="D74" s="261"/>
      <c r="E74" s="261"/>
      <c r="F74" s="261"/>
      <c r="G74" s="261"/>
      <c r="H74" s="267"/>
      <c r="I74" s="262"/>
      <c r="J74" s="262"/>
      <c r="K74" s="262"/>
      <c r="L74" s="261"/>
      <c r="M74" s="261"/>
    </row>
    <row r="75" spans="1:31" x14ac:dyDescent="0.25">
      <c r="A75" s="261"/>
      <c r="B75" s="261"/>
      <c r="C75" s="261"/>
      <c r="D75" s="261"/>
      <c r="E75" s="261"/>
      <c r="F75" s="261"/>
      <c r="G75" s="261"/>
      <c r="H75" s="267"/>
      <c r="I75" s="262"/>
      <c r="J75" s="262"/>
      <c r="K75" s="262"/>
      <c r="L75" s="261"/>
      <c r="M75" s="261"/>
    </row>
    <row r="76" spans="1:31" x14ac:dyDescent="0.25">
      <c r="A76" s="261"/>
      <c r="B76" s="261"/>
      <c r="C76" s="261"/>
      <c r="D76" s="261"/>
      <c r="E76" s="261"/>
      <c r="F76" s="261"/>
      <c r="G76" s="261"/>
      <c r="H76" s="267"/>
      <c r="I76" s="262"/>
      <c r="J76" s="262"/>
      <c r="K76" s="262"/>
      <c r="L76" s="261"/>
      <c r="M76" s="261"/>
    </row>
    <row r="77" spans="1:31" x14ac:dyDescent="0.25">
      <c r="A77" s="261"/>
      <c r="B77" s="261"/>
      <c r="C77" s="261"/>
      <c r="D77" s="261"/>
      <c r="E77" s="261"/>
      <c r="F77" s="261"/>
      <c r="G77" s="261"/>
      <c r="H77" s="267"/>
      <c r="I77" s="262"/>
      <c r="J77" s="262"/>
      <c r="K77" s="262"/>
      <c r="L77" s="261"/>
      <c r="M77" s="261"/>
    </row>
    <row r="78" spans="1:31" x14ac:dyDescent="0.25">
      <c r="A78" s="261"/>
      <c r="B78" s="261"/>
      <c r="C78" s="261"/>
      <c r="D78" s="261"/>
      <c r="E78" s="261"/>
      <c r="F78" s="261"/>
      <c r="G78" s="261"/>
      <c r="H78" s="267"/>
      <c r="I78" s="262"/>
      <c r="J78" s="262"/>
      <c r="K78" s="262"/>
      <c r="L78" s="261"/>
      <c r="M78" s="261"/>
    </row>
    <row r="79" spans="1:31" x14ac:dyDescent="0.25">
      <c r="A79" s="261"/>
      <c r="B79" s="261"/>
      <c r="C79" s="261"/>
      <c r="D79" s="261"/>
      <c r="E79" s="261"/>
      <c r="F79" s="261"/>
      <c r="G79" s="261"/>
      <c r="H79" s="267"/>
      <c r="I79" s="262"/>
      <c r="J79" s="262"/>
      <c r="K79" s="262"/>
      <c r="L79" s="261"/>
      <c r="M79" s="261"/>
    </row>
    <row r="80" spans="1:31" x14ac:dyDescent="0.25">
      <c r="A80" s="261"/>
      <c r="B80" s="261"/>
      <c r="C80" s="261"/>
      <c r="D80" s="261"/>
      <c r="E80" s="261"/>
      <c r="F80" s="261"/>
      <c r="G80" s="261"/>
      <c r="H80" s="267"/>
      <c r="I80" s="262"/>
      <c r="J80" s="262"/>
      <c r="K80" s="262"/>
      <c r="L80" s="261"/>
      <c r="M80" s="261"/>
    </row>
    <row r="81" spans="1:13" x14ac:dyDescent="0.25">
      <c r="A81" s="32" t="s">
        <v>81</v>
      </c>
      <c r="B81" s="14"/>
      <c r="C81" s="14">
        <f>SUM(C65:C70)</f>
        <v>150</v>
      </c>
      <c r="D81" s="14"/>
      <c r="E81" s="14"/>
      <c r="F81" s="18">
        <f>SUM(F65:F70)</f>
        <v>8205.6</v>
      </c>
      <c r="G81" s="14"/>
      <c r="H81" s="14">
        <f>SUM(H65:H80)</f>
        <v>150</v>
      </c>
      <c r="I81" s="18"/>
      <c r="J81" s="18"/>
      <c r="K81" s="18">
        <f>SUM(K65:K80)</f>
        <v>8476.36</v>
      </c>
      <c r="L81" s="18"/>
      <c r="M81" s="18">
        <f t="shared" ref="M81" si="53">SUM(M65:M80)</f>
        <v>11.2</v>
      </c>
    </row>
    <row r="82" spans="1:13" ht="15.75" thickBot="1" x14ac:dyDescent="0.3">
      <c r="A82" s="467" t="s">
        <v>198</v>
      </c>
      <c r="B82" s="468"/>
      <c r="C82" s="469">
        <f>SumByColor($A$19,C65:C80)</f>
        <v>0</v>
      </c>
      <c r="D82" s="469"/>
      <c r="E82" s="469"/>
      <c r="F82" s="470">
        <f>SumByColor($A$19,F65:F68)</f>
        <v>0</v>
      </c>
      <c r="G82" s="469"/>
      <c r="H82" s="469">
        <f>SumByColor($A$19,H65:H80)</f>
        <v>0</v>
      </c>
      <c r="I82" s="469"/>
      <c r="J82" s="469"/>
      <c r="K82" s="470">
        <f>SumByColor($A$19,K65:K80)</f>
        <v>0</v>
      </c>
      <c r="L82" s="469"/>
      <c r="M82" s="470">
        <f>SumByColor($A$19,M65:M80)</f>
        <v>0</v>
      </c>
    </row>
    <row r="84" spans="1:13" x14ac:dyDescent="0.25">
      <c r="L84" t="s">
        <v>65</v>
      </c>
      <c r="M84" s="2">
        <f>M102+K102-F102</f>
        <v>72.260000000000218</v>
      </c>
    </row>
    <row r="85" spans="1:13" x14ac:dyDescent="0.25">
      <c r="A85" s="22" t="s">
        <v>1</v>
      </c>
      <c r="B85" s="22" t="s">
        <v>2</v>
      </c>
      <c r="C85" s="22" t="s">
        <v>4</v>
      </c>
      <c r="D85" s="22" t="s">
        <v>5</v>
      </c>
      <c r="E85" s="22" t="s">
        <v>94</v>
      </c>
      <c r="F85" s="22" t="s">
        <v>60</v>
      </c>
      <c r="G85" s="22" t="s">
        <v>3</v>
      </c>
      <c r="H85" s="22" t="s">
        <v>6</v>
      </c>
      <c r="I85" s="39" t="s">
        <v>7</v>
      </c>
      <c r="J85" s="39" t="s">
        <v>95</v>
      </c>
      <c r="K85" s="39" t="s">
        <v>61</v>
      </c>
      <c r="L85" s="22" t="s">
        <v>37</v>
      </c>
      <c r="M85" s="22" t="s">
        <v>38</v>
      </c>
    </row>
    <row r="86" spans="1:13" x14ac:dyDescent="0.25">
      <c r="A86" s="390" t="s">
        <v>199</v>
      </c>
      <c r="B86" s="380">
        <v>42640</v>
      </c>
      <c r="C86" s="381">
        <v>20</v>
      </c>
      <c r="D86" s="382">
        <v>52.68</v>
      </c>
      <c r="E86" s="382">
        <v>0</v>
      </c>
      <c r="F86" s="382">
        <f>C86*D86+E86</f>
        <v>1053.5999999999999</v>
      </c>
      <c r="G86" s="380">
        <v>42724</v>
      </c>
      <c r="H86" s="381">
        <v>20</v>
      </c>
      <c r="I86" s="382">
        <v>54.68</v>
      </c>
      <c r="J86" s="382">
        <v>0.02</v>
      </c>
      <c r="K86" s="382">
        <f>H86*I86-J86</f>
        <v>1093.58</v>
      </c>
      <c r="L86" s="380">
        <v>42739</v>
      </c>
      <c r="M86" s="382">
        <v>7.2</v>
      </c>
    </row>
    <row r="87" spans="1:13" x14ac:dyDescent="0.25">
      <c r="A87" s="391" t="s">
        <v>71</v>
      </c>
      <c r="B87" s="380">
        <v>42640</v>
      </c>
      <c r="C87" s="381">
        <v>20</v>
      </c>
      <c r="D87" s="382">
        <v>52.68</v>
      </c>
      <c r="E87" s="382">
        <v>0</v>
      </c>
      <c r="F87" s="382">
        <f>C87*D87+E87</f>
        <v>1053.5999999999999</v>
      </c>
      <c r="G87" s="380">
        <v>42741</v>
      </c>
      <c r="H87" s="385">
        <v>20</v>
      </c>
      <c r="I87" s="382">
        <v>53.94</v>
      </c>
      <c r="J87" s="382">
        <v>0.12</v>
      </c>
      <c r="K87" s="382">
        <f>H87*I87-J87</f>
        <v>1078.68</v>
      </c>
      <c r="L87" s="381"/>
      <c r="M87" s="381"/>
    </row>
    <row r="88" spans="1:13" x14ac:dyDescent="0.25">
      <c r="A88" s="381"/>
      <c r="B88" s="380"/>
      <c r="C88" s="381"/>
      <c r="D88" s="382"/>
      <c r="E88" s="382"/>
      <c r="F88" s="382"/>
      <c r="G88" s="380"/>
      <c r="H88" s="385"/>
      <c r="I88" s="382"/>
      <c r="J88" s="382"/>
      <c r="K88" s="382"/>
      <c r="L88" s="381"/>
      <c r="M88" s="381"/>
    </row>
    <row r="89" spans="1:13" x14ac:dyDescent="0.25">
      <c r="A89" s="381"/>
      <c r="B89" s="380"/>
      <c r="C89" s="381"/>
      <c r="D89" s="382"/>
      <c r="E89" s="382"/>
      <c r="F89" s="382"/>
      <c r="G89" s="380"/>
      <c r="H89" s="385"/>
      <c r="I89" s="382"/>
      <c r="J89" s="382"/>
      <c r="K89" s="382"/>
      <c r="L89" s="381"/>
      <c r="M89" s="381"/>
    </row>
    <row r="90" spans="1:13" x14ac:dyDescent="0.25">
      <c r="A90" s="381"/>
      <c r="B90" s="380"/>
      <c r="C90" s="381"/>
      <c r="D90" s="382"/>
      <c r="E90" s="382"/>
      <c r="F90" s="382"/>
      <c r="G90" s="380"/>
      <c r="H90" s="385"/>
      <c r="I90" s="382"/>
      <c r="J90" s="382"/>
      <c r="K90" s="382"/>
      <c r="L90" s="381"/>
      <c r="M90" s="381"/>
    </row>
    <row r="91" spans="1:13" x14ac:dyDescent="0.25">
      <c r="A91" s="381"/>
      <c r="B91" s="381"/>
      <c r="C91" s="381"/>
      <c r="D91" s="382"/>
      <c r="E91" s="382"/>
      <c r="F91" s="382"/>
      <c r="G91" s="381"/>
      <c r="H91" s="385"/>
      <c r="I91" s="382"/>
      <c r="J91" s="382"/>
      <c r="K91" s="382"/>
      <c r="L91" s="381"/>
      <c r="M91" s="381"/>
    </row>
    <row r="92" spans="1:13" x14ac:dyDescent="0.25">
      <c r="A92" s="381"/>
      <c r="B92" s="381"/>
      <c r="C92" s="381"/>
      <c r="D92" s="381"/>
      <c r="E92" s="381"/>
      <c r="F92" s="381"/>
      <c r="G92" s="381"/>
      <c r="H92" s="385"/>
      <c r="I92" s="382"/>
      <c r="J92" s="382"/>
      <c r="K92" s="382"/>
      <c r="L92" s="381"/>
      <c r="M92" s="381"/>
    </row>
    <row r="93" spans="1:13" x14ac:dyDescent="0.25">
      <c r="A93" s="381"/>
      <c r="B93" s="381"/>
      <c r="C93" s="381"/>
      <c r="D93" s="381"/>
      <c r="E93" s="381"/>
      <c r="F93" s="381"/>
      <c r="G93" s="381"/>
      <c r="H93" s="385"/>
      <c r="I93" s="382"/>
      <c r="J93" s="382"/>
      <c r="K93" s="382"/>
      <c r="L93" s="381"/>
      <c r="M93" s="381"/>
    </row>
    <row r="94" spans="1:13" x14ac:dyDescent="0.25">
      <c r="A94" s="381"/>
      <c r="B94" s="381"/>
      <c r="C94" s="381"/>
      <c r="D94" s="381"/>
      <c r="E94" s="381"/>
      <c r="F94" s="381"/>
      <c r="G94" s="381"/>
      <c r="H94" s="385"/>
      <c r="I94" s="382"/>
      <c r="J94" s="382"/>
      <c r="K94" s="382"/>
      <c r="L94" s="381"/>
      <c r="M94" s="381"/>
    </row>
    <row r="95" spans="1:13" x14ac:dyDescent="0.25">
      <c r="A95" s="381"/>
      <c r="B95" s="381"/>
      <c r="C95" s="381"/>
      <c r="D95" s="381"/>
      <c r="E95" s="381"/>
      <c r="F95" s="381"/>
      <c r="G95" s="381"/>
      <c r="H95" s="385"/>
      <c r="I95" s="382"/>
      <c r="J95" s="382"/>
      <c r="K95" s="382"/>
      <c r="L95" s="381"/>
      <c r="M95" s="381"/>
    </row>
    <row r="96" spans="1:13" x14ac:dyDescent="0.25">
      <c r="A96" s="381"/>
      <c r="B96" s="381"/>
      <c r="C96" s="381"/>
      <c r="D96" s="381"/>
      <c r="E96" s="381"/>
      <c r="F96" s="381"/>
      <c r="G96" s="381"/>
      <c r="H96" s="385"/>
      <c r="I96" s="382"/>
      <c r="J96" s="382"/>
      <c r="K96" s="382"/>
      <c r="L96" s="381"/>
      <c r="M96" s="381"/>
    </row>
    <row r="97" spans="1:13" x14ac:dyDescent="0.25">
      <c r="A97" s="381"/>
      <c r="B97" s="381"/>
      <c r="C97" s="381"/>
      <c r="D97" s="381"/>
      <c r="E97" s="381"/>
      <c r="F97" s="381"/>
      <c r="G97" s="381"/>
      <c r="H97" s="385"/>
      <c r="I97" s="382"/>
      <c r="J97" s="382"/>
      <c r="K97" s="382"/>
      <c r="L97" s="381"/>
      <c r="M97" s="381"/>
    </row>
    <row r="98" spans="1:13" x14ac:dyDescent="0.25">
      <c r="A98" s="381"/>
      <c r="B98" s="381"/>
      <c r="C98" s="381"/>
      <c r="D98" s="381"/>
      <c r="E98" s="381"/>
      <c r="F98" s="381"/>
      <c r="G98" s="381"/>
      <c r="H98" s="385"/>
      <c r="I98" s="382"/>
      <c r="J98" s="382"/>
      <c r="K98" s="382"/>
      <c r="L98" s="381"/>
      <c r="M98" s="381"/>
    </row>
    <row r="99" spans="1:13" x14ac:dyDescent="0.25">
      <c r="A99" s="381"/>
      <c r="B99" s="381"/>
      <c r="C99" s="381"/>
      <c r="D99" s="381"/>
      <c r="E99" s="381"/>
      <c r="F99" s="381"/>
      <c r="G99" s="381"/>
      <c r="H99" s="385"/>
      <c r="I99" s="382"/>
      <c r="J99" s="382"/>
      <c r="K99" s="382"/>
      <c r="L99" s="381"/>
      <c r="M99" s="381"/>
    </row>
    <row r="100" spans="1:13" x14ac:dyDescent="0.25">
      <c r="A100" s="381"/>
      <c r="B100" s="381"/>
      <c r="C100" s="381"/>
      <c r="D100" s="381"/>
      <c r="E100" s="381"/>
      <c r="F100" s="381"/>
      <c r="G100" s="381"/>
      <c r="H100" s="385"/>
      <c r="I100" s="382"/>
      <c r="J100" s="382"/>
      <c r="K100" s="382"/>
      <c r="L100" s="381"/>
      <c r="M100" s="381"/>
    </row>
    <row r="101" spans="1:13" x14ac:dyDescent="0.25">
      <c r="A101" s="381"/>
      <c r="B101" s="381"/>
      <c r="C101" s="381"/>
      <c r="D101" s="381"/>
      <c r="E101" s="381"/>
      <c r="F101" s="381"/>
      <c r="G101" s="381"/>
      <c r="H101" s="385"/>
      <c r="I101" s="382"/>
      <c r="J101" s="382"/>
      <c r="K101" s="382"/>
      <c r="L101" s="381"/>
      <c r="M101" s="381"/>
    </row>
    <row r="102" spans="1:13" x14ac:dyDescent="0.25">
      <c r="A102" s="22" t="s">
        <v>81</v>
      </c>
      <c r="B102" s="12"/>
      <c r="C102" s="12">
        <f>SUM(C86:C91)</f>
        <v>40</v>
      </c>
      <c r="D102" s="12"/>
      <c r="E102" s="12"/>
      <c r="F102" s="13">
        <f>SUM(F86:F91)</f>
        <v>2107.1999999999998</v>
      </c>
      <c r="G102" s="12"/>
      <c r="H102" s="12">
        <f>SUM(H86:H101)</f>
        <v>40</v>
      </c>
      <c r="I102" s="13"/>
      <c r="J102" s="13"/>
      <c r="K102" s="13">
        <f>SUM(K86:K101)</f>
        <v>2172.2600000000002</v>
      </c>
      <c r="L102" s="13"/>
      <c r="M102" s="13">
        <f t="shared" ref="M102" si="54">SUM(M86:M101)</f>
        <v>7.2</v>
      </c>
    </row>
    <row r="103" spans="1:13" ht="15.75" thickBot="1" x14ac:dyDescent="0.3">
      <c r="A103" s="472" t="s">
        <v>198</v>
      </c>
      <c r="B103" s="473"/>
      <c r="C103" s="474">
        <f>SumByColor($A$19,C86:C101)</f>
        <v>0</v>
      </c>
      <c r="D103" s="474"/>
      <c r="E103" s="474"/>
      <c r="F103" s="475">
        <f>SumByColor($A$19,F86:F89)</f>
        <v>0</v>
      </c>
      <c r="G103" s="474"/>
      <c r="H103" s="474">
        <f>SumByColor($A$19,H86:H101)</f>
        <v>0</v>
      </c>
      <c r="I103" s="474"/>
      <c r="J103" s="474"/>
      <c r="K103" s="475">
        <f>SumByColor($A$19,K86:K101)</f>
        <v>0</v>
      </c>
      <c r="L103" s="474"/>
      <c r="M103" s="475">
        <f>SumByColor($A$19,M86:M101)</f>
        <v>0</v>
      </c>
    </row>
  </sheetData>
  <mergeCells count="1">
    <mergeCell ref="O44:P44"/>
  </mergeCells>
  <conditionalFormatting sqref="P16:P28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4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43">
      <iconSet iconSet="3Arrows">
        <cfvo type="percent" val="0"/>
        <cfvo type="num" val="0"/>
        <cfvo type="num" val="0"/>
      </iconSet>
    </cfRule>
  </conditionalFormatting>
  <conditionalFormatting sqref="F27:F33 F35:F44">
    <cfRule type="expression" dxfId="637" priority="41">
      <formula>F27&gt;0</formula>
    </cfRule>
    <cfRule type="expression" dxfId="636" priority="42">
      <formula>F27&lt;0</formula>
    </cfRule>
  </conditionalFormatting>
  <conditionalFormatting sqref="H27:H33 H35:H44">
    <cfRule type="expression" dxfId="635" priority="37">
      <formula>H27&gt;0</formula>
    </cfRule>
    <cfRule type="expression" dxfId="634" priority="38">
      <formula>H27&lt;0</formula>
    </cfRule>
  </conditionalFormatting>
  <conditionalFormatting sqref="F23:F26">
    <cfRule type="expression" dxfId="633" priority="23">
      <formula>F23&gt;0</formula>
    </cfRule>
    <cfRule type="expression" dxfId="632" priority="24">
      <formula>F23&lt;0</formula>
    </cfRule>
  </conditionalFormatting>
  <conditionalFormatting sqref="H23:H26">
    <cfRule type="expression" dxfId="631" priority="21">
      <formula>H23&gt;0</formula>
    </cfRule>
    <cfRule type="expression" dxfId="630" priority="22">
      <formula>H23&lt;0</formula>
    </cfRule>
  </conditionalFormatting>
  <conditionalFormatting sqref="Q8">
    <cfRule type="expression" dxfId="629" priority="17">
      <formula>Q8&gt;0</formula>
    </cfRule>
    <cfRule type="expression" dxfId="628" priority="18">
      <formula>Q8&lt;0</formula>
    </cfRule>
  </conditionalFormatting>
  <conditionalFormatting sqref="Q7">
    <cfRule type="expression" dxfId="627" priority="19">
      <formula>Q7&gt;0</formula>
    </cfRule>
    <cfRule type="expression" dxfId="626" priority="20">
      <formula>Q7&lt;0</formula>
    </cfRule>
  </conditionalFormatting>
  <conditionalFormatting sqref="F34">
    <cfRule type="expression" dxfId="625" priority="15">
      <formula>F34&gt;0</formula>
    </cfRule>
    <cfRule type="expression" dxfId="624" priority="16">
      <formula>F34&lt;0</formula>
    </cfRule>
  </conditionalFormatting>
  <conditionalFormatting sqref="H34">
    <cfRule type="expression" dxfId="623" priority="13">
      <formula>H34&gt;0</formula>
    </cfRule>
    <cfRule type="expression" dxfId="622" priority="14">
      <formula>H34&lt;0</formula>
    </cfRule>
  </conditionalFormatting>
  <conditionalFormatting sqref="F46:F51">
    <cfRule type="expression" dxfId="621" priority="11">
      <formula>F46&gt;0</formula>
    </cfRule>
    <cfRule type="expression" dxfId="620" priority="12">
      <formula>F46&lt;0</formula>
    </cfRule>
  </conditionalFormatting>
  <conditionalFormatting sqref="H46:H51">
    <cfRule type="expression" dxfId="619" priority="9">
      <formula>H46&gt;0</formula>
    </cfRule>
    <cfRule type="expression" dxfId="618" priority="10">
      <formula>H46&lt;0</formula>
    </cfRule>
  </conditionalFormatting>
  <conditionalFormatting sqref="F52:F61">
    <cfRule type="expression" dxfId="617" priority="7">
      <formula>F52&gt;0</formula>
    </cfRule>
    <cfRule type="expression" dxfId="616" priority="8">
      <formula>F52&lt;0</formula>
    </cfRule>
  </conditionalFormatting>
  <conditionalFormatting sqref="H52:H61">
    <cfRule type="expression" dxfId="615" priority="5">
      <formula>H52&gt;0</formula>
    </cfRule>
    <cfRule type="expression" dxfId="614" priority="6">
      <formula>H52&lt;0</formula>
    </cfRule>
  </conditionalFormatting>
  <conditionalFormatting sqref="M63">
    <cfRule type="expression" dxfId="613" priority="3">
      <formula>M63&gt;0</formula>
    </cfRule>
    <cfRule type="expression" dxfId="612" priority="4">
      <formula>M63&lt;0</formula>
    </cfRule>
  </conditionalFormatting>
  <conditionalFormatting sqref="M84">
    <cfRule type="expression" dxfId="611" priority="1">
      <formula>M84&gt;0</formula>
    </cfRule>
    <cfRule type="expression" dxfId="610" priority="2">
      <formula>M84&lt;0</formula>
    </cfRule>
  </conditionalFormatting>
  <hyperlinks>
    <hyperlink ref="A3" location="ACTIVE!A1" display="Back"/>
    <hyperlink ref="A66" location="ACTIVE!A1" display="Back"/>
    <hyperlink ref="A8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E103"/>
  <sheetViews>
    <sheetView zoomScale="98" zoomScaleNormal="98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42578125" customWidth="1"/>
    <col min="23" max="23" width="15.570312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233</v>
      </c>
      <c r="B2" s="503">
        <v>42758</v>
      </c>
      <c r="C2">
        <v>100</v>
      </c>
      <c r="D2" s="2">
        <v>31.18</v>
      </c>
      <c r="E2" s="2">
        <v>0</v>
      </c>
      <c r="F2" s="3">
        <f>D2*C2+E2</f>
        <v>3118</v>
      </c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100</v>
      </c>
      <c r="T2" s="461" t="s">
        <v>249</v>
      </c>
      <c r="W2" s="133">
        <v>42768</v>
      </c>
      <c r="X2" s="10">
        <v>31.59</v>
      </c>
      <c r="Y2" s="10">
        <v>31.68</v>
      </c>
      <c r="Z2" s="10">
        <v>30.76</v>
      </c>
      <c r="AA2" s="10">
        <v>31.45</v>
      </c>
      <c r="AB2" s="95">
        <v>2807800</v>
      </c>
      <c r="AC2" s="10">
        <v>31.45</v>
      </c>
      <c r="AD2" s="2">
        <f>Y2-Z2</f>
        <v>0.91999999999999815</v>
      </c>
      <c r="AE2" s="138">
        <f>AC2/AC3-1</f>
        <v>-7.2601010101009944E-3</v>
      </c>
    </row>
    <row r="3" spans="1:31" x14ac:dyDescent="0.25">
      <c r="A3" s="23" t="s">
        <v>71</v>
      </c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31.18</v>
      </c>
      <c r="T3" s="1"/>
      <c r="W3" s="133">
        <v>42767</v>
      </c>
      <c r="X3" s="10">
        <v>31.38</v>
      </c>
      <c r="Y3" s="10">
        <v>31.96</v>
      </c>
      <c r="Z3" s="10">
        <v>31.07</v>
      </c>
      <c r="AA3" s="10">
        <v>31.68</v>
      </c>
      <c r="AB3" s="95">
        <v>3910900</v>
      </c>
      <c r="AC3" s="10">
        <v>31.68</v>
      </c>
      <c r="AD3" s="2">
        <f t="shared" ref="AD3:AD66" si="0">Y3-Z3</f>
        <v>0.89000000000000057</v>
      </c>
      <c r="AE3" s="138">
        <f t="shared" ref="AE3:AE66" si="1">AC3/AC4-1</f>
        <v>9.8820529167995552E-3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O4" s="11" t="s">
        <v>66</v>
      </c>
      <c r="Q4" s="55">
        <v>31.85</v>
      </c>
      <c r="R4" s="505">
        <v>1.2699999999999999E-2</v>
      </c>
      <c r="T4" s="163"/>
      <c r="U4" s="1"/>
      <c r="W4" s="133">
        <v>42766</v>
      </c>
      <c r="X4" s="10">
        <v>31.04</v>
      </c>
      <c r="Y4" s="10">
        <v>31.39</v>
      </c>
      <c r="Z4" s="10">
        <v>30.71</v>
      </c>
      <c r="AA4" s="10">
        <v>31.37</v>
      </c>
      <c r="AB4" s="95">
        <v>4892200</v>
      </c>
      <c r="AC4" s="10">
        <v>31.37</v>
      </c>
      <c r="AD4" s="2">
        <f t="shared" si="0"/>
        <v>0.67999999999999972</v>
      </c>
      <c r="AE4" s="138">
        <f t="shared" si="1"/>
        <v>1.2915724895059766E-2</v>
      </c>
    </row>
    <row r="5" spans="1:31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O5" s="11" t="s">
        <v>67</v>
      </c>
      <c r="Q5" s="3">
        <f>Q4*Q2</f>
        <v>3185</v>
      </c>
      <c r="W5" s="133">
        <v>42765</v>
      </c>
      <c r="X5" s="10">
        <v>31.15</v>
      </c>
      <c r="Y5" s="10">
        <v>31.15</v>
      </c>
      <c r="Z5" s="10">
        <v>30.71</v>
      </c>
      <c r="AA5" s="10">
        <v>30.97</v>
      </c>
      <c r="AB5" s="95">
        <v>3621800</v>
      </c>
      <c r="AC5" s="10">
        <v>30.97</v>
      </c>
      <c r="AD5" s="2">
        <f t="shared" si="0"/>
        <v>0.43999999999999773</v>
      </c>
      <c r="AE5" s="138">
        <f t="shared" si="1"/>
        <v>-1.4322087842138842E-2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3118</v>
      </c>
      <c r="W6" s="133">
        <v>42762</v>
      </c>
      <c r="X6" s="10">
        <v>31.82</v>
      </c>
      <c r="Y6" s="10">
        <v>31.99</v>
      </c>
      <c r="Z6" s="10">
        <v>31.12</v>
      </c>
      <c r="AA6" s="10">
        <v>31.42</v>
      </c>
      <c r="AB6" s="95">
        <v>4891000</v>
      </c>
      <c r="AC6" s="10">
        <v>31.42</v>
      </c>
      <c r="AD6" s="2">
        <f t="shared" si="0"/>
        <v>0.86999999999999744</v>
      </c>
      <c r="AE6" s="138">
        <f t="shared" si="1"/>
        <v>-1.3190954773869334E-2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181</v>
      </c>
      <c r="Q7" s="2">
        <f>Q10+Q8</f>
        <v>1519.2599999999984</v>
      </c>
      <c r="R7" s="30">
        <v>42789</v>
      </c>
      <c r="W7" s="133">
        <v>42761</v>
      </c>
      <c r="X7" s="10">
        <v>32.01</v>
      </c>
      <c r="Y7" s="10">
        <v>32.340000000000003</v>
      </c>
      <c r="Z7" s="10">
        <v>31.43</v>
      </c>
      <c r="AA7" s="10">
        <v>31.84</v>
      </c>
      <c r="AB7" s="95">
        <v>8221800</v>
      </c>
      <c r="AC7" s="10">
        <v>31.84</v>
      </c>
      <c r="AD7" s="2">
        <f t="shared" si="0"/>
        <v>0.91000000000000369</v>
      </c>
      <c r="AE7" s="138">
        <f t="shared" si="1"/>
        <v>-4.2693926638604829E-2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184</v>
      </c>
      <c r="P8" s="34"/>
      <c r="Q8" s="2">
        <f>K18+M18-F18+Q2*Q4</f>
        <v>67</v>
      </c>
      <c r="W8" s="133">
        <v>42760</v>
      </c>
      <c r="X8" s="10">
        <v>33.5</v>
      </c>
      <c r="Y8" s="10">
        <v>33.93</v>
      </c>
      <c r="Z8" s="10">
        <v>32.93</v>
      </c>
      <c r="AA8" s="10">
        <v>33.26</v>
      </c>
      <c r="AB8" s="95">
        <v>7090000</v>
      </c>
      <c r="AC8" s="10">
        <v>33.26</v>
      </c>
      <c r="AD8" s="2">
        <f t="shared" si="0"/>
        <v>1</v>
      </c>
      <c r="AE8" s="138">
        <f t="shared" si="1"/>
        <v>-5.6801195814649708E-3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O9" s="11" t="s">
        <v>214</v>
      </c>
      <c r="Q9" s="138">
        <f>IF(Q2=0, 0, Q8/Q6)</f>
        <v>2.1488133418858243E-2</v>
      </c>
      <c r="W9" s="133">
        <v>42759</v>
      </c>
      <c r="X9" s="10">
        <v>31.89</v>
      </c>
      <c r="Y9" s="10">
        <v>33.99</v>
      </c>
      <c r="Z9" s="10">
        <v>31.89</v>
      </c>
      <c r="AA9" s="10">
        <v>33.450000000000003</v>
      </c>
      <c r="AB9" s="95">
        <v>9681300</v>
      </c>
      <c r="AC9" s="10">
        <v>33.450000000000003</v>
      </c>
      <c r="AD9" s="2">
        <f t="shared" si="0"/>
        <v>2.1000000000000014</v>
      </c>
      <c r="AE9" s="138">
        <f t="shared" si="1"/>
        <v>6.0221870047543646E-2</v>
      </c>
    </row>
    <row r="10" spans="1:31" x14ac:dyDescent="0.25">
      <c r="B10" s="4"/>
      <c r="C10" s="4"/>
      <c r="D10" s="3"/>
      <c r="E10" s="3"/>
      <c r="F10" s="3"/>
      <c r="G10" s="4"/>
      <c r="H10" s="185"/>
      <c r="I10" s="3"/>
      <c r="J10" s="3"/>
      <c r="K10" s="3"/>
      <c r="O10" s="11" t="s">
        <v>213</v>
      </c>
      <c r="P10" s="34"/>
      <c r="Q10" s="2">
        <f>M84</f>
        <v>1452.2599999999984</v>
      </c>
      <c r="W10" s="133">
        <v>42758</v>
      </c>
      <c r="X10" s="10">
        <v>31.33</v>
      </c>
      <c r="Y10" s="10">
        <v>31.63</v>
      </c>
      <c r="Z10" s="10">
        <v>31.05</v>
      </c>
      <c r="AA10" s="10">
        <v>31.55</v>
      </c>
      <c r="AB10" s="95">
        <v>3512700</v>
      </c>
      <c r="AC10" s="10">
        <v>31.55</v>
      </c>
      <c r="AD10" s="2">
        <f t="shared" si="0"/>
        <v>0.57999999999999829</v>
      </c>
      <c r="AE10" s="138">
        <f t="shared" si="1"/>
        <v>8.6317135549871526E-3</v>
      </c>
    </row>
    <row r="11" spans="1:31" x14ac:dyDescent="0.25">
      <c r="H11" s="72"/>
      <c r="O11" s="11" t="s">
        <v>178</v>
      </c>
      <c r="P11" s="34"/>
      <c r="Q11" s="138">
        <f>IF(U58="N/A (N/A)", 0, VALUE(TRIM(CLEAN(MID(U58, FIND("(", U58)+1, 5)))))</f>
        <v>3.5099999999999999E-2</v>
      </c>
      <c r="W11" s="133">
        <v>42755</v>
      </c>
      <c r="X11" s="10">
        <v>30.69</v>
      </c>
      <c r="Y11" s="10">
        <v>31.57</v>
      </c>
      <c r="Z11" s="10">
        <v>30.65</v>
      </c>
      <c r="AA11" s="10">
        <v>31.28</v>
      </c>
      <c r="AB11" s="95">
        <v>5496200</v>
      </c>
      <c r="AC11" s="10">
        <v>31.28</v>
      </c>
      <c r="AD11" s="2">
        <f t="shared" si="0"/>
        <v>0.92000000000000171</v>
      </c>
      <c r="AE11" s="138">
        <f t="shared" si="1"/>
        <v>3.4049586776859542E-2</v>
      </c>
    </row>
    <row r="12" spans="1:31" x14ac:dyDescent="0.25">
      <c r="H12" s="72"/>
      <c r="W12" s="133">
        <v>42754</v>
      </c>
      <c r="X12" s="10">
        <v>30.69</v>
      </c>
      <c r="Y12" s="10">
        <v>30.83</v>
      </c>
      <c r="Z12" s="10">
        <v>30.01</v>
      </c>
      <c r="AA12" s="10">
        <v>30.25</v>
      </c>
      <c r="AB12" s="95">
        <v>3143500</v>
      </c>
      <c r="AC12" s="10">
        <v>30.25</v>
      </c>
      <c r="AD12" s="2">
        <f t="shared" si="0"/>
        <v>0.81999999999999673</v>
      </c>
      <c r="AE12" s="138">
        <f t="shared" si="1"/>
        <v>-1.1437908496732097E-2</v>
      </c>
    </row>
    <row r="13" spans="1:31" x14ac:dyDescent="0.25">
      <c r="H13" s="72"/>
      <c r="W13" s="133">
        <v>42753</v>
      </c>
      <c r="X13" s="10">
        <v>30.84</v>
      </c>
      <c r="Y13" s="10">
        <v>30.92</v>
      </c>
      <c r="Z13" s="10">
        <v>30.35</v>
      </c>
      <c r="AA13" s="10">
        <v>30.6</v>
      </c>
      <c r="AB13" s="95">
        <v>2887800</v>
      </c>
      <c r="AC13" s="10">
        <v>30.6</v>
      </c>
      <c r="AD13" s="2">
        <f t="shared" si="0"/>
        <v>0.57000000000000028</v>
      </c>
      <c r="AE13" s="138">
        <f t="shared" si="1"/>
        <v>-5.5248618784530246E-3</v>
      </c>
    </row>
    <row r="14" spans="1:31" x14ac:dyDescent="0.25">
      <c r="H14" s="72"/>
      <c r="W14" s="133">
        <v>42752</v>
      </c>
      <c r="X14" s="10">
        <v>31.5</v>
      </c>
      <c r="Y14" s="10">
        <v>31.52</v>
      </c>
      <c r="Z14" s="10">
        <v>30.59</v>
      </c>
      <c r="AA14" s="10">
        <v>30.77</v>
      </c>
      <c r="AB14" s="95">
        <v>3301500</v>
      </c>
      <c r="AC14" s="10">
        <v>30.77</v>
      </c>
      <c r="AD14" s="2">
        <f t="shared" si="0"/>
        <v>0.92999999999999972</v>
      </c>
      <c r="AE14" s="138">
        <f t="shared" si="1"/>
        <v>-1.536000000000004E-2</v>
      </c>
    </row>
    <row r="15" spans="1:31" x14ac:dyDescent="0.25">
      <c r="H15" s="72"/>
      <c r="W15" s="133">
        <v>42748</v>
      </c>
      <c r="X15" s="10">
        <v>31.49</v>
      </c>
      <c r="Y15" s="10">
        <v>31.78</v>
      </c>
      <c r="Z15" s="10">
        <v>30.93</v>
      </c>
      <c r="AA15" s="10">
        <v>31.25</v>
      </c>
      <c r="AB15" s="95">
        <v>2961000</v>
      </c>
      <c r="AC15" s="10">
        <v>31.25</v>
      </c>
      <c r="AD15" s="2">
        <f t="shared" si="0"/>
        <v>0.85000000000000142</v>
      </c>
      <c r="AE15" s="138">
        <f t="shared" si="1"/>
        <v>-5.0939191340337864E-3</v>
      </c>
    </row>
    <row r="16" spans="1:31" x14ac:dyDescent="0.25">
      <c r="H16" s="72"/>
      <c r="W16" s="133">
        <v>42747</v>
      </c>
      <c r="X16" s="10">
        <v>31.43</v>
      </c>
      <c r="Y16" s="10">
        <v>31.61</v>
      </c>
      <c r="Z16" s="10">
        <v>30.67</v>
      </c>
      <c r="AA16" s="10">
        <v>31.41</v>
      </c>
      <c r="AB16" s="95">
        <v>3510600</v>
      </c>
      <c r="AC16" s="10">
        <v>31.41</v>
      </c>
      <c r="AD16" s="2">
        <f t="shared" si="0"/>
        <v>0.93999999999999773</v>
      </c>
      <c r="AE16" s="138">
        <f t="shared" si="1"/>
        <v>-6.3633471205848391E-4</v>
      </c>
    </row>
    <row r="17" spans="1:31" x14ac:dyDescent="0.25">
      <c r="W17" s="133">
        <v>42746</v>
      </c>
      <c r="X17" s="10">
        <v>30.77</v>
      </c>
      <c r="Y17" s="10">
        <v>31.45</v>
      </c>
      <c r="Z17" s="10">
        <v>30.51</v>
      </c>
      <c r="AA17" s="10">
        <v>31.43</v>
      </c>
      <c r="AB17" s="95">
        <v>3407000</v>
      </c>
      <c r="AC17" s="10">
        <v>31.43</v>
      </c>
      <c r="AD17" s="2">
        <f t="shared" si="0"/>
        <v>0.93999999999999773</v>
      </c>
      <c r="AE17" s="138">
        <f t="shared" si="1"/>
        <v>2.3111979166666741E-2</v>
      </c>
    </row>
    <row r="18" spans="1:31" x14ac:dyDescent="0.25">
      <c r="A18" s="32" t="s">
        <v>81</v>
      </c>
      <c r="B18" s="14"/>
      <c r="C18" s="14">
        <f>SUM(C2:C6)</f>
        <v>100</v>
      </c>
      <c r="D18" s="18"/>
      <c r="E18" s="18"/>
      <c r="F18" s="18">
        <f>SUM(F2:F6)</f>
        <v>3118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42745</v>
      </c>
      <c r="X18" s="10">
        <v>30.79</v>
      </c>
      <c r="Y18" s="10">
        <v>31.23</v>
      </c>
      <c r="Z18" s="10">
        <v>30.29</v>
      </c>
      <c r="AA18" s="10">
        <v>30.72</v>
      </c>
      <c r="AB18" s="95">
        <v>2999800</v>
      </c>
      <c r="AC18" s="10">
        <v>30.72</v>
      </c>
      <c r="AD18" s="2">
        <f t="shared" si="0"/>
        <v>0.94000000000000128</v>
      </c>
      <c r="AE18" s="138">
        <f t="shared" si="1"/>
        <v>3.2562683165093809E-4</v>
      </c>
    </row>
    <row r="19" spans="1:31" ht="15.75" thickBot="1" x14ac:dyDescent="0.3">
      <c r="A19" s="356" t="s">
        <v>198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 t="shared" ref="M19" si="2">SumByColor($A$19,M2:M17)</f>
        <v>0</v>
      </c>
      <c r="W19" s="133">
        <v>42744</v>
      </c>
      <c r="X19" s="10">
        <v>30.87</v>
      </c>
      <c r="Y19" s="10">
        <v>31.12</v>
      </c>
      <c r="Z19" s="10">
        <v>30.45</v>
      </c>
      <c r="AA19" s="10">
        <v>30.71</v>
      </c>
      <c r="AB19" s="95">
        <v>3075700</v>
      </c>
      <c r="AC19" s="10">
        <v>30.71</v>
      </c>
      <c r="AD19" s="2">
        <f t="shared" si="0"/>
        <v>0.67000000000000171</v>
      </c>
      <c r="AE19" s="138">
        <f t="shared" si="1"/>
        <v>-2.9220779220778814E-3</v>
      </c>
    </row>
    <row r="20" spans="1:31" x14ac:dyDescent="0.25">
      <c r="W20" s="133">
        <v>42741</v>
      </c>
      <c r="X20" s="10">
        <v>30.85</v>
      </c>
      <c r="Y20" s="10">
        <v>30.91</v>
      </c>
      <c r="Z20" s="10">
        <v>30.56</v>
      </c>
      <c r="AA20" s="10">
        <v>30.8</v>
      </c>
      <c r="AB20" s="95">
        <v>2704200</v>
      </c>
      <c r="AC20" s="10">
        <v>30.8</v>
      </c>
      <c r="AD20" s="2">
        <f t="shared" si="0"/>
        <v>0.35000000000000142</v>
      </c>
      <c r="AE20" s="138">
        <f t="shared" si="1"/>
        <v>-2.2675736961451642E-3</v>
      </c>
    </row>
    <row r="21" spans="1:31" x14ac:dyDescent="0.25">
      <c r="W21" s="133">
        <v>42740</v>
      </c>
      <c r="X21" s="10">
        <v>30.9</v>
      </c>
      <c r="Y21" s="10">
        <v>31.04</v>
      </c>
      <c r="Z21" s="10">
        <v>30.46</v>
      </c>
      <c r="AA21" s="10">
        <v>30.87</v>
      </c>
      <c r="AB21" s="95">
        <v>4710200</v>
      </c>
      <c r="AC21" s="10">
        <v>30.87</v>
      </c>
      <c r="AD21" s="2">
        <f t="shared" si="0"/>
        <v>0.57999999999999829</v>
      </c>
      <c r="AE21" s="138">
        <f t="shared" si="1"/>
        <v>1.9474196689386325E-3</v>
      </c>
    </row>
    <row r="22" spans="1:31" x14ac:dyDescent="0.25">
      <c r="B22" s="520" t="s">
        <v>114</v>
      </c>
      <c r="C22" s="520" t="s">
        <v>147</v>
      </c>
      <c r="D22" s="521" t="s">
        <v>146</v>
      </c>
      <c r="E22" s="522" t="s">
        <v>148</v>
      </c>
      <c r="F22" s="522" t="s">
        <v>65</v>
      </c>
      <c r="G22" s="524" t="s">
        <v>152</v>
      </c>
      <c r="H22" s="524" t="s">
        <v>88</v>
      </c>
      <c r="I22" s="524" t="s">
        <v>155</v>
      </c>
      <c r="W22" s="133">
        <v>42739</v>
      </c>
      <c r="X22" s="10">
        <v>29.7</v>
      </c>
      <c r="Y22" s="10">
        <v>30.9</v>
      </c>
      <c r="Z22" s="10">
        <v>29.69</v>
      </c>
      <c r="AA22" s="10">
        <v>30.81</v>
      </c>
      <c r="AB22" s="95">
        <v>12148900</v>
      </c>
      <c r="AC22" s="10">
        <v>30.81</v>
      </c>
      <c r="AD22" s="2">
        <f t="shared" si="0"/>
        <v>1.2099999999999973</v>
      </c>
      <c r="AE22" s="138">
        <f t="shared" si="1"/>
        <v>4.3345750084659684E-2</v>
      </c>
    </row>
    <row r="23" spans="1:31" x14ac:dyDescent="0.25">
      <c r="B23" s="566">
        <v>42754</v>
      </c>
      <c r="C23" s="571">
        <v>100</v>
      </c>
      <c r="D23" s="572">
        <v>27.58</v>
      </c>
      <c r="E23" s="572">
        <v>30.25</v>
      </c>
      <c r="F23" s="572">
        <f t="shared" ref="F23" si="3">C23*(E23-D23)</f>
        <v>267.00000000000017</v>
      </c>
      <c r="G23" s="572">
        <f t="shared" ref="G23" si="4">D23*C23</f>
        <v>2758</v>
      </c>
      <c r="H23" s="631">
        <f t="shared" ref="H23" si="5">(E23-D23)/D23</f>
        <v>9.6809282088469978E-2</v>
      </c>
      <c r="I23" s="572"/>
      <c r="W23" s="133">
        <v>42738</v>
      </c>
      <c r="X23" s="10">
        <v>29.65</v>
      </c>
      <c r="Y23" s="10">
        <v>30.07</v>
      </c>
      <c r="Z23" s="10">
        <v>29.28</v>
      </c>
      <c r="AA23" s="10">
        <v>29.53</v>
      </c>
      <c r="AB23" s="95">
        <v>3358900</v>
      </c>
      <c r="AC23" s="10">
        <v>29.53</v>
      </c>
      <c r="AD23" s="2">
        <f t="shared" si="0"/>
        <v>0.78999999999999915</v>
      </c>
      <c r="AE23" s="138">
        <f t="shared" si="1"/>
        <v>6.8189566996250672E-3</v>
      </c>
    </row>
    <row r="24" spans="1:31" x14ac:dyDescent="0.25">
      <c r="B24" s="566">
        <v>42758</v>
      </c>
      <c r="C24" s="571">
        <v>100</v>
      </c>
      <c r="D24" s="572">
        <v>27.180700000000002</v>
      </c>
      <c r="E24" s="572">
        <v>31.55</v>
      </c>
      <c r="F24" s="572">
        <f t="shared" ref="F24" si="6">C24*(E24-D24)</f>
        <v>436.92999999999989</v>
      </c>
      <c r="G24" s="572">
        <f t="shared" ref="G24" si="7">D24*C24</f>
        <v>2718.07</v>
      </c>
      <c r="H24" s="631">
        <f t="shared" ref="H24" si="8">(E24-D24)/D24</f>
        <v>0.16075009105725749</v>
      </c>
      <c r="I24" s="572"/>
      <c r="W24" s="133">
        <v>42734</v>
      </c>
      <c r="X24" s="10">
        <v>29.39</v>
      </c>
      <c r="Y24" s="10">
        <v>29.79</v>
      </c>
      <c r="Z24" s="10">
        <v>29.1</v>
      </c>
      <c r="AA24" s="10">
        <v>29.33</v>
      </c>
      <c r="AB24" s="95">
        <v>2879900</v>
      </c>
      <c r="AC24" s="10">
        <v>29.33</v>
      </c>
      <c r="AD24" s="2">
        <f t="shared" si="0"/>
        <v>0.68999999999999773</v>
      </c>
      <c r="AE24" s="138">
        <f t="shared" si="1"/>
        <v>0</v>
      </c>
    </row>
    <row r="25" spans="1:31" x14ac:dyDescent="0.25">
      <c r="A25" t="s">
        <v>438</v>
      </c>
      <c r="B25" s="380">
        <v>42758</v>
      </c>
      <c r="C25" s="381">
        <v>100</v>
      </c>
      <c r="D25" s="382">
        <v>31.18</v>
      </c>
      <c r="E25" s="382">
        <v>31.55</v>
      </c>
      <c r="F25" s="382">
        <f t="shared" ref="F25" si="9">C25*(E25-D25)</f>
        <v>37.000000000000099</v>
      </c>
      <c r="G25" s="382">
        <f t="shared" ref="G25" si="10">D25*C25</f>
        <v>3118</v>
      </c>
      <c r="H25" s="383">
        <f t="shared" ref="H25" si="11">(E25-D25)/D25</f>
        <v>1.1866581141757569E-2</v>
      </c>
      <c r="I25" s="382"/>
      <c r="W25" s="133">
        <v>42733</v>
      </c>
      <c r="X25" s="10">
        <v>29.06</v>
      </c>
      <c r="Y25" s="10">
        <v>29.46</v>
      </c>
      <c r="Z25" s="10">
        <v>29.02</v>
      </c>
      <c r="AA25" s="10">
        <v>29.33</v>
      </c>
      <c r="AB25" s="95">
        <v>2080700</v>
      </c>
      <c r="AC25" s="10">
        <v>29.33</v>
      </c>
      <c r="AD25" s="2">
        <f t="shared" si="0"/>
        <v>0.44000000000000128</v>
      </c>
      <c r="AE25" s="138">
        <f t="shared" si="1"/>
        <v>9.291121816930481E-3</v>
      </c>
    </row>
    <row r="26" spans="1:31" x14ac:dyDescent="0.25">
      <c r="A26" t="s">
        <v>438</v>
      </c>
      <c r="B26" s="380">
        <v>42760</v>
      </c>
      <c r="C26" s="381">
        <v>100</v>
      </c>
      <c r="D26" s="382">
        <v>31.18</v>
      </c>
      <c r="E26" s="382">
        <v>33.26</v>
      </c>
      <c r="F26" s="382">
        <f t="shared" ref="F26" si="12">C26*(E26-D26)</f>
        <v>207.99999999999983</v>
      </c>
      <c r="G26" s="382">
        <f t="shared" ref="G26" si="13">D26*C26</f>
        <v>3118</v>
      </c>
      <c r="H26" s="383">
        <f t="shared" ref="H26" si="14">(E26-D26)/D26</f>
        <v>6.6709429121231498E-2</v>
      </c>
      <c r="I26" s="382"/>
      <c r="W26" s="133">
        <v>42732</v>
      </c>
      <c r="X26" s="10">
        <v>30.09</v>
      </c>
      <c r="Y26" s="10">
        <v>30.38</v>
      </c>
      <c r="Z26" s="10">
        <v>29</v>
      </c>
      <c r="AA26" s="10">
        <v>29.06</v>
      </c>
      <c r="AB26" s="95">
        <v>3384000</v>
      </c>
      <c r="AC26" s="10">
        <v>29.06</v>
      </c>
      <c r="AD26" s="2">
        <f t="shared" si="0"/>
        <v>1.379999999999999</v>
      </c>
      <c r="AE26" s="138">
        <f t="shared" si="1"/>
        <v>-3.2623169107856231E-2</v>
      </c>
    </row>
    <row r="27" spans="1:31" x14ac:dyDescent="0.25">
      <c r="B27" s="380"/>
      <c r="C27" s="381"/>
      <c r="D27" s="382"/>
      <c r="E27" s="382"/>
      <c r="F27" s="382"/>
      <c r="G27" s="382"/>
      <c r="H27" s="383"/>
      <c r="I27" s="382"/>
      <c r="W27" s="133">
        <v>42731</v>
      </c>
      <c r="X27" s="10">
        <v>29.15</v>
      </c>
      <c r="Y27" s="10">
        <v>30.31</v>
      </c>
      <c r="Z27" s="10">
        <v>29.11</v>
      </c>
      <c r="AA27" s="10">
        <v>30.04</v>
      </c>
      <c r="AB27" s="95">
        <v>2729200</v>
      </c>
      <c r="AC27" s="10">
        <v>30.04</v>
      </c>
      <c r="AD27" s="2">
        <f t="shared" si="0"/>
        <v>1.1999999999999993</v>
      </c>
      <c r="AE27" s="138">
        <f t="shared" si="1"/>
        <v>2.9472241261137677E-2</v>
      </c>
    </row>
    <row r="28" spans="1:31" x14ac:dyDescent="0.25">
      <c r="B28" s="380"/>
      <c r="C28" s="381"/>
      <c r="D28" s="382"/>
      <c r="E28" s="382"/>
      <c r="F28" s="382"/>
      <c r="G28" s="382"/>
      <c r="H28" s="383"/>
      <c r="I28" s="382"/>
      <c r="W28" s="133">
        <v>42727</v>
      </c>
      <c r="X28" s="10">
        <v>29.34</v>
      </c>
      <c r="Y28" s="10">
        <v>29.5</v>
      </c>
      <c r="Z28" s="10">
        <v>28.8</v>
      </c>
      <c r="AA28" s="10">
        <v>29.18</v>
      </c>
      <c r="AB28" s="95">
        <v>2698800</v>
      </c>
      <c r="AC28" s="10">
        <v>29.18</v>
      </c>
      <c r="AD28" s="2">
        <f t="shared" si="0"/>
        <v>0.69999999999999929</v>
      </c>
      <c r="AE28" s="138">
        <f t="shared" si="1"/>
        <v>-5.7921635434412533E-3</v>
      </c>
    </row>
    <row r="29" spans="1:31" x14ac:dyDescent="0.25">
      <c r="B29" s="380"/>
      <c r="C29" s="381"/>
      <c r="D29" s="382"/>
      <c r="E29" s="382"/>
      <c r="F29" s="382"/>
      <c r="G29" s="382"/>
      <c r="H29" s="383"/>
      <c r="I29" s="382"/>
      <c r="W29" s="133">
        <v>42726</v>
      </c>
      <c r="X29" s="10">
        <v>28.68</v>
      </c>
      <c r="Y29" s="10">
        <v>29.43</v>
      </c>
      <c r="Z29" s="10">
        <v>28.54</v>
      </c>
      <c r="AA29" s="10">
        <v>29.35</v>
      </c>
      <c r="AB29" s="95">
        <v>5719100</v>
      </c>
      <c r="AC29" s="10">
        <v>29.35</v>
      </c>
      <c r="AD29" s="2">
        <f t="shared" si="0"/>
        <v>0.89000000000000057</v>
      </c>
      <c r="AE29" s="138">
        <f t="shared" si="1"/>
        <v>1.980542043085487E-2</v>
      </c>
    </row>
    <row r="30" spans="1:31" x14ac:dyDescent="0.25">
      <c r="B30" s="380"/>
      <c r="C30" s="381"/>
      <c r="D30" s="382"/>
      <c r="E30" s="382"/>
      <c r="F30" s="382"/>
      <c r="G30" s="382"/>
      <c r="H30" s="383"/>
      <c r="I30" s="382"/>
      <c r="W30" s="133">
        <v>42725</v>
      </c>
      <c r="X30" s="10">
        <v>28.39</v>
      </c>
      <c r="Y30" s="10">
        <v>28.87</v>
      </c>
      <c r="Z30" s="10">
        <v>28.03</v>
      </c>
      <c r="AA30" s="10">
        <v>28.78</v>
      </c>
      <c r="AB30" s="95">
        <v>5545600</v>
      </c>
      <c r="AC30" s="10">
        <v>28.78</v>
      </c>
      <c r="AD30" s="2">
        <f t="shared" si="0"/>
        <v>0.83999999999999986</v>
      </c>
      <c r="AE30" s="138">
        <f t="shared" si="1"/>
        <v>2.2017045454545414E-2</v>
      </c>
    </row>
    <row r="31" spans="1:31" x14ac:dyDescent="0.25">
      <c r="B31" s="380"/>
      <c r="C31" s="381"/>
      <c r="D31" s="382"/>
      <c r="E31" s="382"/>
      <c r="F31" s="382"/>
      <c r="G31" s="382"/>
      <c r="H31" s="383"/>
      <c r="I31" s="382"/>
      <c r="W31" s="133">
        <v>42724</v>
      </c>
      <c r="X31" s="10">
        <v>27.94</v>
      </c>
      <c r="Y31" s="10">
        <v>28.22</v>
      </c>
      <c r="Z31" s="10">
        <v>27.51</v>
      </c>
      <c r="AA31" s="10">
        <v>28.16</v>
      </c>
      <c r="AB31" s="95">
        <v>6681300</v>
      </c>
      <c r="AC31" s="10">
        <v>28.16</v>
      </c>
      <c r="AD31" s="2">
        <f t="shared" si="0"/>
        <v>0.7099999999999973</v>
      </c>
      <c r="AE31" s="138">
        <f t="shared" si="1"/>
        <v>1.4043932301044393E-2</v>
      </c>
    </row>
    <row r="32" spans="1:31" x14ac:dyDescent="0.25">
      <c r="B32" s="380"/>
      <c r="C32" s="381"/>
      <c r="D32" s="382"/>
      <c r="E32" s="382"/>
      <c r="F32" s="382"/>
      <c r="G32" s="382"/>
      <c r="H32" s="383"/>
      <c r="I32" s="382"/>
      <c r="W32" s="133">
        <v>42723</v>
      </c>
      <c r="X32" s="10">
        <v>28.9</v>
      </c>
      <c r="Y32" s="10">
        <v>29.39</v>
      </c>
      <c r="Z32" s="10">
        <v>27.62</v>
      </c>
      <c r="AA32" s="10">
        <v>27.77</v>
      </c>
      <c r="AB32" s="95">
        <v>9512800</v>
      </c>
      <c r="AC32" s="10">
        <v>27.77</v>
      </c>
      <c r="AD32" s="2">
        <f t="shared" si="0"/>
        <v>1.7699999999999996</v>
      </c>
      <c r="AE32" s="138">
        <f t="shared" si="1"/>
        <v>-6.0554803788903877E-2</v>
      </c>
    </row>
    <row r="33" spans="2:31" x14ac:dyDescent="0.25">
      <c r="B33" s="380"/>
      <c r="C33" s="381"/>
      <c r="D33" s="382"/>
      <c r="E33" s="382"/>
      <c r="F33" s="382"/>
      <c r="G33" s="382"/>
      <c r="H33" s="383"/>
      <c r="I33" s="382"/>
      <c r="W33" s="133">
        <v>42720</v>
      </c>
      <c r="X33" s="10">
        <v>29.65</v>
      </c>
      <c r="Y33" s="10">
        <v>29.92</v>
      </c>
      <c r="Z33" s="10">
        <v>29.18</v>
      </c>
      <c r="AA33" s="10">
        <v>29.56</v>
      </c>
      <c r="AB33" s="95">
        <v>6812200</v>
      </c>
      <c r="AC33" s="10">
        <v>29.56</v>
      </c>
      <c r="AD33" s="2">
        <f t="shared" si="0"/>
        <v>0.74000000000000199</v>
      </c>
      <c r="AE33" s="138">
        <f t="shared" si="1"/>
        <v>-6.0524546065904294E-3</v>
      </c>
    </row>
    <row r="34" spans="2:31" x14ac:dyDescent="0.25">
      <c r="B34" s="380"/>
      <c r="C34" s="381"/>
      <c r="D34" s="382"/>
      <c r="E34" s="382"/>
      <c r="F34" s="382"/>
      <c r="G34" s="382"/>
      <c r="H34" s="383"/>
      <c r="I34" s="382"/>
      <c r="W34" s="133">
        <v>42719</v>
      </c>
      <c r="X34" s="10">
        <v>29.22</v>
      </c>
      <c r="Y34" s="10">
        <v>30.38</v>
      </c>
      <c r="Z34" s="10">
        <v>29.1</v>
      </c>
      <c r="AA34" s="10">
        <v>29.74</v>
      </c>
      <c r="AB34" s="95">
        <v>3962500</v>
      </c>
      <c r="AC34" s="10">
        <v>29.74</v>
      </c>
      <c r="AD34" s="2">
        <f t="shared" si="0"/>
        <v>1.2799999999999976</v>
      </c>
      <c r="AE34" s="138">
        <f t="shared" si="1"/>
        <v>1.2253233492171445E-2</v>
      </c>
    </row>
    <row r="35" spans="2:31" x14ac:dyDescent="0.25">
      <c r="B35" s="380"/>
      <c r="C35" s="381"/>
      <c r="D35" s="382"/>
      <c r="E35" s="382"/>
      <c r="F35" s="382"/>
      <c r="G35" s="382"/>
      <c r="H35" s="383"/>
      <c r="I35" s="382"/>
      <c r="W35" s="133">
        <v>42718</v>
      </c>
      <c r="X35" s="10">
        <v>29.57</v>
      </c>
      <c r="Y35" s="10">
        <v>30.44</v>
      </c>
      <c r="Z35" s="10">
        <v>29.32</v>
      </c>
      <c r="AA35" s="10">
        <v>29.38</v>
      </c>
      <c r="AB35" s="95">
        <v>4896900</v>
      </c>
      <c r="AC35" s="10">
        <v>29.38</v>
      </c>
      <c r="AD35" s="2">
        <f t="shared" si="0"/>
        <v>1.120000000000001</v>
      </c>
      <c r="AE35" s="138">
        <f t="shared" si="1"/>
        <v>-4.7425474254743083E-3</v>
      </c>
    </row>
    <row r="36" spans="2:31" x14ac:dyDescent="0.25">
      <c r="B36" s="380"/>
      <c r="C36" s="381"/>
      <c r="D36" s="382"/>
      <c r="E36" s="382"/>
      <c r="F36" s="382"/>
      <c r="G36" s="382"/>
      <c r="H36" s="383"/>
      <c r="I36" s="382"/>
      <c r="W36" s="133">
        <v>42717</v>
      </c>
      <c r="X36" s="10">
        <v>30.62</v>
      </c>
      <c r="Y36" s="10">
        <v>30.63</v>
      </c>
      <c r="Z36" s="10">
        <v>29.06</v>
      </c>
      <c r="AA36" s="10">
        <v>29.52</v>
      </c>
      <c r="AB36" s="95">
        <v>6273500</v>
      </c>
      <c r="AC36" s="10">
        <v>29.52</v>
      </c>
      <c r="AD36" s="2">
        <f t="shared" si="0"/>
        <v>1.5700000000000003</v>
      </c>
      <c r="AE36" s="138">
        <f t="shared" si="1"/>
        <v>-2.3809523809523725E-2</v>
      </c>
    </row>
    <row r="37" spans="2:31" x14ac:dyDescent="0.25">
      <c r="W37" s="133">
        <v>42716</v>
      </c>
      <c r="X37" s="10">
        <v>31.43</v>
      </c>
      <c r="Y37" s="10">
        <v>31.45</v>
      </c>
      <c r="Z37" s="10">
        <v>30.09</v>
      </c>
      <c r="AA37" s="10">
        <v>30.24</v>
      </c>
      <c r="AB37" s="95">
        <v>5559400</v>
      </c>
      <c r="AC37" s="10">
        <v>30.24</v>
      </c>
      <c r="AD37" s="2">
        <f t="shared" si="0"/>
        <v>1.3599999999999994</v>
      </c>
      <c r="AE37" s="138">
        <f t="shared" si="1"/>
        <v>-3.7555697008275102E-2</v>
      </c>
    </row>
    <row r="38" spans="2:31" x14ac:dyDescent="0.25">
      <c r="W38" s="133">
        <v>42713</v>
      </c>
      <c r="X38" s="10">
        <v>30.26</v>
      </c>
      <c r="Y38" s="10">
        <v>31.54</v>
      </c>
      <c r="Z38" s="10">
        <v>30.19</v>
      </c>
      <c r="AA38" s="10">
        <v>31.42</v>
      </c>
      <c r="AB38" s="95">
        <v>5661700</v>
      </c>
      <c r="AC38" s="10">
        <v>31.42</v>
      </c>
      <c r="AD38" s="2">
        <f t="shared" si="0"/>
        <v>1.3499999999999979</v>
      </c>
      <c r="AE38" s="138">
        <f t="shared" si="1"/>
        <v>4.1086812458581923E-2</v>
      </c>
    </row>
    <row r="39" spans="2:31" x14ac:dyDescent="0.25">
      <c r="W39" s="133">
        <v>42712</v>
      </c>
      <c r="X39" s="10">
        <v>30.43</v>
      </c>
      <c r="Y39" s="10">
        <v>30.69</v>
      </c>
      <c r="Z39" s="10">
        <v>29.95</v>
      </c>
      <c r="AA39" s="10">
        <v>30.18</v>
      </c>
      <c r="AB39" s="95">
        <v>4318800</v>
      </c>
      <c r="AC39" s="10">
        <v>30.18</v>
      </c>
      <c r="AD39" s="2">
        <f t="shared" si="0"/>
        <v>0.74000000000000199</v>
      </c>
      <c r="AE39" s="138">
        <f t="shared" si="1"/>
        <v>-1.6539861065166805E-3</v>
      </c>
    </row>
    <row r="40" spans="2:31" ht="20.25" thickBot="1" x14ac:dyDescent="0.35">
      <c r="O40" s="638" t="s">
        <v>78</v>
      </c>
      <c r="P40" s="638"/>
      <c r="W40" s="133">
        <v>42711</v>
      </c>
      <c r="X40" s="10">
        <v>29.45</v>
      </c>
      <c r="Y40" s="10">
        <v>30.29</v>
      </c>
      <c r="Z40" s="10">
        <v>29.31</v>
      </c>
      <c r="AA40" s="10">
        <v>30.23</v>
      </c>
      <c r="AB40" s="95">
        <v>4660100</v>
      </c>
      <c r="AC40" s="10">
        <v>30.23</v>
      </c>
      <c r="AD40" s="2">
        <f t="shared" si="0"/>
        <v>0.98000000000000043</v>
      </c>
      <c r="AE40" s="138">
        <f t="shared" si="1"/>
        <v>2.8931245745405176E-2</v>
      </c>
    </row>
    <row r="41" spans="2:31" ht="15.75" thickTop="1" x14ac:dyDescent="0.25">
      <c r="B41" s="520" t="s">
        <v>114</v>
      </c>
      <c r="C41" s="520" t="s">
        <v>147</v>
      </c>
      <c r="D41" s="521" t="s">
        <v>146</v>
      </c>
      <c r="E41" s="522" t="s">
        <v>148</v>
      </c>
      <c r="F41" s="522" t="s">
        <v>65</v>
      </c>
      <c r="G41" s="524" t="s">
        <v>152</v>
      </c>
      <c r="H41" s="524" t="s">
        <v>88</v>
      </c>
      <c r="I41" s="524" t="s">
        <v>155</v>
      </c>
      <c r="O41" s="83">
        <v>1.1000000000000001</v>
      </c>
      <c r="P41" s="83">
        <f>O41*$Q$4</f>
        <v>35.035000000000004</v>
      </c>
      <c r="Q41" s="2"/>
      <c r="W41" s="133">
        <v>42710</v>
      </c>
      <c r="X41" s="10">
        <v>29.05</v>
      </c>
      <c r="Y41" s="10">
        <v>29.52</v>
      </c>
      <c r="Z41" s="10">
        <v>28.47</v>
      </c>
      <c r="AA41" s="10">
        <v>29.38</v>
      </c>
      <c r="AB41" s="95">
        <v>5335600</v>
      </c>
      <c r="AC41" s="10">
        <v>29.38</v>
      </c>
      <c r="AD41" s="2">
        <f t="shared" si="0"/>
        <v>1.0500000000000007</v>
      </c>
      <c r="AE41" s="138">
        <f t="shared" si="1"/>
        <v>7.1991772368871221E-3</v>
      </c>
    </row>
    <row r="42" spans="2:31" ht="20.25" thickBot="1" x14ac:dyDescent="0.35">
      <c r="B42" s="380">
        <v>42548</v>
      </c>
      <c r="C42" s="381">
        <v>100</v>
      </c>
      <c r="D42" s="382">
        <v>25</v>
      </c>
      <c r="E42" s="382">
        <v>24.69</v>
      </c>
      <c r="F42" s="382">
        <f t="shared" ref="F42:F47" si="15">C42*(E42-D42)</f>
        <v>-30.999999999999872</v>
      </c>
      <c r="G42" s="382">
        <f t="shared" ref="G42:G47" si="16">D42*C42</f>
        <v>2500</v>
      </c>
      <c r="H42" s="383">
        <f t="shared" ref="H42:H47" si="17">(E42-D42)/D42</f>
        <v>-1.2399999999999949E-2</v>
      </c>
      <c r="I42" s="382"/>
      <c r="O42" s="83">
        <v>1.0900000000000001</v>
      </c>
      <c r="P42" s="83">
        <f t="shared" ref="P42:P61" si="18">O42*$Q$4</f>
        <v>34.716500000000003</v>
      </c>
      <c r="Q42" s="2"/>
      <c r="T42" s="91" t="s">
        <v>113</v>
      </c>
      <c r="W42" s="133">
        <v>42709</v>
      </c>
      <c r="X42" s="10">
        <v>28.98</v>
      </c>
      <c r="Y42" s="10">
        <v>29.8</v>
      </c>
      <c r="Z42" s="10">
        <v>28.98</v>
      </c>
      <c r="AA42" s="10">
        <v>29.17</v>
      </c>
      <c r="AB42" s="95">
        <v>6316500</v>
      </c>
      <c r="AC42" s="10">
        <v>29.17</v>
      </c>
      <c r="AD42" s="2">
        <f t="shared" si="0"/>
        <v>0.82000000000000028</v>
      </c>
      <c r="AE42" s="138">
        <f t="shared" si="1"/>
        <v>1.2144344205412994E-2</v>
      </c>
    </row>
    <row r="43" spans="2:31" ht="15.75" thickTop="1" x14ac:dyDescent="0.25">
      <c r="B43" s="380">
        <v>42549</v>
      </c>
      <c r="C43" s="381">
        <v>100</v>
      </c>
      <c r="D43" s="382">
        <v>25</v>
      </c>
      <c r="E43" s="382">
        <v>25.26</v>
      </c>
      <c r="F43" s="382">
        <f t="shared" si="15"/>
        <v>26.000000000000156</v>
      </c>
      <c r="G43" s="382">
        <f t="shared" si="16"/>
        <v>2500</v>
      </c>
      <c r="H43" s="383">
        <f t="shared" si="17"/>
        <v>1.0400000000000062E-2</v>
      </c>
      <c r="I43" s="382"/>
      <c r="O43" s="83">
        <v>1.08</v>
      </c>
      <c r="P43" s="83">
        <f t="shared" si="18"/>
        <v>34.398000000000003</v>
      </c>
      <c r="Q43" s="2"/>
      <c r="T43" s="128" t="s">
        <v>98</v>
      </c>
      <c r="U43" s="129">
        <v>31.68</v>
      </c>
      <c r="W43" s="133">
        <v>42706</v>
      </c>
      <c r="X43" s="10">
        <v>29.05</v>
      </c>
      <c r="Y43" s="10">
        <v>29.25</v>
      </c>
      <c r="Z43" s="10">
        <v>28.67</v>
      </c>
      <c r="AA43" s="10">
        <v>28.82</v>
      </c>
      <c r="AB43" s="95">
        <v>3776400</v>
      </c>
      <c r="AC43" s="10">
        <v>28.82</v>
      </c>
      <c r="AD43" s="2">
        <f t="shared" si="0"/>
        <v>0.57999999999999829</v>
      </c>
      <c r="AE43" s="138">
        <f t="shared" si="1"/>
        <v>-9.2815400481265353E-3</v>
      </c>
    </row>
    <row r="44" spans="2:31" x14ac:dyDescent="0.25">
      <c r="B44" s="380">
        <v>42552</v>
      </c>
      <c r="C44" s="381">
        <v>100</v>
      </c>
      <c r="D44" s="382">
        <v>25</v>
      </c>
      <c r="E44" s="382">
        <v>26.57</v>
      </c>
      <c r="F44" s="382">
        <f t="shared" si="15"/>
        <v>157.00000000000003</v>
      </c>
      <c r="G44" s="382">
        <f t="shared" si="16"/>
        <v>2500</v>
      </c>
      <c r="H44" s="383">
        <f t="shared" si="17"/>
        <v>6.2800000000000009E-2</v>
      </c>
      <c r="I44" s="382"/>
      <c r="O44" s="83">
        <v>1.07</v>
      </c>
      <c r="P44" s="83">
        <f t="shared" si="18"/>
        <v>34.079500000000003</v>
      </c>
      <c r="Q44" s="2"/>
      <c r="T44" s="93" t="s">
        <v>99</v>
      </c>
      <c r="U44" s="130">
        <v>31.59</v>
      </c>
      <c r="W44" s="133">
        <v>42705</v>
      </c>
      <c r="X44" s="10">
        <v>28.6</v>
      </c>
      <c r="Y44" s="10">
        <v>29.5</v>
      </c>
      <c r="Z44" s="10">
        <v>28.56</v>
      </c>
      <c r="AA44" s="10">
        <v>29.09</v>
      </c>
      <c r="AB44" s="95">
        <v>7387000</v>
      </c>
      <c r="AC44" s="10">
        <v>29.09</v>
      </c>
      <c r="AD44" s="2">
        <f t="shared" si="0"/>
        <v>0.94000000000000128</v>
      </c>
      <c r="AE44" s="138">
        <f t="shared" si="1"/>
        <v>2.4295774647887347E-2</v>
      </c>
    </row>
    <row r="45" spans="2:31" x14ac:dyDescent="0.25">
      <c r="B45" s="380">
        <v>42556</v>
      </c>
      <c r="C45" s="381">
        <v>100</v>
      </c>
      <c r="D45" s="382">
        <v>25</v>
      </c>
      <c r="E45" s="382">
        <v>25.47</v>
      </c>
      <c r="F45" s="382">
        <f t="shared" si="15"/>
        <v>46.999999999999886</v>
      </c>
      <c r="G45" s="382">
        <f t="shared" si="16"/>
        <v>2500</v>
      </c>
      <c r="H45" s="383">
        <f t="shared" si="17"/>
        <v>1.8799999999999956E-2</v>
      </c>
      <c r="I45" s="382"/>
      <c r="O45" s="83">
        <v>1.06</v>
      </c>
      <c r="P45" s="83">
        <f t="shared" si="18"/>
        <v>33.761000000000003</v>
      </c>
      <c r="Q45" s="2"/>
      <c r="T45" s="93" t="s">
        <v>100</v>
      </c>
      <c r="U45" s="130" t="s">
        <v>129</v>
      </c>
      <c r="W45" s="133">
        <v>42704</v>
      </c>
      <c r="X45" s="10">
        <v>27.4</v>
      </c>
      <c r="Y45" s="10">
        <v>28.56</v>
      </c>
      <c r="Z45" s="10">
        <v>27.29</v>
      </c>
      <c r="AA45" s="10">
        <v>28.4</v>
      </c>
      <c r="AB45" s="95">
        <v>6330400</v>
      </c>
      <c r="AC45" s="10">
        <v>28.4</v>
      </c>
      <c r="AD45" s="2">
        <f t="shared" si="0"/>
        <v>1.2699999999999996</v>
      </c>
      <c r="AE45" s="138">
        <f t="shared" si="1"/>
        <v>4.9519586104951996E-2</v>
      </c>
    </row>
    <row r="46" spans="2:31" x14ac:dyDescent="0.25">
      <c r="B46" s="380">
        <v>42562</v>
      </c>
      <c r="C46" s="381">
        <v>100</v>
      </c>
      <c r="D46" s="382">
        <v>25</v>
      </c>
      <c r="E46" s="382">
        <v>25.69</v>
      </c>
      <c r="F46" s="382">
        <f t="shared" si="15"/>
        <v>69.000000000000128</v>
      </c>
      <c r="G46" s="382">
        <f t="shared" si="16"/>
        <v>2500</v>
      </c>
      <c r="H46" s="383">
        <f t="shared" si="17"/>
        <v>2.7600000000000052E-2</v>
      </c>
      <c r="I46" s="382"/>
      <c r="O46" s="83">
        <v>1.05</v>
      </c>
      <c r="P46" s="83">
        <f t="shared" si="18"/>
        <v>33.442500000000003</v>
      </c>
      <c r="Q46" s="2"/>
      <c r="T46" s="93" t="s">
        <v>101</v>
      </c>
      <c r="U46" s="130" t="s">
        <v>129</v>
      </c>
      <c r="W46" s="133">
        <v>42703</v>
      </c>
      <c r="X46" s="10">
        <v>26.99</v>
      </c>
      <c r="Y46" s="10">
        <v>27.3</v>
      </c>
      <c r="Z46" s="10">
        <v>26.61</v>
      </c>
      <c r="AA46" s="10">
        <v>27.06</v>
      </c>
      <c r="AB46" s="95">
        <v>5492900</v>
      </c>
      <c r="AC46" s="10">
        <v>27.06</v>
      </c>
      <c r="AD46" s="2">
        <f t="shared" si="0"/>
        <v>0.69000000000000128</v>
      </c>
      <c r="AE46" s="138" t="e">
        <f t="shared" si="1"/>
        <v>#DIV/0!</v>
      </c>
    </row>
    <row r="47" spans="2:31" x14ac:dyDescent="0.25">
      <c r="B47" s="380">
        <v>42563</v>
      </c>
      <c r="C47" s="381">
        <v>100</v>
      </c>
      <c r="D47" s="382">
        <v>25</v>
      </c>
      <c r="E47" s="382">
        <v>26.48</v>
      </c>
      <c r="F47" s="382">
        <f t="shared" si="15"/>
        <v>148.00000000000006</v>
      </c>
      <c r="G47" s="382">
        <f t="shared" si="16"/>
        <v>2500</v>
      </c>
      <c r="H47" s="383">
        <f t="shared" si="17"/>
        <v>5.9200000000000016E-2</v>
      </c>
      <c r="I47" s="382"/>
      <c r="O47" s="83">
        <v>1.04</v>
      </c>
      <c r="P47" s="83">
        <f t="shared" si="18"/>
        <v>33.124000000000002</v>
      </c>
      <c r="Q47" s="2"/>
      <c r="T47" s="93" t="s">
        <v>102</v>
      </c>
      <c r="U47" s="130">
        <v>27.26</v>
      </c>
      <c r="W47" s="133">
        <v>42703</v>
      </c>
      <c r="X47" s="10" t="s">
        <v>351</v>
      </c>
      <c r="Y47" s="10"/>
      <c r="Z47" s="10"/>
      <c r="AA47" s="10"/>
      <c r="AB47" s="95"/>
      <c r="AC47" s="10"/>
      <c r="AD47" s="2">
        <f t="shared" si="0"/>
        <v>0</v>
      </c>
      <c r="AE47" s="138">
        <f t="shared" si="1"/>
        <v>-1</v>
      </c>
    </row>
    <row r="48" spans="2:31" x14ac:dyDescent="0.25">
      <c r="B48" s="380">
        <v>42569</v>
      </c>
      <c r="C48" s="381">
        <v>100</v>
      </c>
      <c r="D48" s="382">
        <v>25</v>
      </c>
      <c r="E48" s="382">
        <v>29.28</v>
      </c>
      <c r="F48" s="382">
        <f t="shared" ref="F48" si="19">C48*(E48-D48)</f>
        <v>428.00000000000011</v>
      </c>
      <c r="G48" s="382">
        <f t="shared" ref="G48" si="20">D48*C48</f>
        <v>2500</v>
      </c>
      <c r="H48" s="383">
        <f t="shared" ref="H48" si="21">(E48-D48)/D48</f>
        <v>0.17120000000000005</v>
      </c>
      <c r="I48" s="382"/>
      <c r="O48" s="83">
        <v>1.03</v>
      </c>
      <c r="P48" s="83">
        <f t="shared" si="18"/>
        <v>32.805500000000002</v>
      </c>
      <c r="Q48" s="2"/>
      <c r="T48" s="93" t="s">
        <v>103</v>
      </c>
      <c r="U48" s="130">
        <v>1.4861200000000001</v>
      </c>
      <c r="W48" s="133">
        <v>42702</v>
      </c>
      <c r="X48" s="10">
        <v>27.42</v>
      </c>
      <c r="Y48" s="10">
        <v>27.64</v>
      </c>
      <c r="Z48" s="10">
        <v>26.8</v>
      </c>
      <c r="AA48" s="10">
        <v>27.35</v>
      </c>
      <c r="AB48" s="95">
        <v>4622600</v>
      </c>
      <c r="AC48" s="10">
        <v>27.08</v>
      </c>
      <c r="AD48" s="2">
        <f t="shared" si="0"/>
        <v>0.83999999999999986</v>
      </c>
      <c r="AE48" s="138">
        <f t="shared" si="1"/>
        <v>-2.5782688766113893E-3</v>
      </c>
    </row>
    <row r="49" spans="2:31" x14ac:dyDescent="0.25">
      <c r="B49" s="380">
        <v>42570</v>
      </c>
      <c r="C49" s="381">
        <v>100</v>
      </c>
      <c r="D49" s="382">
        <v>25</v>
      </c>
      <c r="E49" s="382">
        <v>28.68</v>
      </c>
      <c r="F49" s="382">
        <f t="shared" ref="F49" si="22">C49*(E49-D49)</f>
        <v>368</v>
      </c>
      <c r="G49" s="382">
        <f t="shared" ref="G49" si="23">D49*C49</f>
        <v>2500</v>
      </c>
      <c r="H49" s="383">
        <f t="shared" ref="H49" si="24">(E49-D49)/D49</f>
        <v>0.1472</v>
      </c>
      <c r="I49" s="382"/>
      <c r="O49" s="83">
        <v>1.02</v>
      </c>
      <c r="P49" s="83">
        <f t="shared" si="18"/>
        <v>32.487000000000002</v>
      </c>
      <c r="Q49" s="2"/>
      <c r="T49" s="93" t="s">
        <v>104</v>
      </c>
      <c r="U49" s="130" t="s">
        <v>406</v>
      </c>
      <c r="W49" s="133">
        <v>42699</v>
      </c>
      <c r="X49" s="10">
        <v>27.48</v>
      </c>
      <c r="Y49" s="10">
        <v>27.7</v>
      </c>
      <c r="Z49" s="10">
        <v>26.95</v>
      </c>
      <c r="AA49" s="10">
        <v>27.43</v>
      </c>
      <c r="AB49" s="95">
        <v>2109000</v>
      </c>
      <c r="AC49" s="10">
        <v>27.15</v>
      </c>
      <c r="AD49" s="2">
        <f t="shared" si="0"/>
        <v>0.75</v>
      </c>
      <c r="AE49" s="138">
        <f t="shared" si="1"/>
        <v>-7.3610599926399178E-4</v>
      </c>
    </row>
    <row r="50" spans="2:31" x14ac:dyDescent="0.25">
      <c r="B50" s="380">
        <v>42571</v>
      </c>
      <c r="C50" s="381">
        <v>100</v>
      </c>
      <c r="D50" s="382">
        <v>25</v>
      </c>
      <c r="E50" s="382">
        <v>29.01</v>
      </c>
      <c r="F50" s="382">
        <f t="shared" ref="F50" si="25">C50*(E50-D50)</f>
        <v>401.00000000000017</v>
      </c>
      <c r="G50" s="382">
        <f t="shared" ref="G50" si="26">D50*C50</f>
        <v>2500</v>
      </c>
      <c r="H50" s="383">
        <f t="shared" ref="H50" si="27">(E50-D50)/D50</f>
        <v>0.16040000000000007</v>
      </c>
      <c r="I50" s="382"/>
      <c r="O50" s="83">
        <v>1.01</v>
      </c>
      <c r="P50" s="83">
        <f t="shared" si="18"/>
        <v>32.168500000000002</v>
      </c>
      <c r="Q50" s="2"/>
      <c r="T50" s="93"/>
      <c r="U50" s="130"/>
      <c r="W50" s="133">
        <v>42697</v>
      </c>
      <c r="X50" s="10">
        <v>27.35</v>
      </c>
      <c r="Y50" s="10">
        <v>27.91</v>
      </c>
      <c r="Z50" s="10">
        <v>27.29</v>
      </c>
      <c r="AA50" s="10">
        <v>27.45</v>
      </c>
      <c r="AB50" s="95">
        <v>4204600</v>
      </c>
      <c r="AC50" s="10">
        <v>27.17</v>
      </c>
      <c r="AD50" s="2">
        <f t="shared" si="0"/>
        <v>0.62000000000000099</v>
      </c>
      <c r="AE50" s="138">
        <f t="shared" si="1"/>
        <v>2.9531192321889943E-3</v>
      </c>
    </row>
    <row r="51" spans="2:31" x14ac:dyDescent="0.25">
      <c r="B51" s="380">
        <v>42572</v>
      </c>
      <c r="C51" s="381">
        <v>100</v>
      </c>
      <c r="D51" s="382">
        <v>25</v>
      </c>
      <c r="E51" s="382">
        <v>28.89</v>
      </c>
      <c r="F51" s="382">
        <f t="shared" ref="F51" si="28">C51*(E51-D51)</f>
        <v>389.00000000000006</v>
      </c>
      <c r="G51" s="382">
        <f t="shared" ref="G51" si="29">D51*C51</f>
        <v>2500</v>
      </c>
      <c r="H51" s="383">
        <f t="shared" ref="H51" si="30">(E51-D51)/D51</f>
        <v>0.15560000000000002</v>
      </c>
      <c r="I51" s="382"/>
      <c r="O51" s="83">
        <v>1</v>
      </c>
      <c r="P51" s="83">
        <f t="shared" si="18"/>
        <v>31.85</v>
      </c>
      <c r="Q51" s="2"/>
      <c r="T51" s="93" t="s">
        <v>105</v>
      </c>
      <c r="U51" s="130" t="s">
        <v>586</v>
      </c>
      <c r="W51" s="133">
        <v>42696</v>
      </c>
      <c r="X51" s="10">
        <v>29.05</v>
      </c>
      <c r="Y51" s="10">
        <v>29.12</v>
      </c>
      <c r="Z51" s="10">
        <v>27.2</v>
      </c>
      <c r="AA51" s="10">
        <v>27.37</v>
      </c>
      <c r="AB51" s="95">
        <v>6784500</v>
      </c>
      <c r="AC51" s="10">
        <v>27.09</v>
      </c>
      <c r="AD51" s="2">
        <f t="shared" si="0"/>
        <v>1.9200000000000017</v>
      </c>
      <c r="AE51" s="138">
        <f t="shared" si="1"/>
        <v>-5.8066759388038958E-2</v>
      </c>
    </row>
    <row r="52" spans="2:31" x14ac:dyDescent="0.25">
      <c r="B52" s="380">
        <v>42576</v>
      </c>
      <c r="C52" s="381">
        <v>100</v>
      </c>
      <c r="D52" s="382">
        <v>25</v>
      </c>
      <c r="E52" s="382">
        <v>28.63</v>
      </c>
      <c r="F52" s="382">
        <f t="shared" ref="F52" si="31">C52*(E52-D52)</f>
        <v>362.99999999999989</v>
      </c>
      <c r="G52" s="382">
        <f t="shared" ref="G52" si="32">D52*C52</f>
        <v>2500</v>
      </c>
      <c r="H52" s="383">
        <f t="shared" ref="H52" si="33">(E52-D52)/D52</f>
        <v>0.14519999999999997</v>
      </c>
      <c r="I52" s="382"/>
      <c r="O52" s="83">
        <v>0.99</v>
      </c>
      <c r="P52" s="83">
        <f t="shared" si="18"/>
        <v>31.531500000000001</v>
      </c>
      <c r="Q52" s="2"/>
      <c r="T52" s="93" t="s">
        <v>106</v>
      </c>
      <c r="U52" s="130" t="s">
        <v>511</v>
      </c>
      <c r="W52" s="133">
        <v>42695</v>
      </c>
      <c r="X52" s="10">
        <v>28.5</v>
      </c>
      <c r="Y52" s="10">
        <v>29.07</v>
      </c>
      <c r="Z52" s="10">
        <v>28.47</v>
      </c>
      <c r="AA52" s="10">
        <v>29.05</v>
      </c>
      <c r="AB52" s="95">
        <v>5397500</v>
      </c>
      <c r="AC52" s="10">
        <v>28.76</v>
      </c>
      <c r="AD52" s="2">
        <f t="shared" si="0"/>
        <v>0.60000000000000142</v>
      </c>
      <c r="AE52" s="138">
        <f t="shared" si="1"/>
        <v>2.7877055039313925E-2</v>
      </c>
    </row>
    <row r="53" spans="2:31" x14ac:dyDescent="0.25">
      <c r="B53" s="380">
        <v>42577</v>
      </c>
      <c r="C53" s="381">
        <v>100</v>
      </c>
      <c r="D53" s="382">
        <v>25</v>
      </c>
      <c r="E53" s="382">
        <v>29.34</v>
      </c>
      <c r="F53" s="382">
        <f t="shared" ref="F53" si="34">C53*(E53-D53)</f>
        <v>434</v>
      </c>
      <c r="G53" s="382">
        <f t="shared" ref="G53" si="35">D53*C53</f>
        <v>2500</v>
      </c>
      <c r="H53" s="383">
        <f t="shared" ref="H53" si="36">(E53-D53)/D53</f>
        <v>0.1736</v>
      </c>
      <c r="I53" s="382"/>
      <c r="O53" s="83">
        <v>0.98</v>
      </c>
      <c r="P53" s="83">
        <f t="shared" si="18"/>
        <v>31.213000000000001</v>
      </c>
      <c r="Q53" s="2"/>
      <c r="T53" s="93" t="s">
        <v>107</v>
      </c>
      <c r="U53" s="131">
        <v>2807858</v>
      </c>
      <c r="W53" s="133">
        <v>42692</v>
      </c>
      <c r="X53" s="10">
        <v>27.21</v>
      </c>
      <c r="Y53" s="10">
        <v>28.36</v>
      </c>
      <c r="Z53" s="10">
        <v>27.21</v>
      </c>
      <c r="AA53" s="10">
        <v>28.26</v>
      </c>
      <c r="AB53" s="95">
        <v>4148600</v>
      </c>
      <c r="AC53" s="10">
        <v>27.98</v>
      </c>
      <c r="AD53" s="2">
        <f t="shared" si="0"/>
        <v>1.1499999999999986</v>
      </c>
      <c r="AE53" s="138">
        <f t="shared" si="1"/>
        <v>3.3998521803400017E-2</v>
      </c>
    </row>
    <row r="54" spans="2:31" x14ac:dyDescent="0.25">
      <c r="B54" s="380">
        <v>42580</v>
      </c>
      <c r="C54" s="381">
        <v>100</v>
      </c>
      <c r="D54" s="382">
        <v>25</v>
      </c>
      <c r="E54" s="382">
        <v>27</v>
      </c>
      <c r="F54" s="382">
        <f t="shared" ref="F54" si="37">C54*(E54-D54)</f>
        <v>200</v>
      </c>
      <c r="G54" s="382">
        <f t="shared" ref="G54" si="38">D54*C54</f>
        <v>2500</v>
      </c>
      <c r="H54" s="383">
        <f t="shared" ref="H54" si="39">(E54-D54)/D54</f>
        <v>0.08</v>
      </c>
      <c r="I54" s="382"/>
      <c r="O54" s="83">
        <v>0.97</v>
      </c>
      <c r="P54" s="83">
        <f t="shared" si="18"/>
        <v>30.894500000000001</v>
      </c>
      <c r="T54" s="93" t="s">
        <v>110</v>
      </c>
      <c r="U54" s="131">
        <v>4969890</v>
      </c>
      <c r="W54" s="133">
        <v>42691</v>
      </c>
      <c r="X54" s="10">
        <v>27.24</v>
      </c>
      <c r="Y54" s="10">
        <v>27.44</v>
      </c>
      <c r="Z54" s="10">
        <v>27.02</v>
      </c>
      <c r="AA54" s="10">
        <v>27.33</v>
      </c>
      <c r="AB54" s="95">
        <v>2786700</v>
      </c>
      <c r="AC54" s="10">
        <v>27.06</v>
      </c>
      <c r="AD54" s="2">
        <f t="shared" si="0"/>
        <v>0.42000000000000171</v>
      </c>
      <c r="AE54" s="138">
        <f t="shared" si="1"/>
        <v>4.4543429844097204E-3</v>
      </c>
    </row>
    <row r="55" spans="2:31" x14ac:dyDescent="0.25">
      <c r="B55" s="380">
        <v>42584</v>
      </c>
      <c r="C55" s="381">
        <v>0</v>
      </c>
      <c r="D55" s="382"/>
      <c r="E55" s="382"/>
      <c r="F55" s="382">
        <v>287.94</v>
      </c>
      <c r="G55" s="382"/>
      <c r="H55" s="383"/>
      <c r="I55" s="382"/>
      <c r="O55" s="83">
        <v>0.96</v>
      </c>
      <c r="P55" s="83">
        <f t="shared" si="18"/>
        <v>30.576000000000001</v>
      </c>
      <c r="T55" s="93" t="s">
        <v>108</v>
      </c>
      <c r="U55" s="130" t="s">
        <v>587</v>
      </c>
      <c r="W55" s="133">
        <v>42690</v>
      </c>
      <c r="X55" s="10">
        <v>27.73</v>
      </c>
      <c r="Y55" s="10">
        <v>27.95</v>
      </c>
      <c r="Z55" s="10">
        <v>27.15</v>
      </c>
      <c r="AA55" s="10">
        <v>27.21</v>
      </c>
      <c r="AB55" s="95">
        <v>3388800</v>
      </c>
      <c r="AC55" s="10">
        <v>26.94</v>
      </c>
      <c r="AD55" s="2">
        <f t="shared" si="0"/>
        <v>0.80000000000000071</v>
      </c>
      <c r="AE55" s="138">
        <f t="shared" si="1"/>
        <v>-2.6382363570654155E-2</v>
      </c>
    </row>
    <row r="56" spans="2:31" x14ac:dyDescent="0.25">
      <c r="B56" s="193"/>
      <c r="C56" s="10"/>
      <c r="D56" s="40"/>
      <c r="E56" s="40"/>
      <c r="F56" s="40"/>
      <c r="G56" s="40"/>
      <c r="H56" s="231"/>
      <c r="I56" s="40"/>
      <c r="O56" s="83">
        <v>0.95</v>
      </c>
      <c r="P56" s="83">
        <f t="shared" si="18"/>
        <v>30.2575</v>
      </c>
      <c r="T56" s="93" t="s">
        <v>111</v>
      </c>
      <c r="U56" s="130">
        <v>25.06</v>
      </c>
      <c r="W56" s="133">
        <v>42689</v>
      </c>
      <c r="X56" s="10">
        <v>28.13</v>
      </c>
      <c r="Y56" s="10">
        <v>28.19</v>
      </c>
      <c r="Z56" s="10">
        <v>27.57</v>
      </c>
      <c r="AA56" s="10">
        <v>27.95</v>
      </c>
      <c r="AB56" s="95">
        <v>4852100</v>
      </c>
      <c r="AC56" s="10">
        <v>27.67</v>
      </c>
      <c r="AD56" s="2">
        <f t="shared" si="0"/>
        <v>0.62000000000000099</v>
      </c>
      <c r="AE56" s="138">
        <f t="shared" si="1"/>
        <v>-1.2138521956444159E-2</v>
      </c>
    </row>
    <row r="57" spans="2:31" x14ac:dyDescent="0.25">
      <c r="B57" s="191" t="s">
        <v>114</v>
      </c>
      <c r="C57" s="191" t="s">
        <v>147</v>
      </c>
      <c r="D57" s="192" t="s">
        <v>146</v>
      </c>
      <c r="E57" s="194" t="s">
        <v>148</v>
      </c>
      <c r="F57" s="194" t="s">
        <v>65</v>
      </c>
      <c r="G57" s="229" t="s">
        <v>152</v>
      </c>
      <c r="H57" s="229" t="s">
        <v>88</v>
      </c>
      <c r="I57" s="229" t="s">
        <v>155</v>
      </c>
      <c r="O57" s="83">
        <v>0.94</v>
      </c>
      <c r="P57" s="83">
        <f t="shared" si="18"/>
        <v>29.939</v>
      </c>
      <c r="T57" s="93" t="s">
        <v>112</v>
      </c>
      <c r="U57" s="130">
        <v>1.25</v>
      </c>
      <c r="W57" s="133">
        <v>42688</v>
      </c>
      <c r="X57" s="10">
        <v>27.45</v>
      </c>
      <c r="Y57" s="10">
        <v>28.3</v>
      </c>
      <c r="Z57" s="10">
        <v>27.45</v>
      </c>
      <c r="AA57" s="10">
        <v>28.29</v>
      </c>
      <c r="AB57" s="95">
        <v>6924200</v>
      </c>
      <c r="AC57" s="10">
        <v>28.01</v>
      </c>
      <c r="AD57" s="2">
        <f t="shared" si="0"/>
        <v>0.85000000000000142</v>
      </c>
      <c r="AE57" s="138">
        <f t="shared" si="1"/>
        <v>3.2436417250276461E-2</v>
      </c>
    </row>
    <row r="58" spans="2:31" x14ac:dyDescent="0.25">
      <c r="B58" s="266">
        <v>42627</v>
      </c>
      <c r="C58" s="261">
        <v>50</v>
      </c>
      <c r="D58" s="262">
        <v>25.74</v>
      </c>
      <c r="E58" s="262">
        <v>25.83</v>
      </c>
      <c r="F58" s="262">
        <f t="shared" ref="F58" si="40">C58*(E58-D58)</f>
        <v>4.4999999999999929</v>
      </c>
      <c r="G58" s="262">
        <f t="shared" ref="G58" si="41">D58*C58</f>
        <v>1287</v>
      </c>
      <c r="H58" s="276">
        <f t="shared" ref="H58" si="42">(E58-D58)/D58</f>
        <v>3.4965034965034913E-3</v>
      </c>
      <c r="I58" s="262"/>
      <c r="O58" s="83">
        <v>0.93</v>
      </c>
      <c r="P58" s="83">
        <f t="shared" si="18"/>
        <v>29.620500000000003</v>
      </c>
      <c r="T58" s="93" t="s">
        <v>109</v>
      </c>
      <c r="U58" s="130" t="s">
        <v>588</v>
      </c>
      <c r="W58" s="133">
        <v>42685</v>
      </c>
      <c r="X58" s="10">
        <v>28.07</v>
      </c>
      <c r="Y58" s="10">
        <v>28.18</v>
      </c>
      <c r="Z58" s="10">
        <v>26.8</v>
      </c>
      <c r="AA58" s="10">
        <v>27.41</v>
      </c>
      <c r="AB58" s="95">
        <v>7431600</v>
      </c>
      <c r="AC58" s="10">
        <v>27.13</v>
      </c>
      <c r="AD58" s="2">
        <f t="shared" si="0"/>
        <v>1.379999999999999</v>
      </c>
      <c r="AE58" s="138">
        <f t="shared" si="1"/>
        <v>-2.9338103756708422E-2</v>
      </c>
    </row>
    <row r="59" spans="2:31" x14ac:dyDescent="0.25">
      <c r="B59" s="266">
        <v>42629</v>
      </c>
      <c r="C59" s="261">
        <v>50</v>
      </c>
      <c r="D59" s="262">
        <v>25.74</v>
      </c>
      <c r="E59" s="262">
        <v>25.54</v>
      </c>
      <c r="F59" s="262">
        <f t="shared" ref="F59:F64" si="43">C59*(E59-D59)</f>
        <v>-9.9999999999999645</v>
      </c>
      <c r="G59" s="262">
        <f t="shared" ref="G59:G64" si="44">D59*C59</f>
        <v>1287</v>
      </c>
      <c r="H59" s="276">
        <f t="shared" ref="H59:H64" si="45">(E59-D59)/D59</f>
        <v>-7.7700077700077431E-3</v>
      </c>
      <c r="I59" s="262"/>
      <c r="O59" s="83">
        <v>0.92</v>
      </c>
      <c r="P59" s="83">
        <f t="shared" si="18"/>
        <v>29.302000000000003</v>
      </c>
      <c r="W59" s="133">
        <v>42684</v>
      </c>
      <c r="X59" s="10">
        <v>26.93</v>
      </c>
      <c r="Y59" s="10">
        <v>28.5</v>
      </c>
      <c r="Z59" s="10">
        <v>26.93</v>
      </c>
      <c r="AA59" s="10">
        <v>28.23</v>
      </c>
      <c r="AB59" s="95">
        <v>7989700</v>
      </c>
      <c r="AC59" s="10">
        <v>27.95</v>
      </c>
      <c r="AD59" s="2">
        <f t="shared" si="0"/>
        <v>1.5700000000000003</v>
      </c>
      <c r="AE59" s="138">
        <f t="shared" si="1"/>
        <v>5.4716981132075349E-2</v>
      </c>
    </row>
    <row r="60" spans="2:31" x14ac:dyDescent="0.25">
      <c r="B60" s="266">
        <v>42636</v>
      </c>
      <c r="C60" s="261">
        <v>50</v>
      </c>
      <c r="D60" s="262">
        <v>25.74</v>
      </c>
      <c r="E60" s="262">
        <v>24.82</v>
      </c>
      <c r="F60" s="262">
        <f t="shared" si="43"/>
        <v>-45.999999999999908</v>
      </c>
      <c r="G60" s="262">
        <f t="shared" si="44"/>
        <v>1287</v>
      </c>
      <c r="H60" s="276">
        <f t="shared" si="45"/>
        <v>-3.5742035742035674E-2</v>
      </c>
      <c r="I60" s="262"/>
      <c r="O60" s="83">
        <v>0.91</v>
      </c>
      <c r="P60" s="83">
        <f t="shared" si="18"/>
        <v>28.983500000000003</v>
      </c>
      <c r="W60" s="133">
        <v>42683</v>
      </c>
      <c r="X60" s="10">
        <v>25.93</v>
      </c>
      <c r="Y60" s="10">
        <v>26.96</v>
      </c>
      <c r="Z60" s="10">
        <v>25.5</v>
      </c>
      <c r="AA60" s="10">
        <v>26.77</v>
      </c>
      <c r="AB60" s="95">
        <v>5781200</v>
      </c>
      <c r="AC60" s="10">
        <v>26.5</v>
      </c>
      <c r="AD60" s="2">
        <f t="shared" si="0"/>
        <v>1.4600000000000009</v>
      </c>
      <c r="AE60" s="138">
        <f t="shared" si="1"/>
        <v>2.2376543209876365E-2</v>
      </c>
    </row>
    <row r="61" spans="2:31" x14ac:dyDescent="0.25">
      <c r="B61" s="266">
        <v>42639</v>
      </c>
      <c r="C61" s="261">
        <v>100</v>
      </c>
      <c r="D61" s="262">
        <v>24.96</v>
      </c>
      <c r="E61" s="262">
        <v>24.14</v>
      </c>
      <c r="F61" s="262">
        <f t="shared" si="43"/>
        <v>-82.000000000000028</v>
      </c>
      <c r="G61" s="262">
        <f t="shared" si="44"/>
        <v>2496</v>
      </c>
      <c r="H61" s="276">
        <f t="shared" si="45"/>
        <v>-3.2852564102564111E-2</v>
      </c>
      <c r="I61" s="262"/>
      <c r="O61" s="83">
        <v>0.9</v>
      </c>
      <c r="P61" s="83">
        <f t="shared" si="18"/>
        <v>28.665000000000003</v>
      </c>
      <c r="W61" s="133">
        <v>42682</v>
      </c>
      <c r="X61" s="10">
        <v>25.06</v>
      </c>
      <c r="Y61" s="10">
        <v>26.28</v>
      </c>
      <c r="Z61" s="10">
        <v>24.81</v>
      </c>
      <c r="AA61" s="10">
        <v>26.18</v>
      </c>
      <c r="AB61" s="95">
        <v>5437600</v>
      </c>
      <c r="AC61" s="10">
        <v>25.92</v>
      </c>
      <c r="AD61" s="2">
        <f t="shared" si="0"/>
        <v>1.4700000000000024</v>
      </c>
      <c r="AE61" s="138">
        <f t="shared" si="1"/>
        <v>4.2638777152051555E-2</v>
      </c>
    </row>
    <row r="62" spans="2:31" x14ac:dyDescent="0.25">
      <c r="B62" s="266">
        <v>42639</v>
      </c>
      <c r="C62" s="261">
        <v>150</v>
      </c>
      <c r="D62" s="262">
        <v>24.8</v>
      </c>
      <c r="E62" s="262">
        <v>24.14</v>
      </c>
      <c r="F62" s="262">
        <f t="shared" si="43"/>
        <v>-99.000000000000028</v>
      </c>
      <c r="G62" s="262">
        <f t="shared" si="44"/>
        <v>3720</v>
      </c>
      <c r="H62" s="276">
        <f t="shared" si="45"/>
        <v>-2.6612903225806457E-2</v>
      </c>
      <c r="I62" s="262"/>
      <c r="W62" s="133">
        <v>42681</v>
      </c>
      <c r="X62" s="10">
        <v>24.88</v>
      </c>
      <c r="Y62" s="10">
        <v>25.35</v>
      </c>
      <c r="Z62" s="10">
        <v>24.76</v>
      </c>
      <c r="AA62" s="10">
        <v>25.11</v>
      </c>
      <c r="AB62" s="95">
        <v>5524700</v>
      </c>
      <c r="AC62" s="10">
        <v>24.86</v>
      </c>
      <c r="AD62" s="2">
        <f t="shared" si="0"/>
        <v>0.58999999999999986</v>
      </c>
      <c r="AE62" s="138">
        <f t="shared" si="1"/>
        <v>2.5154639175257731E-2</v>
      </c>
    </row>
    <row r="63" spans="2:31" x14ac:dyDescent="0.25">
      <c r="B63" s="266">
        <v>42640</v>
      </c>
      <c r="C63" s="261">
        <v>150</v>
      </c>
      <c r="D63" s="262">
        <v>24.8</v>
      </c>
      <c r="E63" s="262">
        <v>23.99</v>
      </c>
      <c r="F63" s="262">
        <f t="shared" si="43"/>
        <v>-121.50000000000034</v>
      </c>
      <c r="G63" s="262">
        <f t="shared" si="44"/>
        <v>3720</v>
      </c>
      <c r="H63" s="276">
        <f t="shared" si="45"/>
        <v>-3.2661290322580736E-2</v>
      </c>
      <c r="I63" s="262"/>
      <c r="W63" s="133">
        <v>42678</v>
      </c>
      <c r="X63" s="10">
        <v>24.02</v>
      </c>
      <c r="Y63" s="10">
        <v>24.79</v>
      </c>
      <c r="Z63" s="10">
        <v>23.96</v>
      </c>
      <c r="AA63" s="10">
        <v>24.5</v>
      </c>
      <c r="AB63" s="95">
        <v>4357300</v>
      </c>
      <c r="AC63" s="10">
        <v>24.25</v>
      </c>
      <c r="AD63" s="2">
        <f t="shared" si="0"/>
        <v>0.82999999999999829</v>
      </c>
      <c r="AE63" s="138">
        <f t="shared" si="1"/>
        <v>1.4219991635298967E-2</v>
      </c>
    </row>
    <row r="64" spans="2:31" x14ac:dyDescent="0.25">
      <c r="B64" s="266">
        <v>42643</v>
      </c>
      <c r="C64" s="261">
        <v>150</v>
      </c>
      <c r="D64" s="262">
        <v>24.8</v>
      </c>
      <c r="E64" s="262">
        <v>24.46</v>
      </c>
      <c r="F64" s="262">
        <f t="shared" si="43"/>
        <v>-50.999999999999979</v>
      </c>
      <c r="G64" s="262">
        <f t="shared" si="44"/>
        <v>3720</v>
      </c>
      <c r="H64" s="276">
        <f t="shared" si="45"/>
        <v>-1.3709677419354832E-2</v>
      </c>
      <c r="I64" s="262"/>
      <c r="W64" s="133">
        <v>42677</v>
      </c>
      <c r="X64" s="10">
        <v>24.58</v>
      </c>
      <c r="Y64" s="10">
        <v>24.65</v>
      </c>
      <c r="Z64" s="10">
        <v>24.07</v>
      </c>
      <c r="AA64" s="10">
        <v>24.15</v>
      </c>
      <c r="AB64" s="95">
        <v>5481700</v>
      </c>
      <c r="AC64" s="10">
        <v>23.91</v>
      </c>
      <c r="AD64" s="2">
        <f t="shared" si="0"/>
        <v>0.57999999999999829</v>
      </c>
      <c r="AE64" s="138">
        <f t="shared" si="1"/>
        <v>-2.3284313725490224E-2</v>
      </c>
    </row>
    <row r="65" spans="2:31" x14ac:dyDescent="0.25">
      <c r="B65" s="266">
        <v>42646</v>
      </c>
      <c r="C65" s="261">
        <v>150</v>
      </c>
      <c r="D65" s="262">
        <v>24.8</v>
      </c>
      <c r="E65" s="262">
        <v>24.89</v>
      </c>
      <c r="F65" s="262">
        <f t="shared" ref="F65" si="46">C65*(E65-D65)</f>
        <v>13.499999999999979</v>
      </c>
      <c r="G65" s="262">
        <f t="shared" ref="G65" si="47">D65*C65</f>
        <v>3720</v>
      </c>
      <c r="H65" s="276">
        <f t="shared" ref="H65" si="48">(E65-D65)/D65</f>
        <v>3.6290322580645102E-3</v>
      </c>
      <c r="I65" s="262"/>
      <c r="W65" s="133">
        <v>42676</v>
      </c>
      <c r="X65" s="10">
        <v>24.53</v>
      </c>
      <c r="Y65" s="10">
        <v>25.04</v>
      </c>
      <c r="Z65" s="10">
        <v>24.21</v>
      </c>
      <c r="AA65" s="10">
        <v>24.73</v>
      </c>
      <c r="AB65" s="95">
        <v>7180500</v>
      </c>
      <c r="AC65" s="10">
        <v>24.48</v>
      </c>
      <c r="AD65" s="2">
        <f t="shared" si="0"/>
        <v>0.82999999999999829</v>
      </c>
      <c r="AE65" s="138">
        <f t="shared" si="1"/>
        <v>1.6611295681063121E-2</v>
      </c>
    </row>
    <row r="66" spans="2:31" x14ac:dyDescent="0.25">
      <c r="B66" s="266">
        <v>42648</v>
      </c>
      <c r="C66" s="261">
        <v>150</v>
      </c>
      <c r="D66" s="262">
        <v>24.8</v>
      </c>
      <c r="E66" s="262">
        <v>25.07</v>
      </c>
      <c r="F66" s="262">
        <f t="shared" ref="F66" si="49">C66*(E66-D66)</f>
        <v>40.499999999999936</v>
      </c>
      <c r="G66" s="262">
        <f t="shared" ref="G66" si="50">D66*C66</f>
        <v>3720</v>
      </c>
      <c r="H66" s="276">
        <f t="shared" ref="H66" si="51">(E66-D66)/D66</f>
        <v>1.0887096774193531E-2</v>
      </c>
      <c r="I66" s="262"/>
      <c r="W66" s="133">
        <v>42675</v>
      </c>
      <c r="X66" s="10">
        <v>23.96</v>
      </c>
      <c r="Y66" s="10">
        <v>24.94</v>
      </c>
      <c r="Z66" s="10">
        <v>23.66</v>
      </c>
      <c r="AA66" s="10">
        <v>24.32</v>
      </c>
      <c r="AB66" s="95">
        <v>8046100</v>
      </c>
      <c r="AC66" s="10">
        <v>24.08</v>
      </c>
      <c r="AD66" s="2">
        <f t="shared" si="0"/>
        <v>1.2800000000000011</v>
      </c>
      <c r="AE66" s="138">
        <f t="shared" si="1"/>
        <v>3.3920137398024908E-2</v>
      </c>
    </row>
    <row r="67" spans="2:31" x14ac:dyDescent="0.25">
      <c r="B67" s="266">
        <v>42649</v>
      </c>
      <c r="C67" s="261">
        <v>150</v>
      </c>
      <c r="D67" s="262">
        <v>24.8</v>
      </c>
      <c r="E67" s="262">
        <v>24.85</v>
      </c>
      <c r="F67" s="262">
        <f t="shared" ref="F67" si="52">C67*(E67-D67)</f>
        <v>7.5000000000001066</v>
      </c>
      <c r="G67" s="262">
        <f t="shared" ref="G67" si="53">D67*C67</f>
        <v>3720</v>
      </c>
      <c r="H67" s="276">
        <f t="shared" ref="H67" si="54">(E67-D67)/D67</f>
        <v>2.0161290322580931E-3</v>
      </c>
      <c r="I67" s="262"/>
      <c r="W67" s="133">
        <v>42674</v>
      </c>
      <c r="X67" s="10">
        <v>23.72</v>
      </c>
      <c r="Y67" s="10">
        <v>23.9</v>
      </c>
      <c r="Z67" s="10">
        <v>23.26</v>
      </c>
      <c r="AA67" s="10">
        <v>23.53</v>
      </c>
      <c r="AB67" s="95">
        <v>4857100</v>
      </c>
      <c r="AC67" s="10">
        <v>23.29</v>
      </c>
      <c r="AD67" s="2">
        <f>Y67-Z67</f>
        <v>0.63999999999999702</v>
      </c>
      <c r="AE67" s="138" t="e">
        <f>AC67/#REF!-1</f>
        <v>#REF!</v>
      </c>
    </row>
    <row r="68" spans="2:31" x14ac:dyDescent="0.25">
      <c r="B68" s="266">
        <v>42650</v>
      </c>
      <c r="C68" s="261">
        <v>150</v>
      </c>
      <c r="D68" s="262">
        <v>24.8</v>
      </c>
      <c r="E68" s="262">
        <v>24.58</v>
      </c>
      <c r="F68" s="262">
        <f t="shared" ref="F68" si="55">C68*(E68-D68)</f>
        <v>-33.000000000000362</v>
      </c>
      <c r="G68" s="262">
        <f t="shared" ref="G68" si="56">D68*C68</f>
        <v>3720</v>
      </c>
      <c r="H68" s="276">
        <f t="shared" ref="H68" si="57">(E68-D68)/D68</f>
        <v>-8.8709677419355811E-3</v>
      </c>
      <c r="I68" s="262"/>
      <c r="W68" s="133">
        <v>42671</v>
      </c>
      <c r="X68" s="10">
        <v>23.99</v>
      </c>
      <c r="Y68" s="10">
        <v>24.29</v>
      </c>
      <c r="Z68" s="10">
        <v>23.53</v>
      </c>
      <c r="AA68" s="10">
        <v>23.79</v>
      </c>
      <c r="AB68" s="95">
        <v>3762700</v>
      </c>
      <c r="AC68" s="10">
        <v>23.55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266">
        <v>42661</v>
      </c>
      <c r="C69" s="261">
        <v>150</v>
      </c>
      <c r="D69" s="262">
        <v>24.8</v>
      </c>
      <c r="E69" s="262">
        <v>23.39</v>
      </c>
      <c r="F69" s="262">
        <f t="shared" ref="F69" si="58">C69*(E69-D69)</f>
        <v>-211.50000000000003</v>
      </c>
      <c r="G69" s="262">
        <f t="shared" ref="G69" si="59">D69*C69</f>
        <v>3720</v>
      </c>
      <c r="H69" s="276">
        <f t="shared" ref="H69" si="60">(E69-D69)/D69</f>
        <v>-5.6854838709677426E-2</v>
      </c>
      <c r="I69" s="262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2:31" x14ac:dyDescent="0.25">
      <c r="B70" s="266">
        <v>42662</v>
      </c>
      <c r="C70" s="261">
        <v>150</v>
      </c>
      <c r="D70" s="262">
        <v>24.8</v>
      </c>
      <c r="E70" s="262">
        <v>23.84</v>
      </c>
      <c r="F70" s="262">
        <f t="shared" ref="F70" si="61">C70*(E70-D70)</f>
        <v>-144.00000000000011</v>
      </c>
      <c r="G70" s="262">
        <f t="shared" ref="G70" si="62">D70*C70</f>
        <v>3720</v>
      </c>
      <c r="H70" s="276">
        <f t="shared" ref="H70" si="63">(E70-D70)/D70</f>
        <v>-3.8709677419354875E-2</v>
      </c>
      <c r="I70" s="262"/>
    </row>
    <row r="71" spans="2:31" x14ac:dyDescent="0.25">
      <c r="B71" s="266">
        <v>42664</v>
      </c>
      <c r="C71" s="261">
        <v>150</v>
      </c>
      <c r="D71" s="262">
        <v>24.8</v>
      </c>
      <c r="E71" s="262">
        <v>24.31</v>
      </c>
      <c r="F71" s="262">
        <f t="shared" ref="F71:F72" si="64">C71*(E71-D71)</f>
        <v>-73.500000000000298</v>
      </c>
      <c r="G71" s="262">
        <f t="shared" ref="G71:G72" si="65">D71*C71</f>
        <v>3720</v>
      </c>
      <c r="H71" s="276">
        <f t="shared" ref="H71:H72" si="66">(E71-D71)/D71</f>
        <v>-1.975806451612911E-2</v>
      </c>
      <c r="I71" s="262"/>
    </row>
    <row r="72" spans="2:31" x14ac:dyDescent="0.25">
      <c r="B72" s="266">
        <v>42670</v>
      </c>
      <c r="C72" s="261">
        <v>150</v>
      </c>
      <c r="D72" s="262">
        <v>24.626899999999999</v>
      </c>
      <c r="E72" s="262">
        <v>23.93</v>
      </c>
      <c r="F72" s="262">
        <f t="shared" si="64"/>
        <v>-104.53499999999991</v>
      </c>
      <c r="G72" s="262">
        <f t="shared" si="65"/>
        <v>3694.0349999999999</v>
      </c>
      <c r="H72" s="276">
        <f t="shared" si="66"/>
        <v>-2.8298324190214743E-2</v>
      </c>
      <c r="I72" s="262"/>
    </row>
    <row r="73" spans="2:31" x14ac:dyDescent="0.25">
      <c r="B73" s="266">
        <v>42674</v>
      </c>
      <c r="C73" s="261">
        <v>150</v>
      </c>
      <c r="D73" s="262">
        <v>24.626899999999999</v>
      </c>
      <c r="E73" s="262">
        <v>23.53</v>
      </c>
      <c r="F73" s="262">
        <f t="shared" ref="F73:F74" si="67">C73*(E73-D73)</f>
        <v>-164.53499999999968</v>
      </c>
      <c r="G73" s="262">
        <f t="shared" ref="G73:G74" si="68">D73*C73</f>
        <v>3694.0349999999999</v>
      </c>
      <c r="H73" s="276">
        <f t="shared" ref="H73:H74" si="69">(E73-D73)/D73</f>
        <v>-4.4540725791715481E-2</v>
      </c>
      <c r="I73" s="262"/>
    </row>
    <row r="74" spans="2:31" x14ac:dyDescent="0.25">
      <c r="B74" s="266">
        <v>42675</v>
      </c>
      <c r="C74" s="261">
        <v>150</v>
      </c>
      <c r="D74" s="262">
        <v>24.264700000000001</v>
      </c>
      <c r="E74" s="262">
        <v>24.32</v>
      </c>
      <c r="F74" s="262">
        <f t="shared" si="67"/>
        <v>8.2949999999998525</v>
      </c>
      <c r="G74" s="262">
        <f t="shared" si="68"/>
        <v>3639.7050000000004</v>
      </c>
      <c r="H74" s="276">
        <f t="shared" si="69"/>
        <v>2.2790308555225912E-3</v>
      </c>
      <c r="I74" s="262"/>
    </row>
    <row r="75" spans="2:31" x14ac:dyDescent="0.25">
      <c r="B75" s="266">
        <v>42676</v>
      </c>
      <c r="C75" s="261">
        <v>150</v>
      </c>
      <c r="D75" s="262">
        <v>24.264700000000001</v>
      </c>
      <c r="E75" s="262">
        <v>24.73</v>
      </c>
      <c r="F75" s="262">
        <f t="shared" ref="F75:F76" si="70">C75*(E75-D75)</f>
        <v>69.794999999999874</v>
      </c>
      <c r="G75" s="262">
        <f t="shared" ref="G75:G76" si="71">D75*C75</f>
        <v>3639.7050000000004</v>
      </c>
      <c r="H75" s="276">
        <f t="shared" ref="H75:H76" si="72">(E75-D75)/D75</f>
        <v>1.9176004648728363E-2</v>
      </c>
      <c r="I75" s="262"/>
    </row>
    <row r="76" spans="2:31" x14ac:dyDescent="0.25">
      <c r="B76" s="266">
        <v>42704</v>
      </c>
      <c r="C76" s="261">
        <v>100</v>
      </c>
      <c r="D76" s="262">
        <v>22.507400000000001</v>
      </c>
      <c r="E76" s="262">
        <v>28.4</v>
      </c>
      <c r="F76" s="262">
        <f t="shared" si="70"/>
        <v>589.25999999999976</v>
      </c>
      <c r="G76" s="262">
        <f t="shared" si="71"/>
        <v>2250.7400000000002</v>
      </c>
      <c r="H76" s="276">
        <f t="shared" si="72"/>
        <v>0.26180722784506422</v>
      </c>
      <c r="I76" s="262"/>
    </row>
    <row r="77" spans="2:31" x14ac:dyDescent="0.25">
      <c r="B77" s="266">
        <v>42711</v>
      </c>
      <c r="C77" s="261">
        <v>0</v>
      </c>
      <c r="D77" s="262"/>
      <c r="E77" s="262"/>
      <c r="F77" s="262">
        <v>727.2</v>
      </c>
      <c r="G77" s="262"/>
      <c r="H77" s="276"/>
      <c r="I77" s="262"/>
    </row>
    <row r="78" spans="2:31" x14ac:dyDescent="0.25">
      <c r="B78" s="193"/>
      <c r="C78" s="10"/>
      <c r="D78" s="40"/>
      <c r="E78" s="40"/>
      <c r="F78" s="40"/>
      <c r="G78" s="40"/>
      <c r="H78" s="231"/>
      <c r="I78" s="40"/>
    </row>
    <row r="79" spans="2:31" x14ac:dyDescent="0.25">
      <c r="B79" s="193"/>
      <c r="C79" s="10"/>
      <c r="D79" s="40"/>
      <c r="E79" s="40"/>
      <c r="F79" s="40"/>
      <c r="G79" s="40"/>
      <c r="H79" s="231"/>
      <c r="I79" s="40"/>
    </row>
    <row r="80" spans="2:31" x14ac:dyDescent="0.25">
      <c r="B80" s="193"/>
      <c r="C80" s="10"/>
      <c r="D80" s="40"/>
      <c r="E80" s="40"/>
      <c r="F80" s="40"/>
      <c r="G80" s="40"/>
      <c r="H80" s="231"/>
      <c r="I80" s="40"/>
    </row>
    <row r="84" spans="1:13" x14ac:dyDescent="0.25">
      <c r="L84" t="s">
        <v>65</v>
      </c>
      <c r="M84" s="2">
        <f>K102+M102-F102</f>
        <v>1452.2599999999984</v>
      </c>
    </row>
    <row r="85" spans="1:13" x14ac:dyDescent="0.25">
      <c r="A85" s="477" t="s">
        <v>1</v>
      </c>
      <c r="B85" s="477" t="s">
        <v>2</v>
      </c>
      <c r="C85" s="477" t="s">
        <v>4</v>
      </c>
      <c r="D85" s="478" t="s">
        <v>5</v>
      </c>
      <c r="E85" s="478" t="s">
        <v>94</v>
      </c>
      <c r="F85" s="478" t="s">
        <v>60</v>
      </c>
      <c r="G85" s="477" t="s">
        <v>3</v>
      </c>
      <c r="H85" s="477" t="s">
        <v>6</v>
      </c>
      <c r="I85" s="478" t="s">
        <v>7</v>
      </c>
      <c r="J85" s="478" t="s">
        <v>95</v>
      </c>
      <c r="K85" s="478" t="s">
        <v>61</v>
      </c>
      <c r="L85" s="477" t="s">
        <v>37</v>
      </c>
      <c r="M85" s="477" t="s">
        <v>38</v>
      </c>
    </row>
    <row r="86" spans="1:13" x14ac:dyDescent="0.25">
      <c r="A86" s="479" t="s">
        <v>233</v>
      </c>
      <c r="B86" s="480">
        <v>42548</v>
      </c>
      <c r="C86" s="481">
        <v>100</v>
      </c>
      <c r="D86" s="482">
        <v>25</v>
      </c>
      <c r="E86" s="482">
        <v>0</v>
      </c>
      <c r="F86" s="482">
        <f>D86*C86+E86</f>
        <v>2500</v>
      </c>
      <c r="G86" s="480">
        <v>42584</v>
      </c>
      <c r="H86" s="483">
        <v>100</v>
      </c>
      <c r="I86" s="482">
        <v>27.88</v>
      </c>
      <c r="J86" s="482">
        <v>0.06</v>
      </c>
      <c r="K86" s="482">
        <f>H86*I86-J86</f>
        <v>2787.94</v>
      </c>
      <c r="L86" s="480">
        <v>42719</v>
      </c>
      <c r="M86" s="481">
        <v>41.25</v>
      </c>
    </row>
    <row r="87" spans="1:13" x14ac:dyDescent="0.25">
      <c r="A87" s="484" t="s">
        <v>71</v>
      </c>
      <c r="B87" s="480">
        <v>42627</v>
      </c>
      <c r="C87" s="481">
        <v>50</v>
      </c>
      <c r="D87" s="482">
        <v>25.74</v>
      </c>
      <c r="E87" s="482">
        <v>0</v>
      </c>
      <c r="F87" s="482">
        <v>1287</v>
      </c>
      <c r="G87" s="480" t="s">
        <v>418</v>
      </c>
      <c r="H87" s="483">
        <v>50</v>
      </c>
      <c r="I87" s="482">
        <v>25</v>
      </c>
      <c r="J87" s="482">
        <v>0.03</v>
      </c>
      <c r="K87" s="482">
        <v>1249.97</v>
      </c>
      <c r="L87" s="481"/>
      <c r="M87" s="481"/>
    </row>
    <row r="88" spans="1:13" x14ac:dyDescent="0.25">
      <c r="A88" s="481"/>
      <c r="B88" s="480">
        <v>42639</v>
      </c>
      <c r="C88" s="481">
        <v>50</v>
      </c>
      <c r="D88" s="482">
        <v>24.48</v>
      </c>
      <c r="E88" s="482">
        <v>0</v>
      </c>
      <c r="F88" s="482">
        <v>1224</v>
      </c>
      <c r="G88" s="480" t="s">
        <v>418</v>
      </c>
      <c r="H88" s="483">
        <v>100</v>
      </c>
      <c r="I88" s="482">
        <v>24.88</v>
      </c>
      <c r="J88" s="482">
        <v>0.05</v>
      </c>
      <c r="K88" s="482">
        <v>2487.9499999999998</v>
      </c>
      <c r="L88" s="481"/>
      <c r="M88" s="481"/>
    </row>
    <row r="89" spans="1:13" x14ac:dyDescent="0.25">
      <c r="A89" s="481"/>
      <c r="B89" s="480">
        <v>42639</v>
      </c>
      <c r="C89" s="481">
        <v>50</v>
      </c>
      <c r="D89" s="482">
        <v>24.18</v>
      </c>
      <c r="E89" s="482">
        <v>0</v>
      </c>
      <c r="F89" s="482">
        <v>1209</v>
      </c>
      <c r="G89" s="480" t="s">
        <v>418</v>
      </c>
      <c r="H89" s="483">
        <v>50</v>
      </c>
      <c r="I89" s="482">
        <v>27.78</v>
      </c>
      <c r="J89" s="482">
        <v>0.03</v>
      </c>
      <c r="K89" s="482">
        <v>1388.97</v>
      </c>
      <c r="L89" s="481"/>
      <c r="M89" s="481"/>
    </row>
    <row r="90" spans="1:13" x14ac:dyDescent="0.25">
      <c r="A90" s="481"/>
      <c r="B90" s="480">
        <v>42670</v>
      </c>
      <c r="C90" s="481">
        <v>50</v>
      </c>
      <c r="D90" s="482">
        <v>24.48</v>
      </c>
      <c r="E90" s="482">
        <v>0</v>
      </c>
      <c r="F90" s="482">
        <v>1224</v>
      </c>
      <c r="G90" s="480" t="s">
        <v>418</v>
      </c>
      <c r="H90" s="483">
        <v>100</v>
      </c>
      <c r="I90" s="482">
        <v>29.78</v>
      </c>
      <c r="J90" s="482">
        <v>0.06</v>
      </c>
      <c r="K90" s="482">
        <v>2977.94</v>
      </c>
      <c r="L90" s="481"/>
      <c r="M90" s="481"/>
    </row>
    <row r="91" spans="1:13" x14ac:dyDescent="0.25">
      <c r="A91" s="481"/>
      <c r="B91" s="480" t="s">
        <v>418</v>
      </c>
      <c r="C91" s="481">
        <v>100</v>
      </c>
      <c r="D91" s="482">
        <v>24.34</v>
      </c>
      <c r="E91" s="482">
        <v>-0.37</v>
      </c>
      <c r="F91" s="482">
        <v>2433.63</v>
      </c>
      <c r="G91" s="481"/>
      <c r="H91" s="483"/>
      <c r="I91" s="482"/>
      <c r="J91" s="482"/>
      <c r="K91" s="482"/>
      <c r="L91" s="481"/>
      <c r="M91" s="481"/>
    </row>
    <row r="92" spans="1:13" x14ac:dyDescent="0.25">
      <c r="A92" s="481"/>
      <c r="B92" s="537">
        <v>42723</v>
      </c>
      <c r="C92" s="538">
        <v>100</v>
      </c>
      <c r="D92" s="540">
        <v>27.98</v>
      </c>
      <c r="E92" s="540">
        <v>0</v>
      </c>
      <c r="F92" s="540">
        <f>D92*C92+E92</f>
        <v>2798</v>
      </c>
      <c r="G92" s="537">
        <v>42724</v>
      </c>
      <c r="H92" s="538">
        <v>100</v>
      </c>
      <c r="I92" s="540">
        <v>27.94</v>
      </c>
      <c r="J92" s="540">
        <v>0.06</v>
      </c>
      <c r="K92" s="540">
        <f>I92*H92-J92</f>
        <v>2793.94</v>
      </c>
      <c r="L92" s="481"/>
      <c r="M92" s="481"/>
    </row>
    <row r="93" spans="1:13" x14ac:dyDescent="0.25">
      <c r="A93" s="481"/>
      <c r="B93" s="459">
        <v>42724</v>
      </c>
      <c r="C93" s="7">
        <v>100</v>
      </c>
      <c r="D93" s="44">
        <v>27.58</v>
      </c>
      <c r="E93" s="44">
        <v>0</v>
      </c>
      <c r="F93" s="44">
        <f>D93*C93+E93</f>
        <v>2758</v>
      </c>
      <c r="G93" s="459">
        <v>42758</v>
      </c>
      <c r="H93" s="82">
        <v>100</v>
      </c>
      <c r="I93" s="44">
        <v>31.58</v>
      </c>
      <c r="J93" s="44">
        <v>7.0000000000000007E-2</v>
      </c>
      <c r="K93" s="44">
        <f>H93*I93-J93</f>
        <v>3157.93</v>
      </c>
      <c r="L93" s="481"/>
      <c r="M93" s="481"/>
    </row>
    <row r="94" spans="1:13" x14ac:dyDescent="0.25">
      <c r="A94" s="481"/>
      <c r="B94" s="481"/>
      <c r="C94" s="481"/>
      <c r="D94" s="482"/>
      <c r="E94" s="482"/>
      <c r="F94" s="482"/>
      <c r="G94" s="481"/>
      <c r="H94" s="483"/>
      <c r="I94" s="482"/>
      <c r="J94" s="482"/>
      <c r="K94" s="482"/>
      <c r="L94" s="481"/>
      <c r="M94" s="481"/>
    </row>
    <row r="95" spans="1:13" x14ac:dyDescent="0.25">
      <c r="A95" s="481"/>
      <c r="B95" s="481"/>
      <c r="C95" s="481"/>
      <c r="D95" s="482"/>
      <c r="E95" s="482"/>
      <c r="F95" s="482"/>
      <c r="G95" s="481"/>
      <c r="H95" s="483"/>
      <c r="I95" s="482"/>
      <c r="J95" s="482"/>
      <c r="K95" s="482"/>
      <c r="L95" s="481"/>
      <c r="M95" s="481"/>
    </row>
    <row r="96" spans="1:13" x14ac:dyDescent="0.25">
      <c r="A96" s="481"/>
      <c r="B96" s="481"/>
      <c r="C96" s="481"/>
      <c r="D96" s="482"/>
      <c r="E96" s="482"/>
      <c r="F96" s="482"/>
      <c r="G96" s="481"/>
      <c r="H96" s="483"/>
      <c r="I96" s="482"/>
      <c r="J96" s="482"/>
      <c r="K96" s="482"/>
      <c r="L96" s="481"/>
      <c r="M96" s="481"/>
    </row>
    <row r="97" spans="1:13" x14ac:dyDescent="0.25">
      <c r="A97" s="481"/>
      <c r="B97" s="481"/>
      <c r="C97" s="481"/>
      <c r="D97" s="482"/>
      <c r="E97" s="482"/>
      <c r="F97" s="482"/>
      <c r="G97" s="481"/>
      <c r="H97" s="483"/>
      <c r="I97" s="482"/>
      <c r="J97" s="482"/>
      <c r="K97" s="482"/>
      <c r="L97" s="481"/>
      <c r="M97" s="481"/>
    </row>
    <row r="98" spans="1:13" x14ac:dyDescent="0.25">
      <c r="A98" s="481"/>
      <c r="B98" s="481"/>
      <c r="C98" s="481"/>
      <c r="D98" s="482"/>
      <c r="E98" s="482"/>
      <c r="F98" s="482"/>
      <c r="G98" s="481"/>
      <c r="H98" s="483"/>
      <c r="I98" s="482"/>
      <c r="J98" s="482"/>
      <c r="K98" s="482"/>
      <c r="L98" s="481"/>
      <c r="M98" s="481"/>
    </row>
    <row r="99" spans="1:13" x14ac:dyDescent="0.25">
      <c r="A99" s="481"/>
      <c r="B99" s="481"/>
      <c r="C99" s="481"/>
      <c r="D99" s="482"/>
      <c r="E99" s="482"/>
      <c r="F99" s="482"/>
      <c r="G99" s="481"/>
      <c r="H99" s="483"/>
      <c r="I99" s="482"/>
      <c r="J99" s="482"/>
      <c r="K99" s="482"/>
      <c r="L99" s="481"/>
      <c r="M99" s="481"/>
    </row>
    <row r="100" spans="1:13" x14ac:dyDescent="0.25">
      <c r="A100" s="481"/>
      <c r="B100" s="481"/>
      <c r="C100" s="481"/>
      <c r="D100" s="482"/>
      <c r="E100" s="482"/>
      <c r="F100" s="482"/>
      <c r="G100" s="481"/>
      <c r="H100" s="483"/>
      <c r="I100" s="482"/>
      <c r="J100" s="482"/>
      <c r="K100" s="482"/>
      <c r="L100" s="481"/>
      <c r="M100" s="481"/>
    </row>
    <row r="101" spans="1:13" x14ac:dyDescent="0.25">
      <c r="A101" s="481"/>
      <c r="B101" s="481"/>
      <c r="C101" s="481"/>
      <c r="D101" s="482"/>
      <c r="E101" s="482"/>
      <c r="F101" s="482"/>
      <c r="G101" s="481"/>
      <c r="H101" s="481"/>
      <c r="I101" s="482"/>
      <c r="J101" s="482"/>
      <c r="K101" s="482"/>
      <c r="L101" s="481"/>
      <c r="M101" s="481"/>
    </row>
    <row r="102" spans="1:13" x14ac:dyDescent="0.25">
      <c r="A102" s="64" t="s">
        <v>81</v>
      </c>
      <c r="B102" s="65"/>
      <c r="C102" s="65">
        <f>SUM(C86:C101)</f>
        <v>600</v>
      </c>
      <c r="D102" s="66"/>
      <c r="E102" s="66"/>
      <c r="F102" s="66">
        <f>SUM(F86:F101)</f>
        <v>15433.630000000001</v>
      </c>
      <c r="G102" s="65"/>
      <c r="H102" s="589">
        <f>SUM(H86:H101)</f>
        <v>600</v>
      </c>
      <c r="I102" s="66"/>
      <c r="J102" s="66"/>
      <c r="K102" s="66">
        <f>SUM(K86:K101)</f>
        <v>16844.64</v>
      </c>
      <c r="L102" s="65"/>
      <c r="M102" s="66">
        <f>SUM(M86:M94)</f>
        <v>41.25</v>
      </c>
    </row>
    <row r="103" spans="1:13" ht="15.75" thickBot="1" x14ac:dyDescent="0.3">
      <c r="A103" s="485" t="s">
        <v>198</v>
      </c>
      <c r="B103" s="486"/>
      <c r="C103" s="487">
        <f>SumByColor($A$19,C86:C101)</f>
        <v>100</v>
      </c>
      <c r="D103" s="487"/>
      <c r="E103" s="487"/>
      <c r="F103" s="488">
        <f>SumByColor($A$19,F86:F101)</f>
        <v>2758</v>
      </c>
      <c r="G103" s="487"/>
      <c r="H103" s="487">
        <f>SumByColor($A$19,H86:H101)</f>
        <v>100</v>
      </c>
      <c r="I103" s="487"/>
      <c r="J103" s="487"/>
      <c r="K103" s="488">
        <f>SumByColor($A$19,K86:K101)</f>
        <v>3158</v>
      </c>
      <c r="L103" s="487"/>
      <c r="M103" s="488">
        <f t="shared" ref="M103" si="73">SumByColor($A$19,M86:M101)</f>
        <v>0</v>
      </c>
    </row>
  </sheetData>
  <mergeCells count="1">
    <mergeCell ref="O40:P40"/>
  </mergeCells>
  <conditionalFormatting sqref="O41:O61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{A7F282F9-ADED-464F-A494-9ABECA159B2C}</x14:id>
        </ext>
      </extLst>
    </cfRule>
  </conditionalFormatting>
  <conditionalFormatting sqref="AE1:AE69">
    <cfRule type="iconSet" priority="37">
      <iconSet iconSet="3Arrows">
        <cfvo type="percent" val="0"/>
        <cfvo type="num" val="0"/>
        <cfvo type="num" val="0"/>
      </iconSet>
    </cfRule>
  </conditionalFormatting>
  <conditionalFormatting sqref="F55:F56 H55:H56 H62:H80 F62:F80">
    <cfRule type="expression" dxfId="609" priority="35">
      <formula>F55&gt;0</formula>
    </cfRule>
    <cfRule type="expression" dxfId="608" priority="36">
      <formula>F55&lt;0</formula>
    </cfRule>
  </conditionalFormatting>
  <conditionalFormatting sqref="Q7">
    <cfRule type="expression" dxfId="607" priority="23">
      <formula>Q7&gt;0</formula>
    </cfRule>
    <cfRule type="expression" dxfId="606" priority="24">
      <formula>Q7&lt;0</formula>
    </cfRule>
  </conditionalFormatting>
  <conditionalFormatting sqref="Q8">
    <cfRule type="expression" dxfId="605" priority="21">
      <formula>Q8&gt;0</formula>
    </cfRule>
    <cfRule type="expression" dxfId="604" priority="22">
      <formula>Q8&lt;0</formula>
    </cfRule>
  </conditionalFormatting>
  <conditionalFormatting sqref="F42:F54">
    <cfRule type="expression" dxfId="603" priority="19">
      <formula>F42&gt;0</formula>
    </cfRule>
    <cfRule type="expression" dxfId="602" priority="20">
      <formula>F42&lt;0</formula>
    </cfRule>
  </conditionalFormatting>
  <conditionalFormatting sqref="H42:H54">
    <cfRule type="expression" dxfId="601" priority="17">
      <formula>H42&gt;0</formula>
    </cfRule>
    <cfRule type="expression" dxfId="600" priority="18">
      <formula>H42&lt;0</formula>
    </cfRule>
  </conditionalFormatting>
  <conditionalFormatting sqref="H58:H61">
    <cfRule type="expression" dxfId="599" priority="13">
      <formula>H58&gt;0</formula>
    </cfRule>
    <cfRule type="expression" dxfId="598" priority="14">
      <formula>H58&lt;0</formula>
    </cfRule>
  </conditionalFormatting>
  <conditionalFormatting sqref="F58:F61">
    <cfRule type="expression" dxfId="597" priority="15">
      <formula>F58&gt;0</formula>
    </cfRule>
    <cfRule type="expression" dxfId="596" priority="16">
      <formula>F58&lt;0</formula>
    </cfRule>
  </conditionalFormatting>
  <conditionalFormatting sqref="M84">
    <cfRule type="expression" dxfId="595" priority="11">
      <formula>M84&gt;0</formula>
    </cfRule>
    <cfRule type="expression" dxfId="594" priority="12">
      <formula>M84&lt;0</formula>
    </cfRule>
  </conditionalFormatting>
  <conditionalFormatting sqref="F23:F24 F27:F36">
    <cfRule type="expression" dxfId="593" priority="9">
      <formula>F23&gt;0</formula>
    </cfRule>
    <cfRule type="expression" dxfId="592" priority="10">
      <formula>F23&lt;0</formula>
    </cfRule>
  </conditionalFormatting>
  <conditionalFormatting sqref="H23:H24 H27:H36">
    <cfRule type="expression" dxfId="591" priority="7">
      <formula>H23&gt;0</formula>
    </cfRule>
    <cfRule type="expression" dxfId="590" priority="8">
      <formula>H23&lt;0</formula>
    </cfRule>
  </conditionalFormatting>
  <conditionalFormatting sqref="Q10">
    <cfRule type="expression" dxfId="589" priority="5">
      <formula>Q10&gt;0</formula>
    </cfRule>
    <cfRule type="expression" dxfId="588" priority="6">
      <formula>Q10&lt;0</formula>
    </cfRule>
  </conditionalFormatting>
  <conditionalFormatting sqref="F25:F26">
    <cfRule type="expression" dxfId="587" priority="3">
      <formula>F25&gt;0</formula>
    </cfRule>
    <cfRule type="expression" dxfId="586" priority="4">
      <formula>F25&lt;0</formula>
    </cfRule>
  </conditionalFormatting>
  <conditionalFormatting sqref="H25:H26">
    <cfRule type="expression" dxfId="585" priority="1">
      <formula>H25&gt;0</formula>
    </cfRule>
    <cfRule type="expression" dxfId="584" priority="2">
      <formula>H25&lt;0</formula>
    </cfRule>
  </conditionalFormatting>
  <hyperlinks>
    <hyperlink ref="A3" location="ACTIVE!A1" display="Back"/>
    <hyperlink ref="A87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7F282F9-ADED-464F-A494-9ABECA159B2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1.7109375" customWidth="1"/>
    <col min="23" max="23" width="43" customWidth="1"/>
    <col min="24" max="24" width="14.140625" customWidth="1"/>
    <col min="25" max="27" width="6" customWidth="1"/>
    <col min="28" max="28" width="9.140625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499</v>
      </c>
      <c r="B2" s="503">
        <v>42767</v>
      </c>
      <c r="C2" s="4">
        <v>35</v>
      </c>
      <c r="D2" s="3">
        <v>69.58</v>
      </c>
      <c r="E2" s="3">
        <v>0</v>
      </c>
      <c r="F2" s="3">
        <f>C2*D2+E2</f>
        <v>2435.2999999999997</v>
      </c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35</v>
      </c>
      <c r="T2" s="1"/>
      <c r="W2" s="133">
        <v>42768</v>
      </c>
      <c r="X2" s="10">
        <v>49.58</v>
      </c>
      <c r="Y2" s="10">
        <v>49.65</v>
      </c>
      <c r="Z2" s="10">
        <v>49.36</v>
      </c>
      <c r="AA2" s="10">
        <v>49.47</v>
      </c>
      <c r="AB2" s="95">
        <v>2317500</v>
      </c>
      <c r="AC2" s="10">
        <v>49.47</v>
      </c>
      <c r="AD2" s="2">
        <f>Y2-Z2</f>
        <v>0.28999999999999915</v>
      </c>
      <c r="AE2" s="138">
        <f>AC2/AC3-1</f>
        <v>-8.0791759240550487E-4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69.58</v>
      </c>
      <c r="T3" s="1"/>
      <c r="W3" s="133">
        <v>42767</v>
      </c>
      <c r="X3" s="10">
        <v>49.64</v>
      </c>
      <c r="Y3" s="10">
        <v>49.64</v>
      </c>
      <c r="Z3" s="10">
        <v>49.36</v>
      </c>
      <c r="AA3" s="10">
        <v>49.51</v>
      </c>
      <c r="AB3" s="95">
        <v>3629400</v>
      </c>
      <c r="AC3" s="10">
        <v>49.51</v>
      </c>
      <c r="AD3" s="2">
        <f t="shared" ref="AD3:AD66" si="0">Y3-Z3</f>
        <v>0.28000000000000114</v>
      </c>
      <c r="AE3" s="138">
        <f t="shared" ref="AE3:AE66" si="1">AC3/AC4-1</f>
        <v>3.0388978930306898E-3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O4" s="11" t="s">
        <v>66</v>
      </c>
      <c r="Q4" s="55">
        <v>84.08</v>
      </c>
      <c r="R4" s="505">
        <v>-3.5999999999999999E-3</v>
      </c>
      <c r="T4" s="163"/>
      <c r="U4" s="1"/>
      <c r="W4" s="133">
        <v>42766</v>
      </c>
      <c r="X4" s="10">
        <v>49.37</v>
      </c>
      <c r="Y4" s="10">
        <v>49.41</v>
      </c>
      <c r="Z4" s="10">
        <v>49.11</v>
      </c>
      <c r="AA4" s="10">
        <v>49.36</v>
      </c>
      <c r="AB4" s="95">
        <v>3610400</v>
      </c>
      <c r="AC4" s="10">
        <v>49.36</v>
      </c>
      <c r="AD4" s="2">
        <f t="shared" si="0"/>
        <v>0.29999999999999716</v>
      </c>
      <c r="AE4" s="138">
        <f t="shared" si="1"/>
        <v>4.8859934853420217E-3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2942.7999999999997</v>
      </c>
      <c r="W5" s="133">
        <v>42765</v>
      </c>
      <c r="X5" s="10">
        <v>49.04</v>
      </c>
      <c r="Y5" s="10">
        <v>49.15</v>
      </c>
      <c r="Z5" s="10">
        <v>48.89</v>
      </c>
      <c r="AA5" s="10">
        <v>49.12</v>
      </c>
      <c r="AB5" s="95">
        <v>2493800</v>
      </c>
      <c r="AC5" s="10">
        <v>49.12</v>
      </c>
      <c r="AD5" s="2">
        <f t="shared" si="0"/>
        <v>0.25999999999999801</v>
      </c>
      <c r="AE5" s="138">
        <f t="shared" si="1"/>
        <v>-8.2778114274177916E-3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2435.2999999999997</v>
      </c>
      <c r="W6" s="133">
        <v>42762</v>
      </c>
      <c r="X6" s="10">
        <v>49.54</v>
      </c>
      <c r="Y6" s="10">
        <v>49.61</v>
      </c>
      <c r="Z6" s="10">
        <v>49.46</v>
      </c>
      <c r="AA6" s="10">
        <v>49.53</v>
      </c>
      <c r="AB6" s="95">
        <v>1348400</v>
      </c>
      <c r="AC6" s="10">
        <v>49.53</v>
      </c>
      <c r="AD6" s="2">
        <f t="shared" si="0"/>
        <v>0.14999999999999858</v>
      </c>
      <c r="AE6" s="138">
        <f t="shared" si="1"/>
        <v>-2.018570851836099E-4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181</v>
      </c>
      <c r="Q7" s="2">
        <f>Q10+Q8</f>
        <v>507.5</v>
      </c>
      <c r="R7" s="30">
        <v>42800</v>
      </c>
      <c r="W7" s="133">
        <v>42761</v>
      </c>
      <c r="X7" s="10">
        <v>49.65</v>
      </c>
      <c r="Y7" s="10">
        <v>49.7</v>
      </c>
      <c r="Z7" s="10">
        <v>49.46</v>
      </c>
      <c r="AA7" s="10">
        <v>49.54</v>
      </c>
      <c r="AB7" s="95">
        <v>2366100</v>
      </c>
      <c r="AC7" s="10">
        <v>49.54</v>
      </c>
      <c r="AD7" s="2">
        <f t="shared" si="0"/>
        <v>0.24000000000000199</v>
      </c>
      <c r="AE7" s="138">
        <f t="shared" si="1"/>
        <v>-6.4179703168872893E-3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184</v>
      </c>
      <c r="P8" s="34"/>
      <c r="Q8" s="2">
        <f>K18+M18-F18+Q2*Q4</f>
        <v>507.5</v>
      </c>
      <c r="W8" s="133">
        <v>42760</v>
      </c>
      <c r="X8" s="10">
        <v>49.64</v>
      </c>
      <c r="Y8" s="10">
        <v>49.88</v>
      </c>
      <c r="Z8" s="10">
        <v>49.63</v>
      </c>
      <c r="AA8" s="10">
        <v>49.86</v>
      </c>
      <c r="AB8" s="95">
        <v>2325700</v>
      </c>
      <c r="AC8" s="10">
        <v>49.86</v>
      </c>
      <c r="AD8" s="2">
        <f t="shared" si="0"/>
        <v>0.25</v>
      </c>
      <c r="AE8" s="138">
        <f t="shared" si="1"/>
        <v>1.1974832555307513E-2</v>
      </c>
    </row>
    <row r="9" spans="1:31" x14ac:dyDescent="0.25">
      <c r="H9" s="72"/>
      <c r="O9" s="11" t="s">
        <v>214</v>
      </c>
      <c r="Q9" s="138">
        <f>IF(Q2=0, 0, Q8/Q6)</f>
        <v>0.20839321644150621</v>
      </c>
      <c r="W9" s="133">
        <v>42759</v>
      </c>
      <c r="X9" s="10">
        <v>49.14</v>
      </c>
      <c r="Y9" s="10">
        <v>49.34</v>
      </c>
      <c r="Z9" s="10">
        <v>49.1</v>
      </c>
      <c r="AA9" s="10">
        <v>49.27</v>
      </c>
      <c r="AB9" s="95">
        <v>2244300</v>
      </c>
      <c r="AC9" s="10">
        <v>49.27</v>
      </c>
      <c r="AD9" s="2">
        <f t="shared" si="0"/>
        <v>0.24000000000000199</v>
      </c>
      <c r="AE9" s="138">
        <f t="shared" si="1"/>
        <v>2.2375915378358702E-3</v>
      </c>
    </row>
    <row r="10" spans="1:31" x14ac:dyDescent="0.25">
      <c r="H10" s="72"/>
      <c r="O10" s="11" t="s">
        <v>213</v>
      </c>
      <c r="P10" s="34"/>
      <c r="Q10" s="2">
        <f>M53</f>
        <v>0</v>
      </c>
      <c r="W10" s="133">
        <v>42758</v>
      </c>
      <c r="X10" s="10">
        <v>49.02</v>
      </c>
      <c r="Y10" s="10">
        <v>49.2</v>
      </c>
      <c r="Z10" s="10">
        <v>48.89</v>
      </c>
      <c r="AA10" s="10">
        <v>49.16</v>
      </c>
      <c r="AB10" s="95">
        <v>4429200</v>
      </c>
      <c r="AC10" s="10">
        <v>49.16</v>
      </c>
      <c r="AD10" s="2">
        <f t="shared" si="0"/>
        <v>0.31000000000000227</v>
      </c>
      <c r="AE10" s="138">
        <f t="shared" si="1"/>
        <v>3.2653061224490187E-3</v>
      </c>
    </row>
    <row r="11" spans="1:31" x14ac:dyDescent="0.25">
      <c r="H11" s="72"/>
      <c r="O11" s="11" t="s">
        <v>178</v>
      </c>
      <c r="P11" s="34"/>
      <c r="Q11" s="138">
        <v>0</v>
      </c>
      <c r="W11" s="133">
        <v>42755</v>
      </c>
      <c r="X11" s="10">
        <v>48.84</v>
      </c>
      <c r="Y11" s="10">
        <v>49.03</v>
      </c>
      <c r="Z11" s="10">
        <v>48.83</v>
      </c>
      <c r="AA11" s="10">
        <v>49</v>
      </c>
      <c r="AB11" s="95">
        <v>3667100</v>
      </c>
      <c r="AC11" s="10">
        <v>49</v>
      </c>
      <c r="AD11" s="2">
        <f t="shared" si="0"/>
        <v>0.20000000000000284</v>
      </c>
      <c r="AE11" s="138">
        <f t="shared" si="1"/>
        <v>5.5407346603735252E-3</v>
      </c>
    </row>
    <row r="12" spans="1:31" x14ac:dyDescent="0.25">
      <c r="H12" s="72"/>
      <c r="W12" s="133">
        <v>42754</v>
      </c>
      <c r="X12" s="10">
        <v>48.73</v>
      </c>
      <c r="Y12" s="10">
        <v>48.82</v>
      </c>
      <c r="Z12" s="10">
        <v>48.56</v>
      </c>
      <c r="AA12" s="10">
        <v>48.73</v>
      </c>
      <c r="AB12" s="95">
        <v>3592900</v>
      </c>
      <c r="AC12" s="10">
        <v>48.73</v>
      </c>
      <c r="AD12" s="2">
        <f t="shared" si="0"/>
        <v>0.25999999999999801</v>
      </c>
      <c r="AE12" s="138">
        <f t="shared" si="1"/>
        <v>-2.0479213598197932E-3</v>
      </c>
    </row>
    <row r="13" spans="1:31" x14ac:dyDescent="0.25">
      <c r="H13" s="72"/>
      <c r="W13" s="133">
        <v>42753</v>
      </c>
      <c r="X13" s="10">
        <v>48.88</v>
      </c>
      <c r="Y13" s="10">
        <v>49</v>
      </c>
      <c r="Z13" s="10">
        <v>48.73</v>
      </c>
      <c r="AA13" s="10">
        <v>48.83</v>
      </c>
      <c r="AB13" s="95">
        <v>2556500</v>
      </c>
      <c r="AC13" s="10">
        <v>48.83</v>
      </c>
      <c r="AD13" s="2">
        <f t="shared" si="0"/>
        <v>0.27000000000000313</v>
      </c>
      <c r="AE13" s="138">
        <f t="shared" si="1"/>
        <v>-4.0791352233326972E-3</v>
      </c>
    </row>
    <row r="14" spans="1:31" x14ac:dyDescent="0.25">
      <c r="H14" s="72"/>
      <c r="W14" s="133">
        <v>42752</v>
      </c>
      <c r="X14" s="10">
        <v>49.04</v>
      </c>
      <c r="Y14" s="10">
        <v>49.12</v>
      </c>
      <c r="Z14" s="10">
        <v>48.97</v>
      </c>
      <c r="AA14" s="10">
        <v>49.03</v>
      </c>
      <c r="AB14" s="95">
        <v>4644000</v>
      </c>
      <c r="AC14" s="10">
        <v>49.03</v>
      </c>
      <c r="AD14" s="2">
        <f t="shared" si="0"/>
        <v>0.14999999999999858</v>
      </c>
      <c r="AE14" s="138">
        <f t="shared" si="1"/>
        <v>0</v>
      </c>
    </row>
    <row r="15" spans="1:31" x14ac:dyDescent="0.25">
      <c r="H15" s="72"/>
      <c r="W15" s="133">
        <v>42748</v>
      </c>
      <c r="X15" s="10">
        <v>49.03</v>
      </c>
      <c r="Y15" s="10">
        <v>49.09</v>
      </c>
      <c r="Z15" s="10">
        <v>48.89</v>
      </c>
      <c r="AA15" s="10">
        <v>49.03</v>
      </c>
      <c r="AB15" s="95">
        <v>2791500</v>
      </c>
      <c r="AC15" s="10">
        <v>49.03</v>
      </c>
      <c r="AD15" s="2">
        <f t="shared" si="0"/>
        <v>0.20000000000000284</v>
      </c>
      <c r="AE15" s="138">
        <f t="shared" si="1"/>
        <v>4.3015157722245956E-3</v>
      </c>
    </row>
    <row r="16" spans="1:31" x14ac:dyDescent="0.25">
      <c r="H16" s="72"/>
      <c r="W16" s="133">
        <v>42747</v>
      </c>
      <c r="X16" s="10">
        <v>48.88</v>
      </c>
      <c r="Y16" s="10">
        <v>48.98</v>
      </c>
      <c r="Z16" s="10">
        <v>48.73</v>
      </c>
      <c r="AA16" s="10">
        <v>48.82</v>
      </c>
      <c r="AB16" s="95">
        <v>6740600</v>
      </c>
      <c r="AC16" s="10">
        <v>48.82</v>
      </c>
      <c r="AD16" s="2">
        <f t="shared" si="0"/>
        <v>0.25</v>
      </c>
      <c r="AE16" s="138">
        <f t="shared" si="1"/>
        <v>1.0252204223908379E-3</v>
      </c>
    </row>
    <row r="17" spans="1:31" x14ac:dyDescent="0.25">
      <c r="W17" s="133">
        <v>42746</v>
      </c>
      <c r="X17" s="10">
        <v>48.41</v>
      </c>
      <c r="Y17" s="10">
        <v>48.81</v>
      </c>
      <c r="Z17" s="10">
        <v>48.32</v>
      </c>
      <c r="AA17" s="10">
        <v>48.77</v>
      </c>
      <c r="AB17" s="95">
        <v>4040400</v>
      </c>
      <c r="AC17" s="10">
        <v>48.77</v>
      </c>
      <c r="AD17" s="2">
        <f t="shared" si="0"/>
        <v>0.49000000000000199</v>
      </c>
      <c r="AE17" s="138">
        <f t="shared" si="1"/>
        <v>5.1525144270403445E-3</v>
      </c>
    </row>
    <row r="18" spans="1:31" x14ac:dyDescent="0.25">
      <c r="A18" s="32" t="s">
        <v>81</v>
      </c>
      <c r="B18" s="14"/>
      <c r="C18" s="14">
        <f>SUM(C2:C6)</f>
        <v>35</v>
      </c>
      <c r="D18" s="18"/>
      <c r="E18" s="18"/>
      <c r="F18" s="18">
        <f>SUM(F2:F6)</f>
        <v>2435.2999999999997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42745</v>
      </c>
      <c r="X18" s="10">
        <v>48.55</v>
      </c>
      <c r="Y18" s="10">
        <v>48.71</v>
      </c>
      <c r="Z18" s="10">
        <v>48.52</v>
      </c>
      <c r="AA18" s="10">
        <v>48.52</v>
      </c>
      <c r="AB18" s="95">
        <v>2660800</v>
      </c>
      <c r="AC18" s="10">
        <v>48.52</v>
      </c>
      <c r="AD18" s="2">
        <f t="shared" si="0"/>
        <v>0.18999999999999773</v>
      </c>
      <c r="AE18" s="138">
        <f t="shared" si="1"/>
        <v>-2.0605810838647542E-4</v>
      </c>
    </row>
    <row r="19" spans="1:31" ht="15.75" thickBot="1" x14ac:dyDescent="0.3">
      <c r="A19" s="356" t="s">
        <v>198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 t="shared" ref="M19" si="2">SumByColor($A$19,M2:M17)</f>
        <v>0</v>
      </c>
      <c r="W19" s="133">
        <v>42744</v>
      </c>
      <c r="X19" s="10">
        <v>48.41</v>
      </c>
      <c r="Y19" s="10">
        <v>48.59</v>
      </c>
      <c r="Z19" s="10">
        <v>48.32</v>
      </c>
      <c r="AA19" s="10">
        <v>48.53</v>
      </c>
      <c r="AB19" s="95">
        <v>2341400</v>
      </c>
      <c r="AC19" s="10">
        <v>48.53</v>
      </c>
      <c r="AD19" s="2">
        <f t="shared" si="0"/>
        <v>0.27000000000000313</v>
      </c>
      <c r="AE19" s="138">
        <f t="shared" si="1"/>
        <v>-3.4907597535934753E-3</v>
      </c>
    </row>
    <row r="20" spans="1:31" x14ac:dyDescent="0.25">
      <c r="W20" s="133">
        <v>42741</v>
      </c>
      <c r="X20" s="10">
        <v>48.68</v>
      </c>
      <c r="Y20" s="10">
        <v>48.82</v>
      </c>
      <c r="Z20" s="10">
        <v>48.62</v>
      </c>
      <c r="AA20" s="10">
        <v>48.7</v>
      </c>
      <c r="AB20" s="95">
        <v>2808900</v>
      </c>
      <c r="AC20" s="10">
        <v>48.7</v>
      </c>
      <c r="AD20" s="2">
        <f t="shared" si="0"/>
        <v>0.20000000000000284</v>
      </c>
      <c r="AE20" s="138">
        <f t="shared" si="1"/>
        <v>-4.903964037596964E-3</v>
      </c>
    </row>
    <row r="21" spans="1:31" x14ac:dyDescent="0.25">
      <c r="W21" s="133">
        <v>42740</v>
      </c>
      <c r="X21" s="10">
        <v>48.58</v>
      </c>
      <c r="Y21" s="10">
        <v>49</v>
      </c>
      <c r="Z21" s="10">
        <v>48.58</v>
      </c>
      <c r="AA21" s="10">
        <v>48.94</v>
      </c>
      <c r="AB21" s="95">
        <v>5147600</v>
      </c>
      <c r="AC21" s="10">
        <v>48.94</v>
      </c>
      <c r="AD21" s="2">
        <f t="shared" si="0"/>
        <v>0.42000000000000171</v>
      </c>
      <c r="AE21" s="138">
        <f t="shared" si="1"/>
        <v>9.0721649484535316E-3</v>
      </c>
    </row>
    <row r="22" spans="1:31" x14ac:dyDescent="0.25">
      <c r="W22" s="133">
        <v>42739</v>
      </c>
      <c r="X22" s="10">
        <v>48.21</v>
      </c>
      <c r="Y22" s="10">
        <v>48.5</v>
      </c>
      <c r="Z22" s="10">
        <v>48.13</v>
      </c>
      <c r="AA22" s="10">
        <v>48.5</v>
      </c>
      <c r="AB22" s="95">
        <v>2781900</v>
      </c>
      <c r="AC22" s="10">
        <v>48.5</v>
      </c>
      <c r="AD22" s="2">
        <f t="shared" si="0"/>
        <v>0.36999999999999744</v>
      </c>
      <c r="AE22" s="138">
        <f t="shared" si="1"/>
        <v>8.3160083160083165E-3</v>
      </c>
    </row>
    <row r="23" spans="1:31" x14ac:dyDescent="0.25">
      <c r="W23" s="133">
        <v>42738</v>
      </c>
      <c r="X23" s="10">
        <v>48.01</v>
      </c>
      <c r="Y23" s="10">
        <v>48.14</v>
      </c>
      <c r="Z23" s="10">
        <v>47.94</v>
      </c>
      <c r="AA23" s="10">
        <v>48.1</v>
      </c>
      <c r="AB23" s="95">
        <v>3816500</v>
      </c>
      <c r="AC23" s="10">
        <v>48.1</v>
      </c>
      <c r="AD23" s="2">
        <f t="shared" si="0"/>
        <v>0.20000000000000284</v>
      </c>
      <c r="AE23" s="138">
        <f t="shared" si="1"/>
        <v>3.3375052148518769E-3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155</v>
      </c>
      <c r="W24" s="133">
        <v>42734</v>
      </c>
      <c r="X24" s="10">
        <v>48.11</v>
      </c>
      <c r="Y24" s="10">
        <v>48.21</v>
      </c>
      <c r="Z24" s="10">
        <v>47.83</v>
      </c>
      <c r="AA24" s="10">
        <v>47.94</v>
      </c>
      <c r="AB24" s="95">
        <v>4786600</v>
      </c>
      <c r="AC24" s="10">
        <v>47.94</v>
      </c>
      <c r="AD24" s="2">
        <f t="shared" si="0"/>
        <v>0.38000000000000256</v>
      </c>
      <c r="AE24" s="138">
        <f t="shared" si="1"/>
        <v>5.4530201342282147E-3</v>
      </c>
    </row>
    <row r="25" spans="1:31" x14ac:dyDescent="0.25">
      <c r="B25" s="193">
        <v>42767</v>
      </c>
      <c r="C25" s="10">
        <v>35</v>
      </c>
      <c r="D25" s="40">
        <v>69.58</v>
      </c>
      <c r="E25" s="40">
        <v>69.5</v>
      </c>
      <c r="F25" s="40">
        <f t="shared" ref="F25" si="3">C25*(E25-D25)</f>
        <v>-2.7999999999999403</v>
      </c>
      <c r="G25" s="40">
        <f t="shared" ref="G25" si="4">D25*C25</f>
        <v>2435.2999999999997</v>
      </c>
      <c r="H25" s="231">
        <f t="shared" ref="H25" si="5">(E25-D25)/D25</f>
        <v>-1.1497556769186302E-3</v>
      </c>
      <c r="I25" s="40"/>
      <c r="W25" s="133">
        <v>42733</v>
      </c>
      <c r="X25" s="10">
        <v>47.56</v>
      </c>
      <c r="Y25" s="10">
        <v>47.73</v>
      </c>
      <c r="Z25" s="10">
        <v>47.56</v>
      </c>
      <c r="AA25" s="10">
        <v>47.68</v>
      </c>
      <c r="AB25" s="95">
        <v>4123900</v>
      </c>
      <c r="AC25" s="10">
        <v>47.68</v>
      </c>
      <c r="AD25" s="2">
        <f t="shared" si="0"/>
        <v>0.1699999999999946</v>
      </c>
      <c r="AE25" s="138">
        <f t="shared" si="1"/>
        <v>6.9693769799366034E-3</v>
      </c>
    </row>
    <row r="26" spans="1:31" x14ac:dyDescent="0.25">
      <c r="B26" s="193"/>
      <c r="C26" s="10"/>
      <c r="D26" s="40"/>
      <c r="E26" s="40"/>
      <c r="F26" s="40"/>
      <c r="G26" s="40"/>
      <c r="H26" s="231"/>
      <c r="I26" s="40"/>
      <c r="W26" s="133">
        <v>42732</v>
      </c>
      <c r="X26" s="10">
        <v>47.45</v>
      </c>
      <c r="Y26" s="10">
        <v>47.5</v>
      </c>
      <c r="Z26" s="10">
        <v>47.27</v>
      </c>
      <c r="AA26" s="10">
        <v>47.35</v>
      </c>
      <c r="AB26" s="95">
        <v>2599500</v>
      </c>
      <c r="AC26" s="10">
        <v>47.35</v>
      </c>
      <c r="AD26" s="2">
        <f t="shared" si="0"/>
        <v>0.22999999999999687</v>
      </c>
      <c r="AE26" s="138">
        <f t="shared" si="1"/>
        <v>-6.2959076600209718E-3</v>
      </c>
    </row>
    <row r="27" spans="1:31" x14ac:dyDescent="0.25">
      <c r="B27" s="193"/>
      <c r="C27" s="10"/>
      <c r="D27" s="40"/>
      <c r="E27" s="40"/>
      <c r="F27" s="40"/>
      <c r="G27" s="40"/>
      <c r="H27" s="231"/>
      <c r="I27" s="40"/>
      <c r="W27" s="133">
        <v>42731</v>
      </c>
      <c r="X27" s="10">
        <v>47.61</v>
      </c>
      <c r="Y27" s="10">
        <v>47.7</v>
      </c>
      <c r="Z27" s="10">
        <v>47.59</v>
      </c>
      <c r="AA27" s="10">
        <v>47.65</v>
      </c>
      <c r="AB27" s="95">
        <v>2252200</v>
      </c>
      <c r="AC27" s="10">
        <v>47.65</v>
      </c>
      <c r="AD27" s="2">
        <f t="shared" si="0"/>
        <v>0.10999999999999943</v>
      </c>
      <c r="AE27" s="138">
        <f t="shared" si="1"/>
        <v>1.4712063892392546E-3</v>
      </c>
    </row>
    <row r="28" spans="1:31" x14ac:dyDescent="0.25">
      <c r="B28" s="193"/>
      <c r="C28" s="10"/>
      <c r="D28" s="40"/>
      <c r="E28" s="40"/>
      <c r="F28" s="40"/>
      <c r="G28" s="40"/>
      <c r="H28" s="231"/>
      <c r="I28" s="40"/>
      <c r="W28" s="133">
        <v>42727</v>
      </c>
      <c r="X28" s="10">
        <v>47.42</v>
      </c>
      <c r="Y28" s="10">
        <v>47.58</v>
      </c>
      <c r="Z28" s="10">
        <v>47.41</v>
      </c>
      <c r="AA28" s="10">
        <v>47.58</v>
      </c>
      <c r="AB28" s="95">
        <v>2410700</v>
      </c>
      <c r="AC28" s="10">
        <v>47.58</v>
      </c>
      <c r="AD28" s="2">
        <f t="shared" si="0"/>
        <v>0.17000000000000171</v>
      </c>
      <c r="AE28" s="138">
        <f t="shared" si="1"/>
        <v>4.0092846592107989E-3</v>
      </c>
    </row>
    <row r="29" spans="1:31" x14ac:dyDescent="0.25">
      <c r="B29" s="193"/>
      <c r="C29" s="10"/>
      <c r="D29" s="40"/>
      <c r="E29" s="40"/>
      <c r="F29" s="40"/>
      <c r="G29" s="40"/>
      <c r="H29" s="231"/>
      <c r="I29" s="40"/>
      <c r="W29" s="133">
        <v>42726</v>
      </c>
      <c r="X29" s="10">
        <v>47.5</v>
      </c>
      <c r="Y29" s="10">
        <v>47.59</v>
      </c>
      <c r="Z29" s="10">
        <v>47.35</v>
      </c>
      <c r="AA29" s="10">
        <v>47.39</v>
      </c>
      <c r="AB29" s="95">
        <v>3123900</v>
      </c>
      <c r="AC29" s="10">
        <v>47.39</v>
      </c>
      <c r="AD29" s="2">
        <f t="shared" si="0"/>
        <v>0.24000000000000199</v>
      </c>
      <c r="AE29" s="138">
        <f t="shared" si="1"/>
        <v>-1.8955349620892736E-3</v>
      </c>
    </row>
    <row r="30" spans="1:31" x14ac:dyDescent="0.25">
      <c r="B30" s="193"/>
      <c r="C30" s="10"/>
      <c r="D30" s="40"/>
      <c r="E30" s="40"/>
      <c r="F30" s="40"/>
      <c r="G30" s="40"/>
      <c r="H30" s="231"/>
      <c r="I30" s="40"/>
      <c r="W30" s="133">
        <v>42725</v>
      </c>
      <c r="X30" s="10">
        <v>47.47</v>
      </c>
      <c r="Y30" s="10">
        <v>47.54</v>
      </c>
      <c r="Z30" s="10">
        <v>47.43</v>
      </c>
      <c r="AA30" s="10">
        <v>47.48</v>
      </c>
      <c r="AB30" s="95">
        <v>5485700</v>
      </c>
      <c r="AC30" s="10">
        <v>47.48</v>
      </c>
      <c r="AD30" s="2">
        <f t="shared" si="0"/>
        <v>0.10999999999999943</v>
      </c>
      <c r="AE30" s="138">
        <f t="shared" si="1"/>
        <v>2.5337837837837718E-3</v>
      </c>
    </row>
    <row r="31" spans="1:31" x14ac:dyDescent="0.25">
      <c r="B31" s="193"/>
      <c r="C31" s="10"/>
      <c r="D31" s="40"/>
      <c r="E31" s="40"/>
      <c r="F31" s="40"/>
      <c r="G31" s="40"/>
      <c r="H31" s="231"/>
      <c r="I31" s="40"/>
      <c r="W31" s="133">
        <v>42724</v>
      </c>
      <c r="X31" s="10">
        <v>47.27</v>
      </c>
      <c r="Y31" s="10">
        <v>47.42</v>
      </c>
      <c r="Z31" s="10">
        <v>47.21</v>
      </c>
      <c r="AA31" s="10">
        <v>47.36</v>
      </c>
      <c r="AB31" s="95">
        <v>4269700</v>
      </c>
      <c r="AC31" s="10">
        <v>47.36</v>
      </c>
      <c r="AD31" s="2">
        <f t="shared" si="0"/>
        <v>0.21000000000000085</v>
      </c>
      <c r="AE31" s="138" t="e">
        <f t="shared" si="1"/>
        <v>#DIV/0!</v>
      </c>
    </row>
    <row r="32" spans="1:31" x14ac:dyDescent="0.25">
      <c r="B32" s="193"/>
      <c r="C32" s="10"/>
      <c r="D32" s="40"/>
      <c r="E32" s="40"/>
      <c r="F32" s="40"/>
      <c r="G32" s="40"/>
      <c r="H32" s="231"/>
      <c r="I32" s="40"/>
      <c r="W32" s="133">
        <v>42724</v>
      </c>
      <c r="X32" s="10" t="s">
        <v>370</v>
      </c>
      <c r="Y32" s="10"/>
      <c r="Z32" s="10"/>
      <c r="AA32" s="10"/>
      <c r="AB32" s="95"/>
      <c r="AC32" s="10"/>
      <c r="AD32" s="2">
        <f t="shared" si="0"/>
        <v>0</v>
      </c>
      <c r="AE32" s="138">
        <f t="shared" si="1"/>
        <v>-1</v>
      </c>
    </row>
    <row r="33" spans="2:31" x14ac:dyDescent="0.25">
      <c r="B33" s="193"/>
      <c r="C33" s="10"/>
      <c r="D33" s="40"/>
      <c r="E33" s="40"/>
      <c r="F33" s="40"/>
      <c r="G33" s="40"/>
      <c r="H33" s="231"/>
      <c r="I33" s="40"/>
      <c r="W33" s="133">
        <v>42723</v>
      </c>
      <c r="X33" s="10">
        <v>47.55</v>
      </c>
      <c r="Y33" s="10">
        <v>47.71</v>
      </c>
      <c r="Z33" s="10">
        <v>47.44</v>
      </c>
      <c r="AA33" s="10">
        <v>47.46</v>
      </c>
      <c r="AB33" s="95">
        <v>5669000</v>
      </c>
      <c r="AC33" s="10">
        <v>47.23</v>
      </c>
      <c r="AD33" s="2">
        <f t="shared" si="0"/>
        <v>0.27000000000000313</v>
      </c>
      <c r="AE33" s="138">
        <f t="shared" si="1"/>
        <v>-3.5864978902954148E-3</v>
      </c>
    </row>
    <row r="34" spans="2:31" x14ac:dyDescent="0.25">
      <c r="B34" s="193"/>
      <c r="C34" s="10"/>
      <c r="D34" s="40"/>
      <c r="E34" s="40"/>
      <c r="F34" s="40"/>
      <c r="G34" s="40"/>
      <c r="H34" s="231"/>
      <c r="I34" s="40"/>
      <c r="W34" s="133">
        <v>42720</v>
      </c>
      <c r="X34" s="10">
        <v>47.52</v>
      </c>
      <c r="Y34" s="10">
        <v>47.78</v>
      </c>
      <c r="Z34" s="10">
        <v>47.47</v>
      </c>
      <c r="AA34" s="10">
        <v>47.63</v>
      </c>
      <c r="AB34" s="95">
        <v>3755800</v>
      </c>
      <c r="AC34" s="10">
        <v>47.4</v>
      </c>
      <c r="AD34" s="2">
        <f t="shared" si="0"/>
        <v>0.31000000000000227</v>
      </c>
      <c r="AE34" s="138">
        <f t="shared" si="1"/>
        <v>5.0890585241729624E-3</v>
      </c>
    </row>
    <row r="35" spans="2:31" x14ac:dyDescent="0.25">
      <c r="B35" s="193"/>
      <c r="C35" s="10"/>
      <c r="D35" s="40"/>
      <c r="E35" s="40"/>
      <c r="F35" s="40"/>
      <c r="G35" s="40"/>
      <c r="H35" s="231"/>
      <c r="I35" s="40"/>
      <c r="W35" s="133">
        <v>42719</v>
      </c>
      <c r="X35" s="10">
        <v>47.35</v>
      </c>
      <c r="Y35" s="10">
        <v>47.46</v>
      </c>
      <c r="Z35" s="10">
        <v>47.26</v>
      </c>
      <c r="AA35" s="10">
        <v>47.39</v>
      </c>
      <c r="AB35" s="95">
        <v>3651200</v>
      </c>
      <c r="AC35" s="10">
        <v>47.16</v>
      </c>
      <c r="AD35" s="2">
        <f t="shared" si="0"/>
        <v>0.20000000000000284</v>
      </c>
      <c r="AE35" s="138">
        <f t="shared" si="1"/>
        <v>-6.3572790845523031E-4</v>
      </c>
    </row>
    <row r="36" spans="2:31" x14ac:dyDescent="0.25">
      <c r="B36" s="193"/>
      <c r="C36" s="10"/>
      <c r="D36" s="40"/>
      <c r="E36" s="40"/>
      <c r="F36" s="40"/>
      <c r="G36" s="40"/>
      <c r="H36" s="231"/>
      <c r="I36" s="40"/>
      <c r="W36" s="133">
        <v>42718</v>
      </c>
      <c r="X36" s="10">
        <v>48.05</v>
      </c>
      <c r="Y36" s="10">
        <v>48.23</v>
      </c>
      <c r="Z36" s="10">
        <v>47.36</v>
      </c>
      <c r="AA36" s="10">
        <v>47.42</v>
      </c>
      <c r="AB36" s="95">
        <v>4537100</v>
      </c>
      <c r="AC36" s="10">
        <v>47.19</v>
      </c>
      <c r="AD36" s="2">
        <f t="shared" si="0"/>
        <v>0.86999999999999744</v>
      </c>
      <c r="AE36" s="138">
        <f t="shared" si="1"/>
        <v>-1.5644555694618312E-2</v>
      </c>
    </row>
    <row r="37" spans="2:31" x14ac:dyDescent="0.25">
      <c r="B37" s="193"/>
      <c r="C37" s="10"/>
      <c r="D37" s="40"/>
      <c r="E37" s="40"/>
      <c r="F37" s="40"/>
      <c r="G37" s="40"/>
      <c r="H37" s="231"/>
      <c r="I37" s="40"/>
      <c r="W37" s="133">
        <v>42717</v>
      </c>
      <c r="X37" s="10">
        <v>47.99</v>
      </c>
      <c r="Y37" s="10">
        <v>48.33</v>
      </c>
      <c r="Z37" s="10">
        <v>47.99</v>
      </c>
      <c r="AA37" s="10">
        <v>48.17</v>
      </c>
      <c r="AB37" s="95">
        <v>3382000</v>
      </c>
      <c r="AC37" s="10">
        <v>47.94</v>
      </c>
      <c r="AD37" s="2">
        <f t="shared" si="0"/>
        <v>0.33999999999999631</v>
      </c>
      <c r="AE37" s="138">
        <f t="shared" si="1"/>
        <v>1.0752688172043001E-2</v>
      </c>
    </row>
    <row r="38" spans="2:31" x14ac:dyDescent="0.25">
      <c r="B38" s="193"/>
      <c r="C38" s="10"/>
      <c r="D38" s="40"/>
      <c r="E38" s="40"/>
      <c r="F38" s="40"/>
      <c r="G38" s="40"/>
      <c r="H38" s="231"/>
      <c r="I38" s="40"/>
      <c r="W38" s="133">
        <v>42716</v>
      </c>
      <c r="X38" s="10">
        <v>47.57</v>
      </c>
      <c r="Y38" s="10">
        <v>47.8</v>
      </c>
      <c r="Z38" s="10">
        <v>47.52</v>
      </c>
      <c r="AA38" s="10">
        <v>47.66</v>
      </c>
      <c r="AB38" s="95">
        <v>2894400</v>
      </c>
      <c r="AC38" s="10">
        <v>47.43</v>
      </c>
      <c r="AD38" s="2">
        <f t="shared" si="0"/>
        <v>0.27999999999999403</v>
      </c>
      <c r="AE38" s="138">
        <f t="shared" si="1"/>
        <v>-1.4736842105262937E-3</v>
      </c>
    </row>
    <row r="39" spans="2:31" x14ac:dyDescent="0.25">
      <c r="B39" s="193"/>
      <c r="C39" s="10"/>
      <c r="D39" s="40"/>
      <c r="E39" s="40"/>
      <c r="F39" s="40"/>
      <c r="G39" s="40"/>
      <c r="H39" s="231"/>
      <c r="I39" s="40"/>
      <c r="W39" s="133">
        <v>42713</v>
      </c>
      <c r="X39" s="10">
        <v>47.53</v>
      </c>
      <c r="Y39" s="10">
        <v>47.74</v>
      </c>
      <c r="Z39" s="10">
        <v>47.44</v>
      </c>
      <c r="AA39" s="10">
        <v>47.73</v>
      </c>
      <c r="AB39" s="95">
        <v>3177200</v>
      </c>
      <c r="AC39" s="10">
        <v>47.5</v>
      </c>
      <c r="AD39" s="2">
        <f t="shared" si="0"/>
        <v>0.30000000000000426</v>
      </c>
      <c r="AE39" s="138">
        <f t="shared" si="1"/>
        <v>5.5038103302285091E-3</v>
      </c>
    </row>
    <row r="40" spans="2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638" t="s">
        <v>78</v>
      </c>
      <c r="P40" s="638"/>
      <c r="W40" s="133">
        <v>42712</v>
      </c>
      <c r="X40" s="10">
        <v>47.48</v>
      </c>
      <c r="Y40" s="10">
        <v>47.55</v>
      </c>
      <c r="Z40" s="10">
        <v>47.3</v>
      </c>
      <c r="AA40" s="10">
        <v>47.47</v>
      </c>
      <c r="AB40" s="95">
        <v>5131300</v>
      </c>
      <c r="AC40" s="10">
        <v>47.24</v>
      </c>
      <c r="AD40" s="2">
        <f t="shared" si="0"/>
        <v>0.25</v>
      </c>
      <c r="AE40" s="138">
        <f t="shared" si="1"/>
        <v>-5.8922558922559487E-3</v>
      </c>
    </row>
    <row r="41" spans="2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92.488</v>
      </c>
      <c r="Q41" s="2"/>
      <c r="W41" s="133">
        <v>42711</v>
      </c>
      <c r="X41" s="10">
        <v>47.19</v>
      </c>
      <c r="Y41" s="10">
        <v>47.86</v>
      </c>
      <c r="Z41" s="10">
        <v>47.19</v>
      </c>
      <c r="AA41" s="10">
        <v>47.75</v>
      </c>
      <c r="AB41" s="95">
        <v>3526900</v>
      </c>
      <c r="AC41" s="10">
        <v>47.52</v>
      </c>
      <c r="AD41" s="2">
        <f t="shared" si="0"/>
        <v>0.67000000000000171</v>
      </c>
      <c r="AE41" s="138">
        <f t="shared" si="1"/>
        <v>1.343570057581589E-2</v>
      </c>
    </row>
    <row r="42" spans="2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6">O42*$Q$4</f>
        <v>91.647199999999998</v>
      </c>
      <c r="Q42" s="2"/>
      <c r="T42" s="91" t="s">
        <v>113</v>
      </c>
      <c r="W42" s="133">
        <v>42710</v>
      </c>
      <c r="X42" s="10">
        <v>46.7</v>
      </c>
      <c r="Y42" s="10">
        <v>47.13</v>
      </c>
      <c r="Z42" s="10">
        <v>46.7</v>
      </c>
      <c r="AA42" s="10">
        <v>47.11</v>
      </c>
      <c r="AB42" s="95">
        <v>4126500</v>
      </c>
      <c r="AC42" s="10">
        <v>46.89</v>
      </c>
      <c r="AD42" s="2">
        <f t="shared" si="0"/>
        <v>0.42999999999999972</v>
      </c>
      <c r="AE42" s="138">
        <f t="shared" si="1"/>
        <v>9.2552733534223552E-3</v>
      </c>
    </row>
    <row r="43" spans="2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6"/>
        <v>90.806400000000011</v>
      </c>
      <c r="Q43" s="2"/>
      <c r="T43" s="128" t="s">
        <v>98</v>
      </c>
      <c r="U43" s="98">
        <v>49.51</v>
      </c>
      <c r="W43" s="133">
        <v>42709</v>
      </c>
      <c r="X43" s="10">
        <v>46.42</v>
      </c>
      <c r="Y43" s="10">
        <v>46.73</v>
      </c>
      <c r="Z43" s="10">
        <v>46.35</v>
      </c>
      <c r="AA43" s="10">
        <v>46.68</v>
      </c>
      <c r="AB43" s="95">
        <v>4250100</v>
      </c>
      <c r="AC43" s="10">
        <v>46.46</v>
      </c>
      <c r="AD43" s="2">
        <f t="shared" si="0"/>
        <v>0.37999999999999545</v>
      </c>
      <c r="AE43" s="138">
        <f t="shared" si="1"/>
        <v>1.5075376884422065E-2</v>
      </c>
    </row>
    <row r="44" spans="2:31" x14ac:dyDescent="0.25">
      <c r="B44" s="193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6"/>
        <v>89.965600000000009</v>
      </c>
      <c r="Q44" s="2"/>
      <c r="T44" s="93" t="s">
        <v>99</v>
      </c>
      <c r="U44" s="88">
        <v>49.58</v>
      </c>
      <c r="W44" s="133">
        <v>42706</v>
      </c>
      <c r="X44" s="10">
        <v>45.67</v>
      </c>
      <c r="Y44" s="10">
        <v>46.1</v>
      </c>
      <c r="Z44" s="10">
        <v>45.65</v>
      </c>
      <c r="AA44" s="10">
        <v>45.99</v>
      </c>
      <c r="AB44" s="95">
        <v>5255800</v>
      </c>
      <c r="AC44" s="10">
        <v>45.77</v>
      </c>
      <c r="AD44" s="2">
        <f t="shared" si="0"/>
        <v>0.45000000000000284</v>
      </c>
      <c r="AE44" s="138">
        <f t="shared" si="1"/>
        <v>3.2880315651031555E-3</v>
      </c>
    </row>
    <row r="45" spans="2:31" x14ac:dyDescent="0.25">
      <c r="B45" s="193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6"/>
        <v>89.124800000000008</v>
      </c>
      <c r="Q45" s="2"/>
      <c r="T45" s="93" t="s">
        <v>100</v>
      </c>
      <c r="U45" s="88" t="s">
        <v>129</v>
      </c>
      <c r="W45" s="133">
        <v>42705</v>
      </c>
      <c r="X45" s="10">
        <v>45.85</v>
      </c>
      <c r="Y45" s="10">
        <v>45.96</v>
      </c>
      <c r="Z45" s="10">
        <v>45.72</v>
      </c>
      <c r="AA45" s="10">
        <v>45.84</v>
      </c>
      <c r="AB45" s="95">
        <v>2651500</v>
      </c>
      <c r="AC45" s="10">
        <v>45.62</v>
      </c>
      <c r="AD45" s="2">
        <f t="shared" si="0"/>
        <v>0.24000000000000199</v>
      </c>
      <c r="AE45" s="138">
        <f t="shared" si="1"/>
        <v>-1.5320639089516641E-3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6"/>
        <v>88.284000000000006</v>
      </c>
      <c r="Q46" s="2"/>
      <c r="T46" s="93" t="s">
        <v>101</v>
      </c>
      <c r="U46" s="88" t="s">
        <v>129</v>
      </c>
      <c r="W46" s="133">
        <v>42704</v>
      </c>
      <c r="X46" s="10">
        <v>46.03</v>
      </c>
      <c r="Y46" s="10">
        <v>46.08</v>
      </c>
      <c r="Z46" s="10">
        <v>45.82</v>
      </c>
      <c r="AA46" s="10">
        <v>45.91</v>
      </c>
      <c r="AB46" s="95">
        <v>4140400</v>
      </c>
      <c r="AC46" s="10">
        <v>45.69</v>
      </c>
      <c r="AD46" s="2">
        <f t="shared" si="0"/>
        <v>0.25999999999999801</v>
      </c>
      <c r="AE46" s="138">
        <f t="shared" si="1"/>
        <v>-6.5616797900269752E-4</v>
      </c>
    </row>
    <row r="47" spans="2:31" x14ac:dyDescent="0.25">
      <c r="B47" s="193"/>
      <c r="C47" s="10"/>
      <c r="D47" s="40"/>
      <c r="E47" s="40"/>
      <c r="F47" s="40"/>
      <c r="G47" s="40"/>
      <c r="H47" s="231"/>
      <c r="I47" s="40"/>
      <c r="O47" s="83">
        <v>1.04</v>
      </c>
      <c r="P47" s="83">
        <f t="shared" si="6"/>
        <v>87.443200000000004</v>
      </c>
      <c r="Q47" s="2"/>
      <c r="T47" s="93" t="s">
        <v>357</v>
      </c>
      <c r="U47" s="88">
        <v>49.54</v>
      </c>
      <c r="W47" s="133">
        <v>42703</v>
      </c>
      <c r="X47" s="10">
        <v>45.58</v>
      </c>
      <c r="Y47" s="10">
        <v>46</v>
      </c>
      <c r="Z47" s="10">
        <v>45.55</v>
      </c>
      <c r="AA47" s="10">
        <v>45.94</v>
      </c>
      <c r="AB47" s="95">
        <v>2878900</v>
      </c>
      <c r="AC47" s="10">
        <v>45.72</v>
      </c>
      <c r="AD47" s="2">
        <f t="shared" si="0"/>
        <v>0.45000000000000284</v>
      </c>
      <c r="AE47" s="138">
        <f t="shared" si="1"/>
        <v>8.8261253309795951E-3</v>
      </c>
    </row>
    <row r="48" spans="2:31" x14ac:dyDescent="0.25">
      <c r="B48" s="193"/>
      <c r="C48" s="10"/>
      <c r="D48" s="40"/>
      <c r="E48" s="40"/>
      <c r="F48" s="40"/>
      <c r="G48" s="40"/>
      <c r="H48" s="231"/>
      <c r="I48" s="40"/>
      <c r="O48" s="83">
        <v>1.03</v>
      </c>
      <c r="P48" s="83">
        <f t="shared" si="6"/>
        <v>86.602400000000003</v>
      </c>
      <c r="Q48" s="2"/>
      <c r="T48" s="93" t="s">
        <v>358</v>
      </c>
      <c r="U48" s="88" t="s">
        <v>390</v>
      </c>
      <c r="W48" s="133">
        <v>42702</v>
      </c>
      <c r="X48" s="10">
        <v>45.75</v>
      </c>
      <c r="Y48" s="10">
        <v>45.76</v>
      </c>
      <c r="Z48" s="10">
        <v>45.52</v>
      </c>
      <c r="AA48" s="10">
        <v>45.54</v>
      </c>
      <c r="AB48" s="95">
        <v>2503900</v>
      </c>
      <c r="AC48" s="10">
        <v>45.32</v>
      </c>
      <c r="AD48" s="2">
        <f t="shared" si="0"/>
        <v>0.23999999999999488</v>
      </c>
      <c r="AE48" s="138">
        <f t="shared" si="1"/>
        <v>-1.1774967291757532E-2</v>
      </c>
    </row>
    <row r="49" spans="1:31" x14ac:dyDescent="0.25">
      <c r="B49" s="193"/>
      <c r="C49" s="10"/>
      <c r="D49" s="40"/>
      <c r="E49" s="40"/>
      <c r="F49" s="40"/>
      <c r="G49" s="40"/>
      <c r="H49" s="231"/>
      <c r="I49" s="40"/>
      <c r="O49" s="83">
        <v>1.02</v>
      </c>
      <c r="P49" s="83">
        <f t="shared" si="6"/>
        <v>85.761600000000001</v>
      </c>
      <c r="Q49" s="2"/>
      <c r="T49" s="93" t="s">
        <v>359</v>
      </c>
      <c r="U49" s="452">
        <v>-3.7000000000000002E-3</v>
      </c>
      <c r="W49" s="133">
        <v>42699</v>
      </c>
      <c r="X49" s="10">
        <v>46.01</v>
      </c>
      <c r="Y49" s="10">
        <v>46.08</v>
      </c>
      <c r="Z49" s="10">
        <v>45.96</v>
      </c>
      <c r="AA49" s="10">
        <v>46.08</v>
      </c>
      <c r="AB49" s="95">
        <v>1345300</v>
      </c>
      <c r="AC49" s="10">
        <v>45.86</v>
      </c>
      <c r="AD49" s="2">
        <f t="shared" si="0"/>
        <v>0.11999999999999744</v>
      </c>
      <c r="AE49" s="138">
        <f t="shared" si="1"/>
        <v>8.3553210202287342E-3</v>
      </c>
    </row>
    <row r="50" spans="1:31" x14ac:dyDescent="0.25">
      <c r="O50" s="83">
        <v>1.01</v>
      </c>
      <c r="P50" s="83">
        <f t="shared" si="6"/>
        <v>84.9208</v>
      </c>
      <c r="Q50" s="2"/>
      <c r="T50" s="93"/>
      <c r="U50" s="88"/>
      <c r="W50" s="133">
        <v>42697</v>
      </c>
      <c r="X50" s="10">
        <v>45.45</v>
      </c>
      <c r="Y50" s="10">
        <v>45.74</v>
      </c>
      <c r="Z50" s="10">
        <v>45.36</v>
      </c>
      <c r="AA50" s="10">
        <v>45.7</v>
      </c>
      <c r="AB50" s="95">
        <v>2342000</v>
      </c>
      <c r="AC50" s="10">
        <v>45.48</v>
      </c>
      <c r="AD50" s="2">
        <f t="shared" si="0"/>
        <v>0.38000000000000256</v>
      </c>
      <c r="AE50" s="138">
        <f t="shared" si="1"/>
        <v>-7.2036673215456482E-3</v>
      </c>
    </row>
    <row r="51" spans="1:31" x14ac:dyDescent="0.25">
      <c r="O51" s="83">
        <v>1</v>
      </c>
      <c r="P51" s="83">
        <f t="shared" si="6"/>
        <v>84.08</v>
      </c>
      <c r="Q51" s="2"/>
      <c r="T51" s="93" t="s">
        <v>105</v>
      </c>
      <c r="U51" s="88" t="s">
        <v>589</v>
      </c>
      <c r="W51" s="133">
        <v>42696</v>
      </c>
      <c r="X51" s="10">
        <v>46.02</v>
      </c>
      <c r="Y51" s="10">
        <v>46.07</v>
      </c>
      <c r="Z51" s="10">
        <v>45.82</v>
      </c>
      <c r="AA51" s="10">
        <v>46.03</v>
      </c>
      <c r="AB51" s="95">
        <v>2320000</v>
      </c>
      <c r="AC51" s="10">
        <v>45.81</v>
      </c>
      <c r="AD51" s="2">
        <f t="shared" si="0"/>
        <v>0.25</v>
      </c>
      <c r="AE51" s="138">
        <f t="shared" si="1"/>
        <v>8.7393489185050299E-4</v>
      </c>
    </row>
    <row r="52" spans="1:31" x14ac:dyDescent="0.25">
      <c r="O52" s="83">
        <v>0.99</v>
      </c>
      <c r="P52" s="83">
        <f t="shared" si="6"/>
        <v>83.239199999999997</v>
      </c>
      <c r="Q52" s="2"/>
      <c r="T52" s="93" t="s">
        <v>106</v>
      </c>
      <c r="U52" s="88" t="s">
        <v>382</v>
      </c>
      <c r="W52" s="133">
        <v>42695</v>
      </c>
      <c r="X52" s="10">
        <v>45.77</v>
      </c>
      <c r="Y52" s="10">
        <v>46</v>
      </c>
      <c r="Z52" s="10">
        <v>45.75</v>
      </c>
      <c r="AA52" s="10">
        <v>45.99</v>
      </c>
      <c r="AB52" s="95">
        <v>3711400</v>
      </c>
      <c r="AC52" s="10">
        <v>45.77</v>
      </c>
      <c r="AD52" s="2">
        <f t="shared" si="0"/>
        <v>0.25</v>
      </c>
      <c r="AE52" s="138">
        <f t="shared" si="1"/>
        <v>8.5940943146760596E-3</v>
      </c>
    </row>
    <row r="53" spans="1:31" x14ac:dyDescent="0.25">
      <c r="L53" t="s">
        <v>65</v>
      </c>
      <c r="M53" s="2">
        <f>K71+M71-F71</f>
        <v>0</v>
      </c>
      <c r="O53" s="83">
        <v>0.98</v>
      </c>
      <c r="P53" s="83">
        <f t="shared" si="6"/>
        <v>82.398399999999995</v>
      </c>
      <c r="Q53" s="2"/>
      <c r="T53" s="93" t="s">
        <v>107</v>
      </c>
      <c r="U53" s="90">
        <v>2448528</v>
      </c>
      <c r="W53" s="133">
        <v>42692</v>
      </c>
      <c r="X53" s="10">
        <v>45.74</v>
      </c>
      <c r="Y53" s="10">
        <v>45.77</v>
      </c>
      <c r="Z53" s="10">
        <v>45.52</v>
      </c>
      <c r="AA53" s="10">
        <v>45.6</v>
      </c>
      <c r="AB53" s="95">
        <v>3894600</v>
      </c>
      <c r="AC53" s="10">
        <v>45.38</v>
      </c>
      <c r="AD53" s="2">
        <f t="shared" si="0"/>
        <v>0.25</v>
      </c>
      <c r="AE53" s="138">
        <f t="shared" si="1"/>
        <v>-1.0250817884405627E-2</v>
      </c>
    </row>
    <row r="54" spans="1:31" x14ac:dyDescent="0.25">
      <c r="A54" s="263" t="s">
        <v>1</v>
      </c>
      <c r="B54" s="263" t="s">
        <v>2</v>
      </c>
      <c r="C54" s="263" t="s">
        <v>4</v>
      </c>
      <c r="D54" s="264" t="s">
        <v>5</v>
      </c>
      <c r="E54" s="264" t="s">
        <v>94</v>
      </c>
      <c r="F54" s="264" t="s">
        <v>60</v>
      </c>
      <c r="G54" s="263" t="s">
        <v>3</v>
      </c>
      <c r="H54" s="263" t="s">
        <v>6</v>
      </c>
      <c r="I54" s="264" t="s">
        <v>7</v>
      </c>
      <c r="J54" s="264" t="s">
        <v>95</v>
      </c>
      <c r="K54" s="264" t="s">
        <v>61</v>
      </c>
      <c r="L54" s="263" t="s">
        <v>37</v>
      </c>
      <c r="M54" s="263" t="s">
        <v>38</v>
      </c>
      <c r="O54" s="83">
        <v>0.97</v>
      </c>
      <c r="P54" s="83">
        <f t="shared" si="6"/>
        <v>81.557599999999994</v>
      </c>
      <c r="T54" s="93" t="s">
        <v>110</v>
      </c>
      <c r="U54" s="90">
        <v>3525540</v>
      </c>
      <c r="W54" s="133">
        <v>42691</v>
      </c>
      <c r="X54" s="10">
        <v>45.99</v>
      </c>
      <c r="Y54" s="10">
        <v>46.19</v>
      </c>
      <c r="Z54" s="10">
        <v>45.94</v>
      </c>
      <c r="AA54" s="10">
        <v>46.07</v>
      </c>
      <c r="AB54" s="95">
        <v>6350000</v>
      </c>
      <c r="AC54" s="10">
        <v>45.85</v>
      </c>
      <c r="AD54" s="2">
        <f t="shared" si="0"/>
        <v>0.25</v>
      </c>
      <c r="AE54" s="138">
        <f t="shared" si="1"/>
        <v>4.8213894367741261E-3</v>
      </c>
    </row>
    <row r="55" spans="1:31" x14ac:dyDescent="0.25">
      <c r="A55" s="265" t="s">
        <v>499</v>
      </c>
      <c r="B55" s="266"/>
      <c r="C55" s="261"/>
      <c r="D55" s="262"/>
      <c r="E55" s="262"/>
      <c r="F55" s="262"/>
      <c r="G55" s="266"/>
      <c r="H55" s="267"/>
      <c r="I55" s="262"/>
      <c r="J55" s="262"/>
      <c r="K55" s="262"/>
      <c r="L55" s="266"/>
      <c r="M55" s="261"/>
      <c r="O55" s="83">
        <v>0.96</v>
      </c>
      <c r="P55" s="83">
        <f t="shared" si="6"/>
        <v>80.716799999999992</v>
      </c>
      <c r="T55" s="93" t="s">
        <v>360</v>
      </c>
      <c r="U55" s="88">
        <v>16</v>
      </c>
      <c r="W55" s="133">
        <v>42690</v>
      </c>
      <c r="X55" s="10">
        <v>45.81</v>
      </c>
      <c r="Y55" s="10">
        <v>46.01</v>
      </c>
      <c r="Z55" s="10">
        <v>45.74</v>
      </c>
      <c r="AA55" s="10">
        <v>45.85</v>
      </c>
      <c r="AB55" s="95">
        <v>8245000</v>
      </c>
      <c r="AC55" s="10">
        <v>45.63</v>
      </c>
      <c r="AD55" s="2">
        <f t="shared" si="0"/>
        <v>0.26999999999999602</v>
      </c>
      <c r="AE55" s="138">
        <f t="shared" si="1"/>
        <v>-1.1053315994798418E-2</v>
      </c>
    </row>
    <row r="56" spans="1:31" x14ac:dyDescent="0.25">
      <c r="A56" s="268" t="s">
        <v>71</v>
      </c>
      <c r="B56" s="266"/>
      <c r="C56" s="261"/>
      <c r="D56" s="262"/>
      <c r="E56" s="262"/>
      <c r="F56" s="262"/>
      <c r="G56" s="266"/>
      <c r="H56" s="267"/>
      <c r="I56" s="262"/>
      <c r="J56" s="262"/>
      <c r="K56" s="262"/>
      <c r="L56" s="261"/>
      <c r="M56" s="261"/>
      <c r="O56" s="83">
        <v>0.95</v>
      </c>
      <c r="P56" s="83">
        <f t="shared" si="6"/>
        <v>79.875999999999991</v>
      </c>
      <c r="T56" s="93" t="s">
        <v>361</v>
      </c>
      <c r="U56" s="88">
        <v>3.52</v>
      </c>
      <c r="W56" s="133">
        <v>42689</v>
      </c>
      <c r="X56" s="10">
        <v>45.95</v>
      </c>
      <c r="Y56" s="10">
        <v>46.36</v>
      </c>
      <c r="Z56" s="10">
        <v>45.91</v>
      </c>
      <c r="AA56" s="10">
        <v>46.36</v>
      </c>
      <c r="AB56" s="95">
        <v>2233200</v>
      </c>
      <c r="AC56" s="10">
        <v>46.14</v>
      </c>
      <c r="AD56" s="2">
        <f t="shared" si="0"/>
        <v>0.45000000000000284</v>
      </c>
      <c r="AE56" s="138">
        <f t="shared" si="1"/>
        <v>6.9838498472283295E-3</v>
      </c>
    </row>
    <row r="57" spans="1:31" x14ac:dyDescent="0.25">
      <c r="A57" s="261"/>
      <c r="B57" s="266"/>
      <c r="C57" s="261"/>
      <c r="D57" s="262"/>
      <c r="E57" s="262"/>
      <c r="F57" s="262"/>
      <c r="G57" s="261"/>
      <c r="H57" s="267"/>
      <c r="I57" s="262"/>
      <c r="J57" s="262"/>
      <c r="K57" s="262"/>
      <c r="L57" s="261"/>
      <c r="M57" s="261"/>
      <c r="O57" s="83">
        <v>0.94</v>
      </c>
      <c r="P57" s="83">
        <f t="shared" si="6"/>
        <v>79.035199999999989</v>
      </c>
      <c r="T57" s="93"/>
      <c r="U57" s="88"/>
      <c r="W57" s="133">
        <v>42688</v>
      </c>
      <c r="X57" s="10">
        <v>45.99</v>
      </c>
      <c r="Y57" s="10">
        <v>46.12</v>
      </c>
      <c r="Z57" s="10">
        <v>45.85</v>
      </c>
      <c r="AA57" s="10">
        <v>46.04</v>
      </c>
      <c r="AB57" s="95">
        <v>2962300</v>
      </c>
      <c r="AC57" s="10">
        <v>45.82</v>
      </c>
      <c r="AD57" s="2">
        <f t="shared" si="0"/>
        <v>0.26999999999999602</v>
      </c>
      <c r="AE57" s="138">
        <f t="shared" si="1"/>
        <v>-8.6542622241453371E-3</v>
      </c>
    </row>
    <row r="58" spans="1:31" x14ac:dyDescent="0.25">
      <c r="A58" s="261"/>
      <c r="B58" s="266"/>
      <c r="C58" s="261"/>
      <c r="D58" s="262"/>
      <c r="E58" s="262"/>
      <c r="F58" s="262"/>
      <c r="G58" s="261"/>
      <c r="H58" s="267"/>
      <c r="I58" s="262"/>
      <c r="J58" s="262"/>
      <c r="K58" s="262"/>
      <c r="L58" s="261"/>
      <c r="M58" s="261"/>
      <c r="O58" s="83">
        <v>0.93</v>
      </c>
      <c r="P58" s="83">
        <f t="shared" si="6"/>
        <v>78.194400000000002</v>
      </c>
      <c r="T58" s="93"/>
      <c r="U58" s="88"/>
      <c r="W58" s="133">
        <v>42685</v>
      </c>
      <c r="X58" s="10">
        <v>46.55</v>
      </c>
      <c r="Y58" s="10">
        <v>46.66</v>
      </c>
      <c r="Z58" s="10">
        <v>46.26</v>
      </c>
      <c r="AA58" s="10">
        <v>46.44</v>
      </c>
      <c r="AB58" s="95">
        <v>2576800</v>
      </c>
      <c r="AC58" s="10">
        <v>46.22</v>
      </c>
      <c r="AD58" s="2">
        <f t="shared" si="0"/>
        <v>0.39999999999999858</v>
      </c>
      <c r="AE58" s="138">
        <f t="shared" si="1"/>
        <v>-9.8543273350470972E-3</v>
      </c>
    </row>
    <row r="59" spans="1:31" x14ac:dyDescent="0.25">
      <c r="A59" s="261"/>
      <c r="B59" s="266"/>
      <c r="C59" s="261"/>
      <c r="D59" s="262"/>
      <c r="E59" s="262"/>
      <c r="F59" s="262"/>
      <c r="G59" s="261"/>
      <c r="H59" s="267"/>
      <c r="I59" s="262"/>
      <c r="J59" s="262"/>
      <c r="K59" s="262"/>
      <c r="L59" s="261"/>
      <c r="M59" s="261"/>
      <c r="O59" s="83">
        <v>0.92</v>
      </c>
      <c r="P59" s="83">
        <f t="shared" si="6"/>
        <v>77.3536</v>
      </c>
      <c r="W59" s="133">
        <v>42684</v>
      </c>
      <c r="X59" s="10">
        <v>47.04</v>
      </c>
      <c r="Y59" s="10">
        <v>47.16</v>
      </c>
      <c r="Z59" s="10">
        <v>46.5</v>
      </c>
      <c r="AA59" s="10">
        <v>46.9</v>
      </c>
      <c r="AB59" s="95">
        <v>4569500</v>
      </c>
      <c r="AC59" s="10">
        <v>46.68</v>
      </c>
      <c r="AD59" s="2">
        <f t="shared" si="0"/>
        <v>0.65999999999999659</v>
      </c>
      <c r="AE59" s="138">
        <f t="shared" si="1"/>
        <v>-5.1150895140665842E-3</v>
      </c>
    </row>
    <row r="60" spans="1:31" x14ac:dyDescent="0.25">
      <c r="A60" s="261"/>
      <c r="B60" s="261"/>
      <c r="C60" s="261"/>
      <c r="D60" s="262"/>
      <c r="E60" s="262"/>
      <c r="F60" s="262"/>
      <c r="G60" s="261"/>
      <c r="H60" s="267"/>
      <c r="I60" s="262"/>
      <c r="J60" s="262"/>
      <c r="K60" s="262"/>
      <c r="L60" s="261"/>
      <c r="M60" s="261"/>
      <c r="O60" s="83">
        <v>0.91</v>
      </c>
      <c r="P60" s="83">
        <f t="shared" si="6"/>
        <v>76.512799999999999</v>
      </c>
      <c r="W60" s="133">
        <v>42683</v>
      </c>
      <c r="X60" s="10">
        <v>46.54</v>
      </c>
      <c r="Y60" s="10">
        <v>47.3</v>
      </c>
      <c r="Z60" s="10">
        <v>46.54</v>
      </c>
      <c r="AA60" s="10">
        <v>47.14</v>
      </c>
      <c r="AB60" s="95">
        <v>4359400</v>
      </c>
      <c r="AC60" s="10">
        <v>46.92</v>
      </c>
      <c r="AD60" s="2">
        <f t="shared" si="0"/>
        <v>0.75999999999999801</v>
      </c>
      <c r="AE60" s="138">
        <f t="shared" si="1"/>
        <v>5.1413881748072487E-3</v>
      </c>
    </row>
    <row r="61" spans="1:31" x14ac:dyDescent="0.25">
      <c r="A61" s="261"/>
      <c r="B61" s="261"/>
      <c r="C61" s="261"/>
      <c r="D61" s="262"/>
      <c r="E61" s="262"/>
      <c r="F61" s="262"/>
      <c r="G61" s="261"/>
      <c r="H61" s="267"/>
      <c r="I61" s="262"/>
      <c r="J61" s="262"/>
      <c r="K61" s="262"/>
      <c r="L61" s="261"/>
      <c r="M61" s="261"/>
      <c r="O61" s="83">
        <v>0.9</v>
      </c>
      <c r="P61" s="83">
        <f t="shared" si="6"/>
        <v>75.671999999999997</v>
      </c>
      <c r="W61" s="133">
        <v>42682</v>
      </c>
      <c r="X61" s="10">
        <v>46.63</v>
      </c>
      <c r="Y61" s="10">
        <v>47</v>
      </c>
      <c r="Z61" s="10">
        <v>46.57</v>
      </c>
      <c r="AA61" s="10">
        <v>46.9</v>
      </c>
      <c r="AB61" s="95">
        <v>2098600</v>
      </c>
      <c r="AC61" s="10">
        <v>46.68</v>
      </c>
      <c r="AD61" s="2">
        <f t="shared" si="0"/>
        <v>0.42999999999999972</v>
      </c>
      <c r="AE61" s="138">
        <f t="shared" si="1"/>
        <v>3.0081650193383158E-3</v>
      </c>
    </row>
    <row r="62" spans="1:31" x14ac:dyDescent="0.25">
      <c r="A62" s="261"/>
      <c r="B62" s="261"/>
      <c r="C62" s="261"/>
      <c r="D62" s="262"/>
      <c r="E62" s="262"/>
      <c r="F62" s="262"/>
      <c r="G62" s="261"/>
      <c r="H62" s="267"/>
      <c r="I62" s="262"/>
      <c r="J62" s="262"/>
      <c r="K62" s="262"/>
      <c r="L62" s="261"/>
      <c r="M62" s="261"/>
      <c r="W62" s="133">
        <v>42681</v>
      </c>
      <c r="X62" s="10">
        <v>46.61</v>
      </c>
      <c r="Y62" s="10">
        <v>46.76</v>
      </c>
      <c r="Z62" s="10">
        <v>46.5</v>
      </c>
      <c r="AA62" s="10">
        <v>46.76</v>
      </c>
      <c r="AB62" s="95">
        <v>2170900</v>
      </c>
      <c r="AC62" s="10">
        <v>46.54</v>
      </c>
      <c r="AD62" s="2">
        <f t="shared" si="0"/>
        <v>0.25999999999999801</v>
      </c>
      <c r="AE62" s="138">
        <f t="shared" si="1"/>
        <v>1.5935385287055182E-2</v>
      </c>
    </row>
    <row r="63" spans="1:31" x14ac:dyDescent="0.25">
      <c r="A63" s="261"/>
      <c r="B63" s="261"/>
      <c r="C63" s="261"/>
      <c r="D63" s="262"/>
      <c r="E63" s="262"/>
      <c r="F63" s="262"/>
      <c r="G63" s="261"/>
      <c r="H63" s="267"/>
      <c r="I63" s="262"/>
      <c r="J63" s="262"/>
      <c r="K63" s="262"/>
      <c r="L63" s="261"/>
      <c r="M63" s="261"/>
      <c r="W63" s="133">
        <v>42678</v>
      </c>
      <c r="X63" s="10">
        <v>46.14</v>
      </c>
      <c r="Y63" s="10">
        <v>46.36</v>
      </c>
      <c r="Z63" s="10">
        <v>46.03</v>
      </c>
      <c r="AA63" s="10">
        <v>46.03</v>
      </c>
      <c r="AB63" s="95">
        <v>3244800</v>
      </c>
      <c r="AC63" s="10">
        <v>45.81</v>
      </c>
      <c r="AD63" s="2">
        <f t="shared" si="0"/>
        <v>0.32999999999999829</v>
      </c>
      <c r="AE63" s="138">
        <f t="shared" si="1"/>
        <v>-9.941646855413877E-3</v>
      </c>
    </row>
    <row r="64" spans="1:31" x14ac:dyDescent="0.25">
      <c r="A64" s="261"/>
      <c r="B64" s="261"/>
      <c r="C64" s="261"/>
      <c r="D64" s="262"/>
      <c r="E64" s="262"/>
      <c r="F64" s="262"/>
      <c r="G64" s="261"/>
      <c r="H64" s="267"/>
      <c r="I64" s="262"/>
      <c r="J64" s="262"/>
      <c r="K64" s="262"/>
      <c r="L64" s="261"/>
      <c r="M64" s="261"/>
      <c r="W64" s="133">
        <v>42677</v>
      </c>
      <c r="X64" s="10">
        <v>46.7</v>
      </c>
      <c r="Y64" s="10">
        <v>46.76</v>
      </c>
      <c r="Z64" s="10">
        <v>46.4</v>
      </c>
      <c r="AA64" s="10">
        <v>46.49</v>
      </c>
      <c r="AB64" s="95">
        <v>2528800</v>
      </c>
      <c r="AC64" s="10">
        <v>46.27</v>
      </c>
      <c r="AD64" s="2">
        <f t="shared" si="0"/>
        <v>0.35999999999999943</v>
      </c>
      <c r="AE64" s="138">
        <f t="shared" si="1"/>
        <v>-4.3205875999130505E-4</v>
      </c>
    </row>
    <row r="65" spans="1:31" x14ac:dyDescent="0.25">
      <c r="A65" s="261"/>
      <c r="B65" s="261"/>
      <c r="C65" s="261"/>
      <c r="D65" s="262"/>
      <c r="E65" s="262"/>
      <c r="F65" s="262"/>
      <c r="G65" s="261"/>
      <c r="H65" s="267"/>
      <c r="I65" s="262"/>
      <c r="J65" s="262"/>
      <c r="K65" s="262"/>
      <c r="L65" s="261"/>
      <c r="M65" s="261"/>
      <c r="W65" s="133">
        <v>42676</v>
      </c>
      <c r="X65" s="10">
        <v>46.83</v>
      </c>
      <c r="Y65" s="10">
        <v>46.87</v>
      </c>
      <c r="Z65" s="10">
        <v>46.46</v>
      </c>
      <c r="AA65" s="10">
        <v>46.51</v>
      </c>
      <c r="AB65" s="95">
        <v>2975500</v>
      </c>
      <c r="AC65" s="10">
        <v>46.29</v>
      </c>
      <c r="AD65" s="2">
        <f t="shared" si="0"/>
        <v>0.40999999999999659</v>
      </c>
      <c r="AE65" s="138">
        <f t="shared" si="1"/>
        <v>-6.6523605150214937E-3</v>
      </c>
    </row>
    <row r="66" spans="1:31" x14ac:dyDescent="0.25">
      <c r="A66" s="261"/>
      <c r="B66" s="261"/>
      <c r="C66" s="261"/>
      <c r="D66" s="262"/>
      <c r="E66" s="262"/>
      <c r="F66" s="262"/>
      <c r="G66" s="261"/>
      <c r="H66" s="267"/>
      <c r="I66" s="262"/>
      <c r="J66" s="262"/>
      <c r="K66" s="262"/>
      <c r="L66" s="261"/>
      <c r="M66" s="261"/>
      <c r="W66" s="133">
        <v>42675</v>
      </c>
      <c r="X66" s="10">
        <v>47.18</v>
      </c>
      <c r="Y66" s="10">
        <v>47.21</v>
      </c>
      <c r="Z66" s="10">
        <v>46.69</v>
      </c>
      <c r="AA66" s="10">
        <v>46.82</v>
      </c>
      <c r="AB66" s="95">
        <v>3303100</v>
      </c>
      <c r="AC66" s="10">
        <v>46.6</v>
      </c>
      <c r="AD66" s="2">
        <f t="shared" si="0"/>
        <v>0.52000000000000313</v>
      </c>
      <c r="AE66" s="138">
        <f t="shared" si="1"/>
        <v>-4.0606967300704788E-3</v>
      </c>
    </row>
    <row r="67" spans="1:31" x14ac:dyDescent="0.25">
      <c r="A67" s="261"/>
      <c r="B67" s="261"/>
      <c r="C67" s="261"/>
      <c r="D67" s="262"/>
      <c r="E67" s="262"/>
      <c r="F67" s="262"/>
      <c r="G67" s="261"/>
      <c r="H67" s="267"/>
      <c r="I67" s="262"/>
      <c r="J67" s="262"/>
      <c r="K67" s="262"/>
      <c r="L67" s="261"/>
      <c r="M67" s="261"/>
      <c r="W67" s="133">
        <v>42674</v>
      </c>
      <c r="X67" s="10">
        <v>46.97</v>
      </c>
      <c r="Y67" s="10">
        <v>47.11</v>
      </c>
      <c r="Z67" s="10">
        <v>46.84</v>
      </c>
      <c r="AA67" s="10">
        <v>47.01</v>
      </c>
      <c r="AB67" s="95">
        <v>2016000</v>
      </c>
      <c r="AC67" s="10">
        <v>46.79</v>
      </c>
      <c r="AD67" s="2">
        <f>Y67-Z67</f>
        <v>0.26999999999999602</v>
      </c>
      <c r="AE67" s="138" t="e">
        <f>AC67/#REF!-1</f>
        <v>#REF!</v>
      </c>
    </row>
    <row r="68" spans="1:31" x14ac:dyDescent="0.25">
      <c r="A68" s="261"/>
      <c r="B68" s="261"/>
      <c r="C68" s="261"/>
      <c r="D68" s="262"/>
      <c r="E68" s="262"/>
      <c r="F68" s="262"/>
      <c r="G68" s="261"/>
      <c r="H68" s="267"/>
      <c r="I68" s="262"/>
      <c r="J68" s="262"/>
      <c r="K68" s="262"/>
      <c r="L68" s="261"/>
      <c r="M68" s="261"/>
      <c r="W68" s="133">
        <v>42671</v>
      </c>
      <c r="X68" s="10">
        <v>47.01</v>
      </c>
      <c r="Y68" s="10">
        <v>47.22</v>
      </c>
      <c r="Z68" s="10">
        <v>46.98</v>
      </c>
      <c r="AA68" s="10">
        <v>47.06</v>
      </c>
      <c r="AB68" s="95">
        <v>3251700</v>
      </c>
      <c r="AC68" s="10">
        <v>46.84</v>
      </c>
      <c r="AD68" s="2" t="e">
        <f>#REF!-#REF!</f>
        <v>#REF!</v>
      </c>
      <c r="AE68" s="138" t="e">
        <f>#REF!/AC69-1</f>
        <v>#REF!</v>
      </c>
    </row>
    <row r="69" spans="1:31" x14ac:dyDescent="0.25">
      <c r="A69" s="261"/>
      <c r="B69" s="261"/>
      <c r="C69" s="261"/>
      <c r="D69" s="262"/>
      <c r="E69" s="262"/>
      <c r="F69" s="262"/>
      <c r="G69" s="261"/>
      <c r="H69" s="267"/>
      <c r="I69" s="262"/>
      <c r="J69" s="262"/>
      <c r="K69" s="262"/>
      <c r="L69" s="261"/>
      <c r="M69" s="261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1:31" x14ac:dyDescent="0.25">
      <c r="A70" s="261"/>
      <c r="B70" s="261"/>
      <c r="C70" s="261"/>
      <c r="D70" s="262"/>
      <c r="E70" s="262"/>
      <c r="F70" s="262"/>
      <c r="G70" s="261"/>
      <c r="H70" s="261"/>
      <c r="I70" s="262"/>
      <c r="J70" s="262"/>
      <c r="K70" s="262"/>
      <c r="L70" s="261"/>
      <c r="M70" s="261"/>
    </row>
    <row r="71" spans="1:31" x14ac:dyDescent="0.25">
      <c r="A71" s="32" t="s">
        <v>81</v>
      </c>
      <c r="B71" s="14"/>
      <c r="C71" s="14">
        <f>SUM(C55:C59)</f>
        <v>0</v>
      </c>
      <c r="D71" s="18"/>
      <c r="E71" s="18"/>
      <c r="F71" s="18">
        <f>SUM(F55:F59)</f>
        <v>0</v>
      </c>
      <c r="G71" s="14"/>
      <c r="H71" s="14">
        <f>SUM(H55:H58)</f>
        <v>0</v>
      </c>
      <c r="I71" s="18"/>
      <c r="J71" s="18"/>
      <c r="K71" s="18">
        <f>SUM(K55:K58)</f>
        <v>0</v>
      </c>
      <c r="L71" s="14"/>
      <c r="M71" s="18">
        <f>SUM(M55:M63)</f>
        <v>0</v>
      </c>
    </row>
    <row r="72" spans="1:31" ht="15.75" thickBot="1" x14ac:dyDescent="0.3">
      <c r="A72" s="467" t="s">
        <v>198</v>
      </c>
      <c r="B72" s="468"/>
      <c r="C72" s="469">
        <f>SumByColor($A$19,C55:C70)</f>
        <v>0</v>
      </c>
      <c r="D72" s="469"/>
      <c r="E72" s="469"/>
      <c r="F72" s="470">
        <f>SumByColor($A$19,F55:F70)</f>
        <v>0</v>
      </c>
      <c r="G72" s="469"/>
      <c r="H72" s="469">
        <f>SumByColor($A$19,H55:H70)</f>
        <v>0</v>
      </c>
      <c r="I72" s="469"/>
      <c r="J72" s="469"/>
      <c r="K72" s="470">
        <f>SumByColor($A$19,K55:K70)</f>
        <v>0</v>
      </c>
      <c r="L72" s="469"/>
      <c r="M72" s="470">
        <f t="shared" ref="M72" si="7"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{4339F7F9-B350-4B95-957D-2248AED3BDEC}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583" priority="9">
      <formula>F39&gt;0</formula>
    </cfRule>
    <cfRule type="expression" dxfId="582" priority="10">
      <formula>F39&lt;0</formula>
    </cfRule>
  </conditionalFormatting>
  <conditionalFormatting sqref="F25:F38">
    <cfRule type="expression" dxfId="581" priority="7">
      <formula>F25&gt;0</formula>
    </cfRule>
    <cfRule type="expression" dxfId="580" priority="8">
      <formula>F25&lt;0</formula>
    </cfRule>
  </conditionalFormatting>
  <conditionalFormatting sqref="H25:H38">
    <cfRule type="expression" dxfId="579" priority="5">
      <formula>H25&gt;0</formula>
    </cfRule>
    <cfRule type="expression" dxfId="578" priority="6">
      <formula>H25&lt;0</formula>
    </cfRule>
  </conditionalFormatting>
  <conditionalFormatting sqref="Q7">
    <cfRule type="expression" dxfId="577" priority="3">
      <formula>Q7&gt;0</formula>
    </cfRule>
    <cfRule type="expression" dxfId="576" priority="4">
      <formula>Q7&lt;0</formula>
    </cfRule>
  </conditionalFormatting>
  <conditionalFormatting sqref="Q8">
    <cfRule type="expression" dxfId="575" priority="1">
      <formula>Q8&gt;0</formula>
    </cfRule>
    <cfRule type="expression" dxfId="574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339F7F9-B350-4B95-957D-2248AED3BD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72"/>
  <sheetViews>
    <sheetView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1.7109375" customWidth="1"/>
    <col min="23" max="23" width="43" customWidth="1"/>
    <col min="24" max="24" width="14.140625" customWidth="1"/>
    <col min="25" max="27" width="6" customWidth="1"/>
    <col min="28" max="28" width="9.140625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231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1"/>
      <c r="W2" s="133">
        <v>42768</v>
      </c>
      <c r="X2" s="10">
        <v>49.58</v>
      </c>
      <c r="Y2" s="10">
        <v>49.65</v>
      </c>
      <c r="Z2" s="10">
        <v>49.36</v>
      </c>
      <c r="AA2" s="10">
        <v>49.47</v>
      </c>
      <c r="AB2" s="95">
        <v>2317500</v>
      </c>
      <c r="AC2" s="10">
        <v>49.47</v>
      </c>
      <c r="AD2" s="2">
        <f>Y2-Z2</f>
        <v>0.28999999999999915</v>
      </c>
      <c r="AE2" s="138">
        <f>AC2/AC3-1</f>
        <v>-8.0791759240550487E-4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49.65</v>
      </c>
      <c r="T3" s="1"/>
      <c r="W3" s="133">
        <v>42767</v>
      </c>
      <c r="X3" s="10">
        <v>49.64</v>
      </c>
      <c r="Y3" s="10">
        <v>49.64</v>
      </c>
      <c r="Z3" s="10">
        <v>49.36</v>
      </c>
      <c r="AA3" s="10">
        <v>49.51</v>
      </c>
      <c r="AB3" s="95">
        <v>3629400</v>
      </c>
      <c r="AC3" s="10">
        <v>49.51</v>
      </c>
      <c r="AD3" s="2">
        <f t="shared" ref="AD3:AD66" si="0">Y3-Z3</f>
        <v>0.28000000000000114</v>
      </c>
      <c r="AE3" s="138">
        <f t="shared" ref="AE3:AE66" si="1">AC3/AC4-1</f>
        <v>3.0388978930306898E-3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O4" s="11" t="s">
        <v>66</v>
      </c>
      <c r="Q4" s="55">
        <v>49.65</v>
      </c>
      <c r="R4" s="505">
        <v>3.5999999999999999E-3</v>
      </c>
      <c r="T4" s="163"/>
      <c r="U4" s="1"/>
      <c r="W4" s="133">
        <v>42766</v>
      </c>
      <c r="X4" s="10">
        <v>49.37</v>
      </c>
      <c r="Y4" s="10">
        <v>49.41</v>
      </c>
      <c r="Z4" s="10">
        <v>49.11</v>
      </c>
      <c r="AA4" s="10">
        <v>49.36</v>
      </c>
      <c r="AB4" s="95">
        <v>3610400</v>
      </c>
      <c r="AC4" s="10">
        <v>49.36</v>
      </c>
      <c r="AD4" s="2">
        <f t="shared" si="0"/>
        <v>0.29999999999999716</v>
      </c>
      <c r="AE4" s="138">
        <f t="shared" si="1"/>
        <v>4.8859934853420217E-3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0</v>
      </c>
      <c r="W5" s="133">
        <v>42765</v>
      </c>
      <c r="X5" s="10">
        <v>49.04</v>
      </c>
      <c r="Y5" s="10">
        <v>49.15</v>
      </c>
      <c r="Z5" s="10">
        <v>48.89</v>
      </c>
      <c r="AA5" s="10">
        <v>49.12</v>
      </c>
      <c r="AB5" s="95">
        <v>2493800</v>
      </c>
      <c r="AC5" s="10">
        <v>49.12</v>
      </c>
      <c r="AD5" s="2">
        <f t="shared" si="0"/>
        <v>0.25999999999999801</v>
      </c>
      <c r="AE5" s="138">
        <f t="shared" si="1"/>
        <v>-8.2778114274177916E-3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42762</v>
      </c>
      <c r="X6" s="10">
        <v>49.54</v>
      </c>
      <c r="Y6" s="10">
        <v>49.61</v>
      </c>
      <c r="Z6" s="10">
        <v>49.46</v>
      </c>
      <c r="AA6" s="10">
        <v>49.53</v>
      </c>
      <c r="AB6" s="95">
        <v>1348400</v>
      </c>
      <c r="AC6" s="10">
        <v>49.53</v>
      </c>
      <c r="AD6" s="2">
        <f t="shared" si="0"/>
        <v>0.14999999999999858</v>
      </c>
      <c r="AE6" s="138">
        <f t="shared" si="1"/>
        <v>-2.018570851836099E-4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181</v>
      </c>
      <c r="Q7" s="2">
        <f>Q10+Q8</f>
        <v>257.64999999999964</v>
      </c>
      <c r="R7">
        <v>0</v>
      </c>
      <c r="W7" s="133">
        <v>42761</v>
      </c>
      <c r="X7" s="10">
        <v>49.65</v>
      </c>
      <c r="Y7" s="10">
        <v>49.7</v>
      </c>
      <c r="Z7" s="10">
        <v>49.46</v>
      </c>
      <c r="AA7" s="10">
        <v>49.54</v>
      </c>
      <c r="AB7" s="95">
        <v>2366100</v>
      </c>
      <c r="AC7" s="10">
        <v>49.54</v>
      </c>
      <c r="AD7" s="2">
        <f t="shared" si="0"/>
        <v>0.24000000000000199</v>
      </c>
      <c r="AE7" s="138">
        <f t="shared" si="1"/>
        <v>-6.4179703168872893E-3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184</v>
      </c>
      <c r="P8" s="34"/>
      <c r="Q8" s="2">
        <f>K18+M18-F18+Q2*Q4</f>
        <v>0</v>
      </c>
      <c r="W8" s="133">
        <v>42760</v>
      </c>
      <c r="X8" s="10">
        <v>49.64</v>
      </c>
      <c r="Y8" s="10">
        <v>49.88</v>
      </c>
      <c r="Z8" s="10">
        <v>49.63</v>
      </c>
      <c r="AA8" s="10">
        <v>49.86</v>
      </c>
      <c r="AB8" s="95">
        <v>2325700</v>
      </c>
      <c r="AC8" s="10">
        <v>49.86</v>
      </c>
      <c r="AD8" s="2">
        <f t="shared" si="0"/>
        <v>0.25</v>
      </c>
      <c r="AE8" s="138">
        <f t="shared" si="1"/>
        <v>1.1974832555307513E-2</v>
      </c>
    </row>
    <row r="9" spans="1:31" x14ac:dyDescent="0.25">
      <c r="H9" s="72"/>
      <c r="O9" s="11" t="s">
        <v>214</v>
      </c>
      <c r="Q9" s="138">
        <f>IF(Q2=0, 0, Q8/Q6)</f>
        <v>0</v>
      </c>
      <c r="W9" s="133">
        <v>42759</v>
      </c>
      <c r="X9" s="10">
        <v>49.14</v>
      </c>
      <c r="Y9" s="10">
        <v>49.34</v>
      </c>
      <c r="Z9" s="10">
        <v>49.1</v>
      </c>
      <c r="AA9" s="10">
        <v>49.27</v>
      </c>
      <c r="AB9" s="95">
        <v>2244300</v>
      </c>
      <c r="AC9" s="10">
        <v>49.27</v>
      </c>
      <c r="AD9" s="2">
        <f t="shared" si="0"/>
        <v>0.24000000000000199</v>
      </c>
      <c r="AE9" s="138">
        <f t="shared" si="1"/>
        <v>2.2375915378358702E-3</v>
      </c>
    </row>
    <row r="10" spans="1:31" x14ac:dyDescent="0.25">
      <c r="H10" s="72"/>
      <c r="O10" s="11" t="s">
        <v>213</v>
      </c>
      <c r="P10" s="34"/>
      <c r="Q10" s="2">
        <f>M53</f>
        <v>257.64999999999964</v>
      </c>
      <c r="W10" s="133">
        <v>42758</v>
      </c>
      <c r="X10" s="10">
        <v>49.02</v>
      </c>
      <c r="Y10" s="10">
        <v>49.2</v>
      </c>
      <c r="Z10" s="10">
        <v>48.89</v>
      </c>
      <c r="AA10" s="10">
        <v>49.16</v>
      </c>
      <c r="AB10" s="95">
        <v>4429200</v>
      </c>
      <c r="AC10" s="10">
        <v>49.16</v>
      </c>
      <c r="AD10" s="2">
        <f t="shared" si="0"/>
        <v>0.31000000000000227</v>
      </c>
      <c r="AE10" s="138">
        <f t="shared" si="1"/>
        <v>3.2653061224490187E-3</v>
      </c>
    </row>
    <row r="11" spans="1:31" x14ac:dyDescent="0.25">
      <c r="H11" s="72"/>
      <c r="O11" s="11" t="s">
        <v>178</v>
      </c>
      <c r="P11" s="34"/>
      <c r="Q11" s="138">
        <v>0</v>
      </c>
      <c r="W11" s="133">
        <v>42755</v>
      </c>
      <c r="X11" s="10">
        <v>48.84</v>
      </c>
      <c r="Y11" s="10">
        <v>49.03</v>
      </c>
      <c r="Z11" s="10">
        <v>48.83</v>
      </c>
      <c r="AA11" s="10">
        <v>49</v>
      </c>
      <c r="AB11" s="95">
        <v>3667100</v>
      </c>
      <c r="AC11" s="10">
        <v>49</v>
      </c>
      <c r="AD11" s="2">
        <f t="shared" si="0"/>
        <v>0.20000000000000284</v>
      </c>
      <c r="AE11" s="138">
        <f t="shared" si="1"/>
        <v>5.5407346603735252E-3</v>
      </c>
    </row>
    <row r="12" spans="1:31" x14ac:dyDescent="0.25">
      <c r="H12" s="72"/>
      <c r="W12" s="133">
        <v>42754</v>
      </c>
      <c r="X12" s="10">
        <v>48.73</v>
      </c>
      <c r="Y12" s="10">
        <v>48.82</v>
      </c>
      <c r="Z12" s="10">
        <v>48.56</v>
      </c>
      <c r="AA12" s="10">
        <v>48.73</v>
      </c>
      <c r="AB12" s="95">
        <v>3592900</v>
      </c>
      <c r="AC12" s="10">
        <v>48.73</v>
      </c>
      <c r="AD12" s="2">
        <f t="shared" si="0"/>
        <v>0.25999999999999801</v>
      </c>
      <c r="AE12" s="138">
        <f t="shared" si="1"/>
        <v>-2.0479213598197932E-3</v>
      </c>
    </row>
    <row r="13" spans="1:31" x14ac:dyDescent="0.25">
      <c r="H13" s="72"/>
      <c r="W13" s="133">
        <v>42753</v>
      </c>
      <c r="X13" s="10">
        <v>48.88</v>
      </c>
      <c r="Y13" s="10">
        <v>49</v>
      </c>
      <c r="Z13" s="10">
        <v>48.73</v>
      </c>
      <c r="AA13" s="10">
        <v>48.83</v>
      </c>
      <c r="AB13" s="95">
        <v>2556500</v>
      </c>
      <c r="AC13" s="10">
        <v>48.83</v>
      </c>
      <c r="AD13" s="2">
        <f t="shared" si="0"/>
        <v>0.27000000000000313</v>
      </c>
      <c r="AE13" s="138">
        <f t="shared" si="1"/>
        <v>-4.0791352233326972E-3</v>
      </c>
    </row>
    <row r="14" spans="1:31" x14ac:dyDescent="0.25">
      <c r="H14" s="72"/>
      <c r="W14" s="133">
        <v>42752</v>
      </c>
      <c r="X14" s="10">
        <v>49.04</v>
      </c>
      <c r="Y14" s="10">
        <v>49.12</v>
      </c>
      <c r="Z14" s="10">
        <v>48.97</v>
      </c>
      <c r="AA14" s="10">
        <v>49.03</v>
      </c>
      <c r="AB14" s="95">
        <v>4644000</v>
      </c>
      <c r="AC14" s="10">
        <v>49.03</v>
      </c>
      <c r="AD14" s="2">
        <f t="shared" si="0"/>
        <v>0.14999999999999858</v>
      </c>
      <c r="AE14" s="138">
        <f t="shared" si="1"/>
        <v>0</v>
      </c>
    </row>
    <row r="15" spans="1:31" x14ac:dyDescent="0.25">
      <c r="H15" s="72"/>
      <c r="W15" s="133">
        <v>42748</v>
      </c>
      <c r="X15" s="10">
        <v>49.03</v>
      </c>
      <c r="Y15" s="10">
        <v>49.09</v>
      </c>
      <c r="Z15" s="10">
        <v>48.89</v>
      </c>
      <c r="AA15" s="10">
        <v>49.03</v>
      </c>
      <c r="AB15" s="95">
        <v>2791500</v>
      </c>
      <c r="AC15" s="10">
        <v>49.03</v>
      </c>
      <c r="AD15" s="2">
        <f t="shared" si="0"/>
        <v>0.20000000000000284</v>
      </c>
      <c r="AE15" s="138">
        <f t="shared" si="1"/>
        <v>4.3015157722245956E-3</v>
      </c>
    </row>
    <row r="16" spans="1:31" x14ac:dyDescent="0.25">
      <c r="H16" s="72"/>
      <c r="W16" s="133">
        <v>42747</v>
      </c>
      <c r="X16" s="10">
        <v>48.88</v>
      </c>
      <c r="Y16" s="10">
        <v>48.98</v>
      </c>
      <c r="Z16" s="10">
        <v>48.73</v>
      </c>
      <c r="AA16" s="10">
        <v>48.82</v>
      </c>
      <c r="AB16" s="95">
        <v>6740600</v>
      </c>
      <c r="AC16" s="10">
        <v>48.82</v>
      </c>
      <c r="AD16" s="2">
        <f t="shared" si="0"/>
        <v>0.25</v>
      </c>
      <c r="AE16" s="138">
        <f t="shared" si="1"/>
        <v>1.0252204223908379E-3</v>
      </c>
    </row>
    <row r="17" spans="1:31" x14ac:dyDescent="0.25">
      <c r="W17" s="133">
        <v>42746</v>
      </c>
      <c r="X17" s="10">
        <v>48.41</v>
      </c>
      <c r="Y17" s="10">
        <v>48.81</v>
      </c>
      <c r="Z17" s="10">
        <v>48.32</v>
      </c>
      <c r="AA17" s="10">
        <v>48.77</v>
      </c>
      <c r="AB17" s="95">
        <v>4040400</v>
      </c>
      <c r="AC17" s="10">
        <v>48.77</v>
      </c>
      <c r="AD17" s="2">
        <f t="shared" si="0"/>
        <v>0.49000000000000199</v>
      </c>
      <c r="AE17" s="138">
        <f t="shared" si="1"/>
        <v>5.1525144270403445E-3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42745</v>
      </c>
      <c r="X18" s="10">
        <v>48.55</v>
      </c>
      <c r="Y18" s="10">
        <v>48.71</v>
      </c>
      <c r="Z18" s="10">
        <v>48.52</v>
      </c>
      <c r="AA18" s="10">
        <v>48.52</v>
      </c>
      <c r="AB18" s="95">
        <v>2660800</v>
      </c>
      <c r="AC18" s="10">
        <v>48.52</v>
      </c>
      <c r="AD18" s="2">
        <f t="shared" si="0"/>
        <v>0.18999999999999773</v>
      </c>
      <c r="AE18" s="138">
        <f t="shared" si="1"/>
        <v>-2.0605810838647542E-4</v>
      </c>
    </row>
    <row r="19" spans="1:31" ht="15.75" thickBot="1" x14ac:dyDescent="0.3">
      <c r="A19" s="356" t="s">
        <v>198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 t="shared" ref="M19" si="2">SumByColor($A$19,M2:M17)</f>
        <v>0</v>
      </c>
      <c r="W19" s="133">
        <v>42744</v>
      </c>
      <c r="X19" s="10">
        <v>48.41</v>
      </c>
      <c r="Y19" s="10">
        <v>48.59</v>
      </c>
      <c r="Z19" s="10">
        <v>48.32</v>
      </c>
      <c r="AA19" s="10">
        <v>48.53</v>
      </c>
      <c r="AB19" s="95">
        <v>2341400</v>
      </c>
      <c r="AC19" s="10">
        <v>48.53</v>
      </c>
      <c r="AD19" s="2">
        <f t="shared" si="0"/>
        <v>0.27000000000000313</v>
      </c>
      <c r="AE19" s="138">
        <f t="shared" si="1"/>
        <v>-3.4907597535934753E-3</v>
      </c>
    </row>
    <row r="20" spans="1:31" x14ac:dyDescent="0.25">
      <c r="W20" s="133">
        <v>42741</v>
      </c>
      <c r="X20" s="10">
        <v>48.68</v>
      </c>
      <c r="Y20" s="10">
        <v>48.82</v>
      </c>
      <c r="Z20" s="10">
        <v>48.62</v>
      </c>
      <c r="AA20" s="10">
        <v>48.7</v>
      </c>
      <c r="AB20" s="95">
        <v>2808900</v>
      </c>
      <c r="AC20" s="10">
        <v>48.7</v>
      </c>
      <c r="AD20" s="2">
        <f t="shared" si="0"/>
        <v>0.20000000000000284</v>
      </c>
      <c r="AE20" s="138">
        <f t="shared" si="1"/>
        <v>-4.903964037596964E-3</v>
      </c>
    </row>
    <row r="21" spans="1:31" x14ac:dyDescent="0.25">
      <c r="W21" s="133">
        <v>42740</v>
      </c>
      <c r="X21" s="10">
        <v>48.58</v>
      </c>
      <c r="Y21" s="10">
        <v>49</v>
      </c>
      <c r="Z21" s="10">
        <v>48.58</v>
      </c>
      <c r="AA21" s="10">
        <v>48.94</v>
      </c>
      <c r="AB21" s="95">
        <v>5147600</v>
      </c>
      <c r="AC21" s="10">
        <v>48.94</v>
      </c>
      <c r="AD21" s="2">
        <f t="shared" si="0"/>
        <v>0.42000000000000171</v>
      </c>
      <c r="AE21" s="138">
        <f t="shared" si="1"/>
        <v>9.0721649484535316E-3</v>
      </c>
    </row>
    <row r="22" spans="1:31" x14ac:dyDescent="0.25">
      <c r="W22" s="133">
        <v>42739</v>
      </c>
      <c r="X22" s="10">
        <v>48.21</v>
      </c>
      <c r="Y22" s="10">
        <v>48.5</v>
      </c>
      <c r="Z22" s="10">
        <v>48.13</v>
      </c>
      <c r="AA22" s="10">
        <v>48.5</v>
      </c>
      <c r="AB22" s="95">
        <v>2781900</v>
      </c>
      <c r="AC22" s="10">
        <v>48.5</v>
      </c>
      <c r="AD22" s="2">
        <f t="shared" si="0"/>
        <v>0.36999999999999744</v>
      </c>
      <c r="AE22" s="138">
        <f t="shared" si="1"/>
        <v>8.3160083160083165E-3</v>
      </c>
    </row>
    <row r="23" spans="1:31" x14ac:dyDescent="0.25">
      <c r="W23" s="133">
        <v>42738</v>
      </c>
      <c r="X23" s="10">
        <v>48.01</v>
      </c>
      <c r="Y23" s="10">
        <v>48.14</v>
      </c>
      <c r="Z23" s="10">
        <v>47.94</v>
      </c>
      <c r="AA23" s="10">
        <v>48.1</v>
      </c>
      <c r="AB23" s="95">
        <v>3816500</v>
      </c>
      <c r="AC23" s="10">
        <v>48.1</v>
      </c>
      <c r="AD23" s="2">
        <f t="shared" si="0"/>
        <v>0.20000000000000284</v>
      </c>
      <c r="AE23" s="138">
        <f t="shared" si="1"/>
        <v>3.3375052148518769E-3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155</v>
      </c>
      <c r="W24" s="133">
        <v>42734</v>
      </c>
      <c r="X24" s="10">
        <v>48.11</v>
      </c>
      <c r="Y24" s="10">
        <v>48.21</v>
      </c>
      <c r="Z24" s="10">
        <v>47.83</v>
      </c>
      <c r="AA24" s="10">
        <v>47.94</v>
      </c>
      <c r="AB24" s="95">
        <v>4786600</v>
      </c>
      <c r="AC24" s="10">
        <v>47.94</v>
      </c>
      <c r="AD24" s="2">
        <f t="shared" si="0"/>
        <v>0.38000000000000256</v>
      </c>
      <c r="AE24" s="138">
        <f t="shared" si="1"/>
        <v>5.4530201342282147E-3</v>
      </c>
    </row>
    <row r="25" spans="1:31" x14ac:dyDescent="0.25">
      <c r="B25" s="193">
        <v>42545</v>
      </c>
      <c r="C25" s="10">
        <v>100</v>
      </c>
      <c r="D25" s="40">
        <v>45.25</v>
      </c>
      <c r="E25" s="40">
        <v>45.25</v>
      </c>
      <c r="F25" s="40">
        <f t="shared" ref="F25" si="3">C25*(E25-D25)</f>
        <v>0</v>
      </c>
      <c r="G25" s="40">
        <f t="shared" ref="G25" si="4">D25*C25</f>
        <v>4525</v>
      </c>
      <c r="H25" s="231">
        <f t="shared" ref="H25" si="5">(E25-D25)/D25</f>
        <v>0</v>
      </c>
      <c r="I25" s="40"/>
      <c r="W25" s="133">
        <v>42733</v>
      </c>
      <c r="X25" s="10">
        <v>47.56</v>
      </c>
      <c r="Y25" s="10">
        <v>47.73</v>
      </c>
      <c r="Z25" s="10">
        <v>47.56</v>
      </c>
      <c r="AA25" s="10">
        <v>47.68</v>
      </c>
      <c r="AB25" s="95">
        <v>4123900</v>
      </c>
      <c r="AC25" s="10">
        <v>47.68</v>
      </c>
      <c r="AD25" s="2">
        <f t="shared" si="0"/>
        <v>0.1699999999999946</v>
      </c>
      <c r="AE25" s="138">
        <f t="shared" si="1"/>
        <v>6.9693769799366034E-3</v>
      </c>
    </row>
    <row r="26" spans="1:31" x14ac:dyDescent="0.25">
      <c r="B26" s="193">
        <v>42549</v>
      </c>
      <c r="C26" s="10">
        <v>100</v>
      </c>
      <c r="D26" s="40">
        <v>45.25</v>
      </c>
      <c r="E26" s="40">
        <v>44.74</v>
      </c>
      <c r="F26" s="40">
        <f t="shared" ref="F26" si="6">C26*(E26-D26)</f>
        <v>-50.999999999999801</v>
      </c>
      <c r="G26" s="40">
        <f t="shared" ref="G26" si="7">D26*C26</f>
        <v>4525</v>
      </c>
      <c r="H26" s="231">
        <f t="shared" ref="H26" si="8">(E26-D26)/D26</f>
        <v>-1.1270718232044155E-2</v>
      </c>
      <c r="I26" s="40"/>
      <c r="W26" s="133">
        <v>42732</v>
      </c>
      <c r="X26" s="10">
        <v>47.45</v>
      </c>
      <c r="Y26" s="10">
        <v>47.5</v>
      </c>
      <c r="Z26" s="10">
        <v>47.27</v>
      </c>
      <c r="AA26" s="10">
        <v>47.35</v>
      </c>
      <c r="AB26" s="95">
        <v>2599500</v>
      </c>
      <c r="AC26" s="10">
        <v>47.35</v>
      </c>
      <c r="AD26" s="2">
        <f t="shared" si="0"/>
        <v>0.22999999999999687</v>
      </c>
      <c r="AE26" s="138">
        <f t="shared" si="1"/>
        <v>-6.2959076600209718E-3</v>
      </c>
    </row>
    <row r="27" spans="1:31" x14ac:dyDescent="0.25">
      <c r="B27" s="193">
        <v>42550</v>
      </c>
      <c r="C27" s="10">
        <v>100</v>
      </c>
      <c r="D27" s="40">
        <v>45.25</v>
      </c>
      <c r="E27" s="40">
        <v>45.65</v>
      </c>
      <c r="F27" s="40">
        <f t="shared" ref="F27" si="9">C27*(E27-D27)</f>
        <v>39.999999999999858</v>
      </c>
      <c r="G27" s="40">
        <f t="shared" ref="G27" si="10">D27*C27</f>
        <v>4525</v>
      </c>
      <c r="H27" s="231">
        <f t="shared" ref="H27" si="11">(E27-D27)/D27</f>
        <v>8.8397790055248313E-3</v>
      </c>
      <c r="I27" s="40"/>
      <c r="W27" s="133">
        <v>42731</v>
      </c>
      <c r="X27" s="10">
        <v>47.61</v>
      </c>
      <c r="Y27" s="10">
        <v>47.7</v>
      </c>
      <c r="Z27" s="10">
        <v>47.59</v>
      </c>
      <c r="AA27" s="10">
        <v>47.65</v>
      </c>
      <c r="AB27" s="95">
        <v>2252200</v>
      </c>
      <c r="AC27" s="10">
        <v>47.65</v>
      </c>
      <c r="AD27" s="2">
        <f t="shared" si="0"/>
        <v>0.10999999999999943</v>
      </c>
      <c r="AE27" s="138">
        <f t="shared" si="1"/>
        <v>1.4712063892392546E-3</v>
      </c>
    </row>
    <row r="28" spans="1:31" x14ac:dyDescent="0.25">
      <c r="B28" s="193">
        <v>42552</v>
      </c>
      <c r="C28" s="10">
        <v>100</v>
      </c>
      <c r="D28" s="40">
        <v>45.25</v>
      </c>
      <c r="E28" s="40">
        <v>46.72</v>
      </c>
      <c r="F28" s="40">
        <f t="shared" ref="F28" si="12">C28*(E28-D28)</f>
        <v>146.99999999999989</v>
      </c>
      <c r="G28" s="40">
        <f t="shared" ref="G28" si="13">D28*C28</f>
        <v>4525</v>
      </c>
      <c r="H28" s="231">
        <f t="shared" ref="H28" si="14">(E28-D28)/D28</f>
        <v>3.2486187845303841E-2</v>
      </c>
      <c r="I28" s="40"/>
      <c r="W28" s="133">
        <v>42727</v>
      </c>
      <c r="X28" s="10">
        <v>47.42</v>
      </c>
      <c r="Y28" s="10">
        <v>47.58</v>
      </c>
      <c r="Z28" s="10">
        <v>47.41</v>
      </c>
      <c r="AA28" s="10">
        <v>47.58</v>
      </c>
      <c r="AB28" s="95">
        <v>2410700</v>
      </c>
      <c r="AC28" s="10">
        <v>47.58</v>
      </c>
      <c r="AD28" s="2">
        <f t="shared" si="0"/>
        <v>0.17000000000000171</v>
      </c>
      <c r="AE28" s="138">
        <f t="shared" si="1"/>
        <v>4.0092846592107989E-3</v>
      </c>
    </row>
    <row r="29" spans="1:31" x14ac:dyDescent="0.25">
      <c r="B29" s="193">
        <v>42556</v>
      </c>
      <c r="C29" s="10">
        <v>100</v>
      </c>
      <c r="D29" s="40">
        <v>45.25</v>
      </c>
      <c r="E29" s="40">
        <v>45.25</v>
      </c>
      <c r="F29" s="40">
        <f t="shared" ref="F29" si="15">C29*(E29-D29)</f>
        <v>0</v>
      </c>
      <c r="G29" s="40">
        <f t="shared" ref="G29" si="16">D29*C29</f>
        <v>4525</v>
      </c>
      <c r="H29" s="231">
        <f t="shared" ref="H29" si="17">(E29-D29)/D29</f>
        <v>0</v>
      </c>
      <c r="I29" s="40"/>
      <c r="W29" s="133">
        <v>42726</v>
      </c>
      <c r="X29" s="10">
        <v>47.5</v>
      </c>
      <c r="Y29" s="10">
        <v>47.59</v>
      </c>
      <c r="Z29" s="10">
        <v>47.35</v>
      </c>
      <c r="AA29" s="10">
        <v>47.39</v>
      </c>
      <c r="AB29" s="95">
        <v>3123900</v>
      </c>
      <c r="AC29" s="10">
        <v>47.39</v>
      </c>
      <c r="AD29" s="2">
        <f t="shared" si="0"/>
        <v>0.24000000000000199</v>
      </c>
      <c r="AE29" s="138">
        <f t="shared" si="1"/>
        <v>-1.8955349620892736E-3</v>
      </c>
    </row>
    <row r="30" spans="1:31" x14ac:dyDescent="0.25">
      <c r="B30" s="193">
        <v>42562</v>
      </c>
      <c r="C30" s="10">
        <v>100</v>
      </c>
      <c r="D30" s="40">
        <v>45.25</v>
      </c>
      <c r="E30" s="40">
        <v>46.34</v>
      </c>
      <c r="F30" s="40">
        <f t="shared" ref="F30" si="18">C30*(E30-D30)</f>
        <v>109.00000000000034</v>
      </c>
      <c r="G30" s="40">
        <f t="shared" ref="G30" si="19">D30*C30</f>
        <v>4525</v>
      </c>
      <c r="H30" s="231">
        <f t="shared" ref="H30" si="20">(E30-D30)/D30</f>
        <v>2.4088397790055324E-2</v>
      </c>
      <c r="I30" s="40"/>
      <c r="W30" s="133">
        <v>42725</v>
      </c>
      <c r="X30" s="10">
        <v>47.47</v>
      </c>
      <c r="Y30" s="10">
        <v>47.54</v>
      </c>
      <c r="Z30" s="10">
        <v>47.43</v>
      </c>
      <c r="AA30" s="10">
        <v>47.48</v>
      </c>
      <c r="AB30" s="95">
        <v>5485700</v>
      </c>
      <c r="AC30" s="10">
        <v>47.48</v>
      </c>
      <c r="AD30" s="2">
        <f t="shared" si="0"/>
        <v>0.10999999999999943</v>
      </c>
      <c r="AE30" s="138">
        <f t="shared" si="1"/>
        <v>2.5337837837837718E-3</v>
      </c>
    </row>
    <row r="31" spans="1:31" x14ac:dyDescent="0.25">
      <c r="B31" s="193">
        <v>42563</v>
      </c>
      <c r="C31" s="10">
        <v>100</v>
      </c>
      <c r="D31" s="40">
        <v>45.25</v>
      </c>
      <c r="E31" s="40">
        <v>47.02</v>
      </c>
      <c r="F31" s="40">
        <f t="shared" ref="F31" si="21">C31*(E31-D31)</f>
        <v>177.00000000000031</v>
      </c>
      <c r="G31" s="40">
        <f t="shared" ref="G31" si="22">D31*C31</f>
        <v>4525</v>
      </c>
      <c r="H31" s="231">
        <f t="shared" ref="H31" si="23">(E31-D31)/D31</f>
        <v>3.9116022099447582E-2</v>
      </c>
      <c r="I31" s="40"/>
      <c r="W31" s="133">
        <v>42724</v>
      </c>
      <c r="X31" s="10">
        <v>47.27</v>
      </c>
      <c r="Y31" s="10">
        <v>47.42</v>
      </c>
      <c r="Z31" s="10">
        <v>47.21</v>
      </c>
      <c r="AA31" s="10">
        <v>47.36</v>
      </c>
      <c r="AB31" s="95">
        <v>4269700</v>
      </c>
      <c r="AC31" s="10">
        <v>47.36</v>
      </c>
      <c r="AD31" s="2">
        <f t="shared" si="0"/>
        <v>0.21000000000000085</v>
      </c>
      <c r="AE31" s="138" t="e">
        <f t="shared" si="1"/>
        <v>#DIV/0!</v>
      </c>
    </row>
    <row r="32" spans="1:31" x14ac:dyDescent="0.25">
      <c r="B32" s="193">
        <v>42566</v>
      </c>
      <c r="C32" s="10">
        <v>100</v>
      </c>
      <c r="D32" s="40">
        <v>45.25</v>
      </c>
      <c r="E32" s="40">
        <v>47.22</v>
      </c>
      <c r="F32" s="40">
        <f t="shared" ref="F32" si="24">C32*(E32-D32)</f>
        <v>196.99999999999989</v>
      </c>
      <c r="G32" s="40">
        <f t="shared" ref="G32" si="25">D32*C32</f>
        <v>4525</v>
      </c>
      <c r="H32" s="231">
        <f t="shared" ref="H32" si="26">(E32-D32)/D32</f>
        <v>4.3535911602209917E-2</v>
      </c>
      <c r="I32" s="40"/>
      <c r="W32" s="133">
        <v>42724</v>
      </c>
      <c r="X32" s="10" t="s">
        <v>370</v>
      </c>
      <c r="Y32" s="10"/>
      <c r="Z32" s="10"/>
      <c r="AA32" s="10"/>
      <c r="AB32" s="95"/>
      <c r="AC32" s="10"/>
      <c r="AD32" s="2">
        <f t="shared" si="0"/>
        <v>0</v>
      </c>
      <c r="AE32" s="138">
        <f t="shared" si="1"/>
        <v>-1</v>
      </c>
    </row>
    <row r="33" spans="2:31" x14ac:dyDescent="0.25">
      <c r="B33" s="193">
        <v>42570</v>
      </c>
      <c r="C33" s="10">
        <v>100</v>
      </c>
      <c r="D33" s="40">
        <v>45.25</v>
      </c>
      <c r="E33" s="40">
        <v>46.95</v>
      </c>
      <c r="F33" s="40">
        <f t="shared" ref="F33" si="27">C33*(E33-D33)</f>
        <v>170.00000000000028</v>
      </c>
      <c r="G33" s="40">
        <f t="shared" ref="G33" si="28">D33*C33</f>
        <v>4525</v>
      </c>
      <c r="H33" s="231">
        <f t="shared" ref="H33" si="29">(E33-D33)/D33</f>
        <v>3.7569060773480725E-2</v>
      </c>
      <c r="I33" s="40"/>
      <c r="W33" s="133">
        <v>42723</v>
      </c>
      <c r="X33" s="10">
        <v>47.55</v>
      </c>
      <c r="Y33" s="10">
        <v>47.71</v>
      </c>
      <c r="Z33" s="10">
        <v>47.44</v>
      </c>
      <c r="AA33" s="10">
        <v>47.46</v>
      </c>
      <c r="AB33" s="95">
        <v>5669000</v>
      </c>
      <c r="AC33" s="10">
        <v>47.23</v>
      </c>
      <c r="AD33" s="2">
        <f t="shared" si="0"/>
        <v>0.27000000000000313</v>
      </c>
      <c r="AE33" s="138">
        <f t="shared" si="1"/>
        <v>-3.5864978902954148E-3</v>
      </c>
    </row>
    <row r="34" spans="2:31" x14ac:dyDescent="0.25">
      <c r="B34" s="193">
        <v>42571</v>
      </c>
      <c r="C34" s="10">
        <v>100</v>
      </c>
      <c r="D34" s="40">
        <v>45.25</v>
      </c>
      <c r="E34" s="40">
        <v>47.4</v>
      </c>
      <c r="F34" s="40">
        <f t="shared" ref="F34" si="30">C34*(E34-D34)</f>
        <v>214.99999999999986</v>
      </c>
      <c r="G34" s="40">
        <f t="shared" ref="G34" si="31">D34*C34</f>
        <v>4525</v>
      </c>
      <c r="H34" s="231">
        <f t="shared" ref="H34" si="32">(E34-D34)/D34</f>
        <v>4.7513812154696099E-2</v>
      </c>
      <c r="I34" s="40"/>
      <c r="W34" s="133">
        <v>42720</v>
      </c>
      <c r="X34" s="10">
        <v>47.52</v>
      </c>
      <c r="Y34" s="10">
        <v>47.78</v>
      </c>
      <c r="Z34" s="10">
        <v>47.47</v>
      </c>
      <c r="AA34" s="10">
        <v>47.63</v>
      </c>
      <c r="AB34" s="95">
        <v>3755800</v>
      </c>
      <c r="AC34" s="10">
        <v>47.4</v>
      </c>
      <c r="AD34" s="2">
        <f t="shared" si="0"/>
        <v>0.31000000000000227</v>
      </c>
      <c r="AE34" s="138">
        <f t="shared" si="1"/>
        <v>5.0890585241729624E-3</v>
      </c>
    </row>
    <row r="35" spans="2:31" x14ac:dyDescent="0.25">
      <c r="B35" s="193">
        <v>42572</v>
      </c>
      <c r="C35" s="10">
        <v>100</v>
      </c>
      <c r="D35" s="40">
        <v>45.25</v>
      </c>
      <c r="E35" s="40">
        <v>47.26</v>
      </c>
      <c r="F35" s="40">
        <f t="shared" ref="F35" si="33">C35*(E35-D35)</f>
        <v>200.9999999999998</v>
      </c>
      <c r="G35" s="40">
        <f t="shared" ref="G35" si="34">D35*C35</f>
        <v>4525</v>
      </c>
      <c r="H35" s="231">
        <f t="shared" ref="H35" si="35">(E35-D35)/D35</f>
        <v>4.4419889502762384E-2</v>
      </c>
      <c r="I35" s="40"/>
      <c r="W35" s="133">
        <v>42719</v>
      </c>
      <c r="X35" s="10">
        <v>47.35</v>
      </c>
      <c r="Y35" s="10">
        <v>47.46</v>
      </c>
      <c r="Z35" s="10">
        <v>47.26</v>
      </c>
      <c r="AA35" s="10">
        <v>47.39</v>
      </c>
      <c r="AB35" s="95">
        <v>3651200</v>
      </c>
      <c r="AC35" s="10">
        <v>47.16</v>
      </c>
      <c r="AD35" s="2">
        <f t="shared" si="0"/>
        <v>0.20000000000000284</v>
      </c>
      <c r="AE35" s="138">
        <f t="shared" si="1"/>
        <v>-6.3572790845523031E-4</v>
      </c>
    </row>
    <row r="36" spans="2:31" x14ac:dyDescent="0.25">
      <c r="B36" s="193">
        <v>42576</v>
      </c>
      <c r="C36" s="10">
        <v>100</v>
      </c>
      <c r="D36" s="40">
        <v>45.25</v>
      </c>
      <c r="E36" s="40">
        <v>47.34</v>
      </c>
      <c r="F36" s="40">
        <f t="shared" ref="F36" si="36">C36*(E36-D36)</f>
        <v>209.00000000000034</v>
      </c>
      <c r="G36" s="40">
        <f t="shared" ref="G36" si="37">D36*C36</f>
        <v>4525</v>
      </c>
      <c r="H36" s="231">
        <f t="shared" ref="H36" si="38">(E36-D36)/D36</f>
        <v>4.6187845303867478E-2</v>
      </c>
      <c r="I36" s="40"/>
      <c r="W36" s="133">
        <v>42718</v>
      </c>
      <c r="X36" s="10">
        <v>48.05</v>
      </c>
      <c r="Y36" s="10">
        <v>48.23</v>
      </c>
      <c r="Z36" s="10">
        <v>47.36</v>
      </c>
      <c r="AA36" s="10">
        <v>47.42</v>
      </c>
      <c r="AB36" s="95">
        <v>4537100</v>
      </c>
      <c r="AC36" s="10">
        <v>47.19</v>
      </c>
      <c r="AD36" s="2">
        <f t="shared" si="0"/>
        <v>0.86999999999999744</v>
      </c>
      <c r="AE36" s="138">
        <f t="shared" si="1"/>
        <v>-1.5644555694618312E-2</v>
      </c>
    </row>
    <row r="37" spans="2:31" x14ac:dyDescent="0.25">
      <c r="B37" s="193">
        <v>42577</v>
      </c>
      <c r="C37" s="10">
        <v>50</v>
      </c>
      <c r="D37" s="40">
        <v>43.000999999999998</v>
      </c>
      <c r="E37" s="40">
        <v>47.5</v>
      </c>
      <c r="F37" s="40">
        <f t="shared" ref="F37" si="39">C37*(E37-D37)</f>
        <v>224.9500000000001</v>
      </c>
      <c r="G37" s="40">
        <f t="shared" ref="G37" si="40">D37*C37</f>
        <v>2150.0499999999997</v>
      </c>
      <c r="H37" s="231">
        <f t="shared" ref="H37" si="41">(E37-D37)/D37</f>
        <v>0.10462547382619015</v>
      </c>
      <c r="I37" s="40"/>
      <c r="W37" s="133">
        <v>42717</v>
      </c>
      <c r="X37" s="10">
        <v>47.99</v>
      </c>
      <c r="Y37" s="10">
        <v>48.33</v>
      </c>
      <c r="Z37" s="10">
        <v>47.99</v>
      </c>
      <c r="AA37" s="10">
        <v>48.17</v>
      </c>
      <c r="AB37" s="95">
        <v>3382000</v>
      </c>
      <c r="AC37" s="10">
        <v>47.94</v>
      </c>
      <c r="AD37" s="2">
        <f t="shared" si="0"/>
        <v>0.33999999999999631</v>
      </c>
      <c r="AE37" s="138">
        <f t="shared" si="1"/>
        <v>1.0752688172043001E-2</v>
      </c>
    </row>
    <row r="38" spans="2:31" x14ac:dyDescent="0.25">
      <c r="B38" s="193">
        <v>42580</v>
      </c>
      <c r="C38" s="10">
        <v>0</v>
      </c>
      <c r="D38" s="40"/>
      <c r="E38" s="40"/>
      <c r="F38" s="40">
        <v>257.89999999999998</v>
      </c>
      <c r="G38" s="40"/>
      <c r="H38" s="231"/>
      <c r="I38" s="40"/>
      <c r="W38" s="133">
        <v>42716</v>
      </c>
      <c r="X38" s="10">
        <v>47.57</v>
      </c>
      <c r="Y38" s="10">
        <v>47.8</v>
      </c>
      <c r="Z38" s="10">
        <v>47.52</v>
      </c>
      <c r="AA38" s="10">
        <v>47.66</v>
      </c>
      <c r="AB38" s="95">
        <v>2894400</v>
      </c>
      <c r="AC38" s="10">
        <v>47.43</v>
      </c>
      <c r="AD38" s="2">
        <f t="shared" si="0"/>
        <v>0.27999999999999403</v>
      </c>
      <c r="AE38" s="138">
        <f t="shared" si="1"/>
        <v>-1.4736842105262937E-3</v>
      </c>
    </row>
    <row r="39" spans="2:31" x14ac:dyDescent="0.25">
      <c r="B39" s="193"/>
      <c r="C39" s="10"/>
      <c r="D39" s="40"/>
      <c r="E39" s="40"/>
      <c r="F39" s="40"/>
      <c r="G39" s="40"/>
      <c r="H39" s="231"/>
      <c r="I39" s="40"/>
      <c r="W39" s="133">
        <v>42713</v>
      </c>
      <c r="X39" s="10">
        <v>47.53</v>
      </c>
      <c r="Y39" s="10">
        <v>47.74</v>
      </c>
      <c r="Z39" s="10">
        <v>47.44</v>
      </c>
      <c r="AA39" s="10">
        <v>47.73</v>
      </c>
      <c r="AB39" s="95">
        <v>3177200</v>
      </c>
      <c r="AC39" s="10">
        <v>47.5</v>
      </c>
      <c r="AD39" s="2">
        <f t="shared" si="0"/>
        <v>0.30000000000000426</v>
      </c>
      <c r="AE39" s="138">
        <f t="shared" si="1"/>
        <v>5.5038103302285091E-3</v>
      </c>
    </row>
    <row r="40" spans="2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638" t="s">
        <v>78</v>
      </c>
      <c r="P40" s="638"/>
      <c r="W40" s="133">
        <v>42712</v>
      </c>
      <c r="X40" s="10">
        <v>47.48</v>
      </c>
      <c r="Y40" s="10">
        <v>47.55</v>
      </c>
      <c r="Z40" s="10">
        <v>47.3</v>
      </c>
      <c r="AA40" s="10">
        <v>47.47</v>
      </c>
      <c r="AB40" s="95">
        <v>5131300</v>
      </c>
      <c r="AC40" s="10">
        <v>47.24</v>
      </c>
      <c r="AD40" s="2">
        <f t="shared" si="0"/>
        <v>0.25</v>
      </c>
      <c r="AE40" s="138">
        <f t="shared" si="1"/>
        <v>-5.8922558922559487E-3</v>
      </c>
    </row>
    <row r="41" spans="2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54.615000000000002</v>
      </c>
      <c r="Q41" s="2"/>
      <c r="W41" s="133">
        <v>42711</v>
      </c>
      <c r="X41" s="10">
        <v>47.19</v>
      </c>
      <c r="Y41" s="10">
        <v>47.86</v>
      </c>
      <c r="Z41" s="10">
        <v>47.19</v>
      </c>
      <c r="AA41" s="10">
        <v>47.75</v>
      </c>
      <c r="AB41" s="95">
        <v>3526900</v>
      </c>
      <c r="AC41" s="10">
        <v>47.52</v>
      </c>
      <c r="AD41" s="2">
        <f t="shared" si="0"/>
        <v>0.67000000000000171</v>
      </c>
      <c r="AE41" s="138">
        <f t="shared" si="1"/>
        <v>1.343570057581589E-2</v>
      </c>
    </row>
    <row r="42" spans="2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42">O42*$Q$4</f>
        <v>54.118500000000004</v>
      </c>
      <c r="Q42" s="2"/>
      <c r="T42" s="91" t="s">
        <v>113</v>
      </c>
      <c r="W42" s="133">
        <v>42710</v>
      </c>
      <c r="X42" s="10">
        <v>46.7</v>
      </c>
      <c r="Y42" s="10">
        <v>47.13</v>
      </c>
      <c r="Z42" s="10">
        <v>46.7</v>
      </c>
      <c r="AA42" s="10">
        <v>47.11</v>
      </c>
      <c r="AB42" s="95">
        <v>4126500</v>
      </c>
      <c r="AC42" s="10">
        <v>46.89</v>
      </c>
      <c r="AD42" s="2">
        <f t="shared" si="0"/>
        <v>0.42999999999999972</v>
      </c>
      <c r="AE42" s="138">
        <f t="shared" si="1"/>
        <v>9.2552733534223552E-3</v>
      </c>
    </row>
    <row r="43" spans="2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42"/>
        <v>53.622</v>
      </c>
      <c r="Q43" s="2"/>
      <c r="T43" s="128" t="s">
        <v>98</v>
      </c>
      <c r="U43" s="98">
        <v>49.51</v>
      </c>
      <c r="W43" s="133">
        <v>42709</v>
      </c>
      <c r="X43" s="10">
        <v>46.42</v>
      </c>
      <c r="Y43" s="10">
        <v>46.73</v>
      </c>
      <c r="Z43" s="10">
        <v>46.35</v>
      </c>
      <c r="AA43" s="10">
        <v>46.68</v>
      </c>
      <c r="AB43" s="95">
        <v>4250100</v>
      </c>
      <c r="AC43" s="10">
        <v>46.46</v>
      </c>
      <c r="AD43" s="2">
        <f t="shared" si="0"/>
        <v>0.37999999999999545</v>
      </c>
      <c r="AE43" s="138">
        <f t="shared" si="1"/>
        <v>1.5075376884422065E-2</v>
      </c>
    </row>
    <row r="44" spans="2:31" x14ac:dyDescent="0.25">
      <c r="B44" s="193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42"/>
        <v>53.125500000000002</v>
      </c>
      <c r="Q44" s="2"/>
      <c r="T44" s="93" t="s">
        <v>99</v>
      </c>
      <c r="U44" s="88">
        <v>49.58</v>
      </c>
      <c r="W44" s="133">
        <v>42706</v>
      </c>
      <c r="X44" s="10">
        <v>45.67</v>
      </c>
      <c r="Y44" s="10">
        <v>46.1</v>
      </c>
      <c r="Z44" s="10">
        <v>45.65</v>
      </c>
      <c r="AA44" s="10">
        <v>45.99</v>
      </c>
      <c r="AB44" s="95">
        <v>5255800</v>
      </c>
      <c r="AC44" s="10">
        <v>45.77</v>
      </c>
      <c r="AD44" s="2">
        <f t="shared" si="0"/>
        <v>0.45000000000000284</v>
      </c>
      <c r="AE44" s="138">
        <f t="shared" si="1"/>
        <v>3.2880315651031555E-3</v>
      </c>
    </row>
    <row r="45" spans="2:31" x14ac:dyDescent="0.25">
      <c r="B45" s="193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42"/>
        <v>52.628999999999998</v>
      </c>
      <c r="Q45" s="2"/>
      <c r="T45" s="93" t="s">
        <v>100</v>
      </c>
      <c r="U45" s="88" t="s">
        <v>129</v>
      </c>
      <c r="W45" s="133">
        <v>42705</v>
      </c>
      <c r="X45" s="10">
        <v>45.85</v>
      </c>
      <c r="Y45" s="10">
        <v>45.96</v>
      </c>
      <c r="Z45" s="10">
        <v>45.72</v>
      </c>
      <c r="AA45" s="10">
        <v>45.84</v>
      </c>
      <c r="AB45" s="95">
        <v>2651500</v>
      </c>
      <c r="AC45" s="10">
        <v>45.62</v>
      </c>
      <c r="AD45" s="2">
        <f t="shared" si="0"/>
        <v>0.24000000000000199</v>
      </c>
      <c r="AE45" s="138">
        <f t="shared" si="1"/>
        <v>-1.5320639089516641E-3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42"/>
        <v>52.1325</v>
      </c>
      <c r="Q46" s="2"/>
      <c r="T46" s="93" t="s">
        <v>101</v>
      </c>
      <c r="U46" s="88" t="s">
        <v>129</v>
      </c>
      <c r="W46" s="133">
        <v>42704</v>
      </c>
      <c r="X46" s="10">
        <v>46.03</v>
      </c>
      <c r="Y46" s="10">
        <v>46.08</v>
      </c>
      <c r="Z46" s="10">
        <v>45.82</v>
      </c>
      <c r="AA46" s="10">
        <v>45.91</v>
      </c>
      <c r="AB46" s="95">
        <v>4140400</v>
      </c>
      <c r="AC46" s="10">
        <v>45.69</v>
      </c>
      <c r="AD46" s="2">
        <f t="shared" si="0"/>
        <v>0.25999999999999801</v>
      </c>
      <c r="AE46" s="138">
        <f t="shared" si="1"/>
        <v>-6.5616797900269752E-4</v>
      </c>
    </row>
    <row r="47" spans="2:31" x14ac:dyDescent="0.25">
      <c r="B47" s="193"/>
      <c r="C47" s="10"/>
      <c r="D47" s="40"/>
      <c r="E47" s="40"/>
      <c r="F47" s="40"/>
      <c r="G47" s="40"/>
      <c r="H47" s="231"/>
      <c r="I47" s="40"/>
      <c r="O47" s="83">
        <v>1.04</v>
      </c>
      <c r="P47" s="83">
        <f t="shared" si="42"/>
        <v>51.636000000000003</v>
      </c>
      <c r="Q47" s="2"/>
      <c r="T47" s="93" t="s">
        <v>357</v>
      </c>
      <c r="U47" s="88">
        <v>49.54</v>
      </c>
      <c r="W47" s="133">
        <v>42703</v>
      </c>
      <c r="X47" s="10">
        <v>45.58</v>
      </c>
      <c r="Y47" s="10">
        <v>46</v>
      </c>
      <c r="Z47" s="10">
        <v>45.55</v>
      </c>
      <c r="AA47" s="10">
        <v>45.94</v>
      </c>
      <c r="AB47" s="95">
        <v>2878900</v>
      </c>
      <c r="AC47" s="10">
        <v>45.72</v>
      </c>
      <c r="AD47" s="2">
        <f t="shared" si="0"/>
        <v>0.45000000000000284</v>
      </c>
      <c r="AE47" s="138">
        <f t="shared" si="1"/>
        <v>8.8261253309795951E-3</v>
      </c>
    </row>
    <row r="48" spans="2:31" x14ac:dyDescent="0.25">
      <c r="B48" s="193"/>
      <c r="C48" s="10"/>
      <c r="D48" s="40"/>
      <c r="E48" s="40"/>
      <c r="F48" s="40"/>
      <c r="G48" s="40"/>
      <c r="H48" s="231"/>
      <c r="I48" s="40"/>
      <c r="O48" s="83">
        <v>1.03</v>
      </c>
      <c r="P48" s="83">
        <f t="shared" si="42"/>
        <v>51.139499999999998</v>
      </c>
      <c r="Q48" s="2"/>
      <c r="T48" s="93" t="s">
        <v>358</v>
      </c>
      <c r="U48" s="88" t="s">
        <v>390</v>
      </c>
      <c r="W48" s="133">
        <v>42702</v>
      </c>
      <c r="X48" s="10">
        <v>45.75</v>
      </c>
      <c r="Y48" s="10">
        <v>45.76</v>
      </c>
      <c r="Z48" s="10">
        <v>45.52</v>
      </c>
      <c r="AA48" s="10">
        <v>45.54</v>
      </c>
      <c r="AB48" s="95">
        <v>2503900</v>
      </c>
      <c r="AC48" s="10">
        <v>45.32</v>
      </c>
      <c r="AD48" s="2">
        <f t="shared" si="0"/>
        <v>0.23999999999999488</v>
      </c>
      <c r="AE48" s="138">
        <f t="shared" si="1"/>
        <v>-1.1774967291757532E-2</v>
      </c>
    </row>
    <row r="49" spans="1:31" x14ac:dyDescent="0.25">
      <c r="B49" s="193"/>
      <c r="C49" s="10"/>
      <c r="D49" s="40"/>
      <c r="E49" s="40"/>
      <c r="F49" s="40"/>
      <c r="G49" s="40"/>
      <c r="H49" s="231"/>
      <c r="I49" s="40"/>
      <c r="O49" s="83">
        <v>1.02</v>
      </c>
      <c r="P49" s="83">
        <f t="shared" si="42"/>
        <v>50.643000000000001</v>
      </c>
      <c r="Q49" s="2"/>
      <c r="T49" s="93" t="s">
        <v>359</v>
      </c>
      <c r="U49" s="452">
        <v>-3.7000000000000002E-3</v>
      </c>
      <c r="W49" s="133">
        <v>42699</v>
      </c>
      <c r="X49" s="10">
        <v>46.01</v>
      </c>
      <c r="Y49" s="10">
        <v>46.08</v>
      </c>
      <c r="Z49" s="10">
        <v>45.96</v>
      </c>
      <c r="AA49" s="10">
        <v>46.08</v>
      </c>
      <c r="AB49" s="95">
        <v>1345300</v>
      </c>
      <c r="AC49" s="10">
        <v>45.86</v>
      </c>
      <c r="AD49" s="2">
        <f t="shared" si="0"/>
        <v>0.11999999999999744</v>
      </c>
      <c r="AE49" s="138">
        <f t="shared" si="1"/>
        <v>8.3553210202287342E-3</v>
      </c>
    </row>
    <row r="50" spans="1:31" x14ac:dyDescent="0.25">
      <c r="O50" s="83">
        <v>1.01</v>
      </c>
      <c r="P50" s="83">
        <f t="shared" si="42"/>
        <v>50.146499999999996</v>
      </c>
      <c r="Q50" s="2"/>
      <c r="T50" s="93"/>
      <c r="U50" s="88"/>
      <c r="W50" s="133">
        <v>42697</v>
      </c>
      <c r="X50" s="10">
        <v>45.45</v>
      </c>
      <c r="Y50" s="10">
        <v>45.74</v>
      </c>
      <c r="Z50" s="10">
        <v>45.36</v>
      </c>
      <c r="AA50" s="10">
        <v>45.7</v>
      </c>
      <c r="AB50" s="95">
        <v>2342000</v>
      </c>
      <c r="AC50" s="10">
        <v>45.48</v>
      </c>
      <c r="AD50" s="2">
        <f t="shared" si="0"/>
        <v>0.38000000000000256</v>
      </c>
      <c r="AE50" s="138">
        <f t="shared" si="1"/>
        <v>-7.2036673215456482E-3</v>
      </c>
    </row>
    <row r="51" spans="1:31" x14ac:dyDescent="0.25">
      <c r="O51" s="83">
        <v>1</v>
      </c>
      <c r="P51" s="83">
        <f t="shared" si="42"/>
        <v>49.65</v>
      </c>
      <c r="Q51" s="2"/>
      <c r="T51" s="93" t="s">
        <v>105</v>
      </c>
      <c r="U51" s="88" t="s">
        <v>589</v>
      </c>
      <c r="W51" s="133">
        <v>42696</v>
      </c>
      <c r="X51" s="10">
        <v>46.02</v>
      </c>
      <c r="Y51" s="10">
        <v>46.07</v>
      </c>
      <c r="Z51" s="10">
        <v>45.82</v>
      </c>
      <c r="AA51" s="10">
        <v>46.03</v>
      </c>
      <c r="AB51" s="95">
        <v>2320000</v>
      </c>
      <c r="AC51" s="10">
        <v>45.81</v>
      </c>
      <c r="AD51" s="2">
        <f t="shared" si="0"/>
        <v>0.25</v>
      </c>
      <c r="AE51" s="138">
        <f t="shared" si="1"/>
        <v>8.7393489185050299E-4</v>
      </c>
    </row>
    <row r="52" spans="1:31" x14ac:dyDescent="0.25">
      <c r="O52" s="83">
        <v>0.99</v>
      </c>
      <c r="P52" s="83">
        <f t="shared" si="42"/>
        <v>49.153500000000001</v>
      </c>
      <c r="Q52" s="2"/>
      <c r="T52" s="93" t="s">
        <v>106</v>
      </c>
      <c r="U52" s="88" t="s">
        <v>382</v>
      </c>
      <c r="W52" s="133">
        <v>42695</v>
      </c>
      <c r="X52" s="10">
        <v>45.77</v>
      </c>
      <c r="Y52" s="10">
        <v>46</v>
      </c>
      <c r="Z52" s="10">
        <v>45.75</v>
      </c>
      <c r="AA52" s="10">
        <v>45.99</v>
      </c>
      <c r="AB52" s="95">
        <v>3711400</v>
      </c>
      <c r="AC52" s="10">
        <v>45.77</v>
      </c>
      <c r="AD52" s="2">
        <f t="shared" si="0"/>
        <v>0.25</v>
      </c>
      <c r="AE52" s="138">
        <f t="shared" si="1"/>
        <v>8.5940943146760596E-3</v>
      </c>
    </row>
    <row r="53" spans="1:31" x14ac:dyDescent="0.25">
      <c r="L53" t="s">
        <v>65</v>
      </c>
      <c r="M53" s="2">
        <f>K71+M71-F71</f>
        <v>257.64999999999964</v>
      </c>
      <c r="O53" s="83">
        <v>0.98</v>
      </c>
      <c r="P53" s="83">
        <f t="shared" si="42"/>
        <v>48.656999999999996</v>
      </c>
      <c r="Q53" s="2"/>
      <c r="T53" s="93" t="s">
        <v>107</v>
      </c>
      <c r="U53" s="90">
        <v>2448528</v>
      </c>
      <c r="W53" s="133">
        <v>42692</v>
      </c>
      <c r="X53" s="10">
        <v>45.74</v>
      </c>
      <c r="Y53" s="10">
        <v>45.77</v>
      </c>
      <c r="Z53" s="10">
        <v>45.52</v>
      </c>
      <c r="AA53" s="10">
        <v>45.6</v>
      </c>
      <c r="AB53" s="95">
        <v>3894600</v>
      </c>
      <c r="AC53" s="10">
        <v>45.38</v>
      </c>
      <c r="AD53" s="2">
        <f t="shared" si="0"/>
        <v>0.25</v>
      </c>
      <c r="AE53" s="138">
        <f t="shared" si="1"/>
        <v>-1.0250817884405627E-2</v>
      </c>
    </row>
    <row r="54" spans="1:31" x14ac:dyDescent="0.25">
      <c r="A54" s="263" t="s">
        <v>1</v>
      </c>
      <c r="B54" s="263" t="s">
        <v>2</v>
      </c>
      <c r="C54" s="263" t="s">
        <v>4</v>
      </c>
      <c r="D54" s="264" t="s">
        <v>5</v>
      </c>
      <c r="E54" s="264" t="s">
        <v>94</v>
      </c>
      <c r="F54" s="264" t="s">
        <v>60</v>
      </c>
      <c r="G54" s="263" t="s">
        <v>3</v>
      </c>
      <c r="H54" s="263" t="s">
        <v>6</v>
      </c>
      <c r="I54" s="264" t="s">
        <v>7</v>
      </c>
      <c r="J54" s="264" t="s">
        <v>95</v>
      </c>
      <c r="K54" s="264" t="s">
        <v>61</v>
      </c>
      <c r="L54" s="263" t="s">
        <v>37</v>
      </c>
      <c r="M54" s="263" t="s">
        <v>38</v>
      </c>
      <c r="O54" s="83">
        <v>0.97</v>
      </c>
      <c r="P54" s="83">
        <f t="shared" si="42"/>
        <v>48.160499999999999</v>
      </c>
      <c r="T54" s="93" t="s">
        <v>110</v>
      </c>
      <c r="U54" s="90">
        <v>3525540</v>
      </c>
      <c r="W54" s="133">
        <v>42691</v>
      </c>
      <c r="X54" s="10">
        <v>45.99</v>
      </c>
      <c r="Y54" s="10">
        <v>46.19</v>
      </c>
      <c r="Z54" s="10">
        <v>45.94</v>
      </c>
      <c r="AA54" s="10">
        <v>46.07</v>
      </c>
      <c r="AB54" s="95">
        <v>6350000</v>
      </c>
      <c r="AC54" s="10">
        <v>45.85</v>
      </c>
      <c r="AD54" s="2">
        <f t="shared" si="0"/>
        <v>0.25</v>
      </c>
      <c r="AE54" s="138">
        <f t="shared" si="1"/>
        <v>4.8213894367741261E-3</v>
      </c>
    </row>
    <row r="55" spans="1:31" x14ac:dyDescent="0.25">
      <c r="A55" s="265" t="s">
        <v>231</v>
      </c>
      <c r="B55" s="266">
        <v>42545</v>
      </c>
      <c r="C55" s="261">
        <v>100</v>
      </c>
      <c r="D55" s="262">
        <v>45.25</v>
      </c>
      <c r="E55" s="262">
        <v>0</v>
      </c>
      <c r="F55" s="262">
        <f>D55*C55+E55</f>
        <v>4525</v>
      </c>
      <c r="G55" s="266">
        <v>42577</v>
      </c>
      <c r="H55" s="267">
        <v>50</v>
      </c>
      <c r="I55" s="262">
        <v>47.5</v>
      </c>
      <c r="J55" s="262">
        <v>0.05</v>
      </c>
      <c r="K55" s="262">
        <f>H55*I55-J55</f>
        <v>2374.9499999999998</v>
      </c>
      <c r="L55" s="266" t="s">
        <v>248</v>
      </c>
      <c r="M55" s="261"/>
      <c r="O55" s="83">
        <v>0.96</v>
      </c>
      <c r="P55" s="83">
        <f t="shared" si="42"/>
        <v>47.663999999999994</v>
      </c>
      <c r="T55" s="93" t="s">
        <v>360</v>
      </c>
      <c r="U55" s="88">
        <v>16</v>
      </c>
      <c r="W55" s="133">
        <v>42690</v>
      </c>
      <c r="X55" s="10">
        <v>45.81</v>
      </c>
      <c r="Y55" s="10">
        <v>46.01</v>
      </c>
      <c r="Z55" s="10">
        <v>45.74</v>
      </c>
      <c r="AA55" s="10">
        <v>45.85</v>
      </c>
      <c r="AB55" s="95">
        <v>8245000</v>
      </c>
      <c r="AC55" s="10">
        <v>45.63</v>
      </c>
      <c r="AD55" s="2">
        <f t="shared" si="0"/>
        <v>0.26999999999999602</v>
      </c>
      <c r="AE55" s="138">
        <f t="shared" si="1"/>
        <v>-1.1053315994798418E-2</v>
      </c>
    </row>
    <row r="56" spans="1:31" x14ac:dyDescent="0.25">
      <c r="A56" s="268" t="s">
        <v>71</v>
      </c>
      <c r="B56" s="266"/>
      <c r="C56" s="261"/>
      <c r="D56" s="262"/>
      <c r="E56" s="262"/>
      <c r="F56" s="262"/>
      <c r="G56" s="266">
        <v>42580</v>
      </c>
      <c r="H56" s="267">
        <v>50</v>
      </c>
      <c r="I56" s="262">
        <v>48.16</v>
      </c>
      <c r="J56" s="262">
        <v>0.3</v>
      </c>
      <c r="K56" s="262">
        <f>H56*I56-J56</f>
        <v>2407.6999999999998</v>
      </c>
      <c r="L56" s="261"/>
      <c r="M56" s="261"/>
      <c r="O56" s="83">
        <v>0.95</v>
      </c>
      <c r="P56" s="83">
        <f t="shared" si="42"/>
        <v>47.167499999999997</v>
      </c>
      <c r="T56" s="93" t="s">
        <v>361</v>
      </c>
      <c r="U56" s="88">
        <v>3.52</v>
      </c>
      <c r="W56" s="133">
        <v>42689</v>
      </c>
      <c r="X56" s="10">
        <v>45.95</v>
      </c>
      <c r="Y56" s="10">
        <v>46.36</v>
      </c>
      <c r="Z56" s="10">
        <v>45.91</v>
      </c>
      <c r="AA56" s="10">
        <v>46.36</v>
      </c>
      <c r="AB56" s="95">
        <v>2233200</v>
      </c>
      <c r="AC56" s="10">
        <v>46.14</v>
      </c>
      <c r="AD56" s="2">
        <f t="shared" si="0"/>
        <v>0.45000000000000284</v>
      </c>
      <c r="AE56" s="138">
        <f t="shared" si="1"/>
        <v>6.9838498472283295E-3</v>
      </c>
    </row>
    <row r="57" spans="1:31" x14ac:dyDescent="0.25">
      <c r="A57" s="261"/>
      <c r="B57" s="266"/>
      <c r="C57" s="261"/>
      <c r="D57" s="262"/>
      <c r="E57" s="262"/>
      <c r="F57" s="262"/>
      <c r="G57" s="261"/>
      <c r="H57" s="267"/>
      <c r="I57" s="262"/>
      <c r="J57" s="262"/>
      <c r="K57" s="262"/>
      <c r="L57" s="261"/>
      <c r="M57" s="261"/>
      <c r="O57" s="83">
        <v>0.94</v>
      </c>
      <c r="P57" s="83">
        <f t="shared" si="42"/>
        <v>46.670999999999999</v>
      </c>
      <c r="T57" s="93"/>
      <c r="U57" s="88"/>
      <c r="W57" s="133">
        <v>42688</v>
      </c>
      <c r="X57" s="10">
        <v>45.99</v>
      </c>
      <c r="Y57" s="10">
        <v>46.12</v>
      </c>
      <c r="Z57" s="10">
        <v>45.85</v>
      </c>
      <c r="AA57" s="10">
        <v>46.04</v>
      </c>
      <c r="AB57" s="95">
        <v>2962300</v>
      </c>
      <c r="AC57" s="10">
        <v>45.82</v>
      </c>
      <c r="AD57" s="2">
        <f t="shared" si="0"/>
        <v>0.26999999999999602</v>
      </c>
      <c r="AE57" s="138">
        <f t="shared" si="1"/>
        <v>-8.6542622241453371E-3</v>
      </c>
    </row>
    <row r="58" spans="1:31" x14ac:dyDescent="0.25">
      <c r="A58" s="261"/>
      <c r="B58" s="266"/>
      <c r="C58" s="261"/>
      <c r="D58" s="262"/>
      <c r="E58" s="262"/>
      <c r="F58" s="262"/>
      <c r="G58" s="261"/>
      <c r="H58" s="267"/>
      <c r="I58" s="262"/>
      <c r="J58" s="262"/>
      <c r="K58" s="262"/>
      <c r="L58" s="261"/>
      <c r="M58" s="261"/>
      <c r="O58" s="83">
        <v>0.93</v>
      </c>
      <c r="P58" s="83">
        <f t="shared" si="42"/>
        <v>46.174500000000002</v>
      </c>
      <c r="T58" s="93"/>
      <c r="U58" s="88"/>
      <c r="W58" s="133">
        <v>42685</v>
      </c>
      <c r="X58" s="10">
        <v>46.55</v>
      </c>
      <c r="Y58" s="10">
        <v>46.66</v>
      </c>
      <c r="Z58" s="10">
        <v>46.26</v>
      </c>
      <c r="AA58" s="10">
        <v>46.44</v>
      </c>
      <c r="AB58" s="95">
        <v>2576800</v>
      </c>
      <c r="AC58" s="10">
        <v>46.22</v>
      </c>
      <c r="AD58" s="2">
        <f t="shared" si="0"/>
        <v>0.39999999999999858</v>
      </c>
      <c r="AE58" s="138">
        <f t="shared" si="1"/>
        <v>-9.8543273350470972E-3</v>
      </c>
    </row>
    <row r="59" spans="1:31" x14ac:dyDescent="0.25">
      <c r="A59" s="261"/>
      <c r="B59" s="266"/>
      <c r="C59" s="261"/>
      <c r="D59" s="262"/>
      <c r="E59" s="262"/>
      <c r="F59" s="262"/>
      <c r="G59" s="261"/>
      <c r="H59" s="267"/>
      <c r="I59" s="262"/>
      <c r="J59" s="262"/>
      <c r="K59" s="262"/>
      <c r="L59" s="261"/>
      <c r="M59" s="261"/>
      <c r="O59" s="83">
        <v>0.92</v>
      </c>
      <c r="P59" s="83">
        <f t="shared" si="42"/>
        <v>45.677999999999997</v>
      </c>
      <c r="W59" s="133">
        <v>42684</v>
      </c>
      <c r="X59" s="10">
        <v>47.04</v>
      </c>
      <c r="Y59" s="10">
        <v>47.16</v>
      </c>
      <c r="Z59" s="10">
        <v>46.5</v>
      </c>
      <c r="AA59" s="10">
        <v>46.9</v>
      </c>
      <c r="AB59" s="95">
        <v>4569500</v>
      </c>
      <c r="AC59" s="10">
        <v>46.68</v>
      </c>
      <c r="AD59" s="2">
        <f t="shared" si="0"/>
        <v>0.65999999999999659</v>
      </c>
      <c r="AE59" s="138">
        <f t="shared" si="1"/>
        <v>-5.1150895140665842E-3</v>
      </c>
    </row>
    <row r="60" spans="1:31" x14ac:dyDescent="0.25">
      <c r="A60" s="261"/>
      <c r="B60" s="261"/>
      <c r="C60" s="261"/>
      <c r="D60" s="262"/>
      <c r="E60" s="262"/>
      <c r="F60" s="262"/>
      <c r="G60" s="261"/>
      <c r="H60" s="267"/>
      <c r="I60" s="262"/>
      <c r="J60" s="262"/>
      <c r="K60" s="262"/>
      <c r="L60" s="261"/>
      <c r="M60" s="261"/>
      <c r="O60" s="83">
        <v>0.91</v>
      </c>
      <c r="P60" s="83">
        <f t="shared" si="42"/>
        <v>45.1815</v>
      </c>
      <c r="W60" s="133">
        <v>42683</v>
      </c>
      <c r="X60" s="10">
        <v>46.54</v>
      </c>
      <c r="Y60" s="10">
        <v>47.3</v>
      </c>
      <c r="Z60" s="10">
        <v>46.54</v>
      </c>
      <c r="AA60" s="10">
        <v>47.14</v>
      </c>
      <c r="AB60" s="95">
        <v>4359400</v>
      </c>
      <c r="AC60" s="10">
        <v>46.92</v>
      </c>
      <c r="AD60" s="2">
        <f t="shared" si="0"/>
        <v>0.75999999999999801</v>
      </c>
      <c r="AE60" s="138">
        <f t="shared" si="1"/>
        <v>5.1413881748072487E-3</v>
      </c>
    </row>
    <row r="61" spans="1:31" x14ac:dyDescent="0.25">
      <c r="A61" s="261"/>
      <c r="B61" s="261"/>
      <c r="C61" s="261"/>
      <c r="D61" s="262"/>
      <c r="E61" s="262"/>
      <c r="F61" s="262"/>
      <c r="G61" s="261"/>
      <c r="H61" s="267"/>
      <c r="I61" s="262"/>
      <c r="J61" s="262"/>
      <c r="K61" s="262"/>
      <c r="L61" s="261"/>
      <c r="M61" s="261"/>
      <c r="O61" s="83">
        <v>0.9</v>
      </c>
      <c r="P61" s="83">
        <f t="shared" si="42"/>
        <v>44.685000000000002</v>
      </c>
      <c r="W61" s="133">
        <v>42682</v>
      </c>
      <c r="X61" s="10">
        <v>46.63</v>
      </c>
      <c r="Y61" s="10">
        <v>47</v>
      </c>
      <c r="Z61" s="10">
        <v>46.57</v>
      </c>
      <c r="AA61" s="10">
        <v>46.9</v>
      </c>
      <c r="AB61" s="95">
        <v>2098600</v>
      </c>
      <c r="AC61" s="10">
        <v>46.68</v>
      </c>
      <c r="AD61" s="2">
        <f t="shared" si="0"/>
        <v>0.42999999999999972</v>
      </c>
      <c r="AE61" s="138">
        <f t="shared" si="1"/>
        <v>3.0081650193383158E-3</v>
      </c>
    </row>
    <row r="62" spans="1:31" x14ac:dyDescent="0.25">
      <c r="A62" s="261"/>
      <c r="B62" s="261"/>
      <c r="C62" s="261"/>
      <c r="D62" s="262"/>
      <c r="E62" s="262"/>
      <c r="F62" s="262"/>
      <c r="G62" s="261"/>
      <c r="H62" s="267"/>
      <c r="I62" s="262"/>
      <c r="J62" s="262"/>
      <c r="K62" s="262"/>
      <c r="L62" s="261"/>
      <c r="M62" s="261"/>
      <c r="W62" s="133">
        <v>42681</v>
      </c>
      <c r="X62" s="10">
        <v>46.61</v>
      </c>
      <c r="Y62" s="10">
        <v>46.76</v>
      </c>
      <c r="Z62" s="10">
        <v>46.5</v>
      </c>
      <c r="AA62" s="10">
        <v>46.76</v>
      </c>
      <c r="AB62" s="95">
        <v>2170900</v>
      </c>
      <c r="AC62" s="10">
        <v>46.54</v>
      </c>
      <c r="AD62" s="2">
        <f t="shared" si="0"/>
        <v>0.25999999999999801</v>
      </c>
      <c r="AE62" s="138">
        <f t="shared" si="1"/>
        <v>1.5935385287055182E-2</v>
      </c>
    </row>
    <row r="63" spans="1:31" x14ac:dyDescent="0.25">
      <c r="A63" s="261"/>
      <c r="B63" s="261"/>
      <c r="C63" s="261"/>
      <c r="D63" s="262"/>
      <c r="E63" s="262"/>
      <c r="F63" s="262"/>
      <c r="G63" s="261"/>
      <c r="H63" s="267"/>
      <c r="I63" s="262"/>
      <c r="J63" s="262"/>
      <c r="K63" s="262"/>
      <c r="L63" s="261"/>
      <c r="M63" s="261"/>
      <c r="W63" s="133">
        <v>42678</v>
      </c>
      <c r="X63" s="10">
        <v>46.14</v>
      </c>
      <c r="Y63" s="10">
        <v>46.36</v>
      </c>
      <c r="Z63" s="10">
        <v>46.03</v>
      </c>
      <c r="AA63" s="10">
        <v>46.03</v>
      </c>
      <c r="AB63" s="95">
        <v>3244800</v>
      </c>
      <c r="AC63" s="10">
        <v>45.81</v>
      </c>
      <c r="AD63" s="2">
        <f t="shared" si="0"/>
        <v>0.32999999999999829</v>
      </c>
      <c r="AE63" s="138">
        <f t="shared" si="1"/>
        <v>-9.941646855413877E-3</v>
      </c>
    </row>
    <row r="64" spans="1:31" x14ac:dyDescent="0.25">
      <c r="A64" s="261"/>
      <c r="B64" s="261"/>
      <c r="C64" s="261"/>
      <c r="D64" s="262"/>
      <c r="E64" s="262"/>
      <c r="F64" s="262"/>
      <c r="G64" s="261"/>
      <c r="H64" s="267"/>
      <c r="I64" s="262"/>
      <c r="J64" s="262"/>
      <c r="K64" s="262"/>
      <c r="L64" s="261"/>
      <c r="M64" s="261"/>
      <c r="W64" s="133">
        <v>42677</v>
      </c>
      <c r="X64" s="10">
        <v>46.7</v>
      </c>
      <c r="Y64" s="10">
        <v>46.76</v>
      </c>
      <c r="Z64" s="10">
        <v>46.4</v>
      </c>
      <c r="AA64" s="10">
        <v>46.49</v>
      </c>
      <c r="AB64" s="95">
        <v>2528800</v>
      </c>
      <c r="AC64" s="10">
        <v>46.27</v>
      </c>
      <c r="AD64" s="2">
        <f t="shared" si="0"/>
        <v>0.35999999999999943</v>
      </c>
      <c r="AE64" s="138">
        <f t="shared" si="1"/>
        <v>-4.3205875999130505E-4</v>
      </c>
    </row>
    <row r="65" spans="1:31" x14ac:dyDescent="0.25">
      <c r="A65" s="261"/>
      <c r="B65" s="261"/>
      <c r="C65" s="261"/>
      <c r="D65" s="262"/>
      <c r="E65" s="262"/>
      <c r="F65" s="262"/>
      <c r="G65" s="261"/>
      <c r="H65" s="267"/>
      <c r="I65" s="262"/>
      <c r="J65" s="262"/>
      <c r="K65" s="262"/>
      <c r="L65" s="261"/>
      <c r="M65" s="261"/>
      <c r="W65" s="133">
        <v>42676</v>
      </c>
      <c r="X65" s="10">
        <v>46.83</v>
      </c>
      <c r="Y65" s="10">
        <v>46.87</v>
      </c>
      <c r="Z65" s="10">
        <v>46.46</v>
      </c>
      <c r="AA65" s="10">
        <v>46.51</v>
      </c>
      <c r="AB65" s="95">
        <v>2975500</v>
      </c>
      <c r="AC65" s="10">
        <v>46.29</v>
      </c>
      <c r="AD65" s="2">
        <f t="shared" si="0"/>
        <v>0.40999999999999659</v>
      </c>
      <c r="AE65" s="138">
        <f t="shared" si="1"/>
        <v>-6.6523605150214937E-3</v>
      </c>
    </row>
    <row r="66" spans="1:31" x14ac:dyDescent="0.25">
      <c r="A66" s="261"/>
      <c r="B66" s="261"/>
      <c r="C66" s="261"/>
      <c r="D66" s="262"/>
      <c r="E66" s="262"/>
      <c r="F66" s="262"/>
      <c r="G66" s="261"/>
      <c r="H66" s="267"/>
      <c r="I66" s="262"/>
      <c r="J66" s="262"/>
      <c r="K66" s="262"/>
      <c r="L66" s="261"/>
      <c r="M66" s="261"/>
      <c r="W66" s="133">
        <v>42675</v>
      </c>
      <c r="X66" s="10">
        <v>47.18</v>
      </c>
      <c r="Y66" s="10">
        <v>47.21</v>
      </c>
      <c r="Z66" s="10">
        <v>46.69</v>
      </c>
      <c r="AA66" s="10">
        <v>46.82</v>
      </c>
      <c r="AB66" s="95">
        <v>3303100</v>
      </c>
      <c r="AC66" s="10">
        <v>46.6</v>
      </c>
      <c r="AD66" s="2">
        <f t="shared" si="0"/>
        <v>0.52000000000000313</v>
      </c>
      <c r="AE66" s="138">
        <f t="shared" si="1"/>
        <v>-4.0606967300704788E-3</v>
      </c>
    </row>
    <row r="67" spans="1:31" x14ac:dyDescent="0.25">
      <c r="A67" s="261"/>
      <c r="B67" s="261"/>
      <c r="C67" s="261"/>
      <c r="D67" s="262"/>
      <c r="E67" s="262"/>
      <c r="F67" s="262"/>
      <c r="G67" s="261"/>
      <c r="H67" s="267"/>
      <c r="I67" s="262"/>
      <c r="J67" s="262"/>
      <c r="K67" s="262"/>
      <c r="L67" s="261"/>
      <c r="M67" s="261"/>
      <c r="W67" s="133">
        <v>42674</v>
      </c>
      <c r="X67" s="10">
        <v>46.97</v>
      </c>
      <c r="Y67" s="10">
        <v>47.11</v>
      </c>
      <c r="Z67" s="10">
        <v>46.84</v>
      </c>
      <c r="AA67" s="10">
        <v>47.01</v>
      </c>
      <c r="AB67" s="95">
        <v>2016000</v>
      </c>
      <c r="AC67" s="10">
        <v>46.79</v>
      </c>
      <c r="AD67" s="2">
        <f>Y67-Z67</f>
        <v>0.26999999999999602</v>
      </c>
      <c r="AE67" s="138" t="e">
        <f>AC67/#REF!-1</f>
        <v>#REF!</v>
      </c>
    </row>
    <row r="68" spans="1:31" x14ac:dyDescent="0.25">
      <c r="A68" s="261"/>
      <c r="B68" s="261"/>
      <c r="C68" s="261"/>
      <c r="D68" s="262"/>
      <c r="E68" s="262"/>
      <c r="F68" s="262"/>
      <c r="G68" s="261"/>
      <c r="H68" s="267"/>
      <c r="I68" s="262"/>
      <c r="J68" s="262"/>
      <c r="K68" s="262"/>
      <c r="L68" s="261"/>
      <c r="M68" s="261"/>
      <c r="W68" s="133">
        <v>42671</v>
      </c>
      <c r="X68" s="10">
        <v>47.01</v>
      </c>
      <c r="Y68" s="10">
        <v>47.22</v>
      </c>
      <c r="Z68" s="10">
        <v>46.98</v>
      </c>
      <c r="AA68" s="10">
        <v>47.06</v>
      </c>
      <c r="AB68" s="95">
        <v>3251700</v>
      </c>
      <c r="AC68" s="10">
        <v>46.84</v>
      </c>
      <c r="AD68" s="2" t="e">
        <f>#REF!-#REF!</f>
        <v>#REF!</v>
      </c>
      <c r="AE68" s="138" t="e">
        <f>#REF!/AC69-1</f>
        <v>#REF!</v>
      </c>
    </row>
    <row r="69" spans="1:31" x14ac:dyDescent="0.25">
      <c r="A69" s="261"/>
      <c r="B69" s="261"/>
      <c r="C69" s="261"/>
      <c r="D69" s="262"/>
      <c r="E69" s="262"/>
      <c r="F69" s="262"/>
      <c r="G69" s="261"/>
      <c r="H69" s="267"/>
      <c r="I69" s="262"/>
      <c r="J69" s="262"/>
      <c r="K69" s="262"/>
      <c r="L69" s="261"/>
      <c r="M69" s="261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1:31" x14ac:dyDescent="0.25">
      <c r="A70" s="261"/>
      <c r="B70" s="261"/>
      <c r="C70" s="261"/>
      <c r="D70" s="262"/>
      <c r="E70" s="262"/>
      <c r="F70" s="262"/>
      <c r="G70" s="261"/>
      <c r="H70" s="261"/>
      <c r="I70" s="262"/>
      <c r="J70" s="262"/>
      <c r="K70" s="262"/>
      <c r="L70" s="261"/>
      <c r="M70" s="261"/>
    </row>
    <row r="71" spans="1:31" x14ac:dyDescent="0.25">
      <c r="A71" s="32" t="s">
        <v>81</v>
      </c>
      <c r="B71" s="14"/>
      <c r="C71" s="14">
        <f>SUM(C55:C59)</f>
        <v>100</v>
      </c>
      <c r="D71" s="18"/>
      <c r="E71" s="18"/>
      <c r="F71" s="18">
        <f>SUM(F55:F59)</f>
        <v>4525</v>
      </c>
      <c r="G71" s="14"/>
      <c r="H71" s="14">
        <f>SUM(H55:H58)</f>
        <v>100</v>
      </c>
      <c r="I71" s="18"/>
      <c r="J71" s="18"/>
      <c r="K71" s="18">
        <f>SUM(K55:K58)</f>
        <v>4782.6499999999996</v>
      </c>
      <c r="L71" s="14"/>
      <c r="M71" s="18">
        <f>SUM(M55:M63)</f>
        <v>0</v>
      </c>
    </row>
    <row r="72" spans="1:31" ht="15.75" thickBot="1" x14ac:dyDescent="0.3">
      <c r="A72" s="467" t="s">
        <v>198</v>
      </c>
      <c r="B72" s="468"/>
      <c r="C72" s="469">
        <f>SumByColor($A$19,C55:C70)</f>
        <v>0</v>
      </c>
      <c r="D72" s="469"/>
      <c r="E72" s="469"/>
      <c r="F72" s="470">
        <f>SumByColor($A$19,F55:F70)</f>
        <v>0</v>
      </c>
      <c r="G72" s="469"/>
      <c r="H72" s="469">
        <f>SumByColor($A$19,H55:H70)</f>
        <v>0</v>
      </c>
      <c r="I72" s="469"/>
      <c r="J72" s="469"/>
      <c r="K72" s="470">
        <f>SumByColor($A$19,K55:K70)</f>
        <v>0</v>
      </c>
      <c r="L72" s="469"/>
      <c r="M72" s="470">
        <f t="shared" ref="M72" si="43"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573" priority="9">
      <formula>F39&gt;0</formula>
    </cfRule>
    <cfRule type="expression" dxfId="572" priority="10">
      <formula>F39&lt;0</formula>
    </cfRule>
  </conditionalFormatting>
  <conditionalFormatting sqref="F25:F38">
    <cfRule type="expression" dxfId="571" priority="7">
      <formula>F25&gt;0</formula>
    </cfRule>
    <cfRule type="expression" dxfId="570" priority="8">
      <formula>F25&lt;0</formula>
    </cfRule>
  </conditionalFormatting>
  <conditionalFormatting sqref="H25:H38">
    <cfRule type="expression" dxfId="569" priority="5">
      <formula>H25&gt;0</formula>
    </cfRule>
    <cfRule type="expression" dxfId="568" priority="6">
      <formula>H25&lt;0</formula>
    </cfRule>
  </conditionalFormatting>
  <conditionalFormatting sqref="Q7">
    <cfRule type="expression" dxfId="567" priority="3">
      <formula>Q7&gt;0</formula>
    </cfRule>
    <cfRule type="expression" dxfId="566" priority="4">
      <formula>Q7&lt;0</formula>
    </cfRule>
  </conditionalFormatting>
  <conditionalFormatting sqref="Q8">
    <cfRule type="expression" dxfId="565" priority="1">
      <formula>Q8&gt;0</formula>
    </cfRule>
    <cfRule type="expression" dxfId="564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P48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4" width="9.5703125" bestFit="1" customWidth="1"/>
    <col min="6" max="6" width="13.85546875" bestFit="1" customWidth="1"/>
    <col min="7" max="7" width="9.7109375" bestFit="1" customWidth="1"/>
    <col min="8" max="8" width="9.5703125" bestFit="1" customWidth="1"/>
    <col min="9" max="9" width="15" style="2" bestFit="1" customWidth="1"/>
    <col min="10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10.28515625" bestFit="1" customWidth="1"/>
    <col min="18" max="18" width="12.140625" customWidth="1"/>
    <col min="19" max="19" width="11.7109375" bestFit="1" customWidth="1"/>
    <col min="20" max="20" width="13.7109375" customWidth="1"/>
    <col min="21" max="21" width="18.28515625" style="34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5" t="s">
        <v>7</v>
      </c>
      <c r="J1" s="45" t="s">
        <v>95</v>
      </c>
      <c r="K1" s="45" t="s">
        <v>61</v>
      </c>
      <c r="L1" s="15" t="s">
        <v>37</v>
      </c>
      <c r="M1" s="15" t="s">
        <v>38</v>
      </c>
      <c r="T1" s="16" t="s">
        <v>70</v>
      </c>
      <c r="U1" s="127"/>
      <c r="W1" s="132" t="s">
        <v>114</v>
      </c>
      <c r="X1" s="132" t="s">
        <v>115</v>
      </c>
      <c r="Y1" s="132" t="s">
        <v>116</v>
      </c>
      <c r="Z1" s="132" t="s">
        <v>117</v>
      </c>
      <c r="AA1" s="132" t="s">
        <v>118</v>
      </c>
      <c r="AB1" s="132" t="s">
        <v>119</v>
      </c>
      <c r="AC1" s="132" t="s">
        <v>120</v>
      </c>
      <c r="AD1" s="16" t="s">
        <v>126</v>
      </c>
      <c r="AE1" s="16" t="s">
        <v>128</v>
      </c>
    </row>
    <row r="2" spans="1:42" x14ac:dyDescent="0.25">
      <c r="A2" s="6" t="s">
        <v>34</v>
      </c>
      <c r="B2" s="506">
        <v>42738</v>
      </c>
      <c r="C2" s="4">
        <v>100</v>
      </c>
      <c r="D2" s="3">
        <v>22.35</v>
      </c>
      <c r="E2" s="3">
        <v>0</v>
      </c>
      <c r="F2" s="3">
        <f>C2*D2+E2</f>
        <v>2235</v>
      </c>
      <c r="G2" s="506">
        <v>42769</v>
      </c>
      <c r="H2" s="82">
        <v>100</v>
      </c>
      <c r="I2" s="44">
        <v>25.15</v>
      </c>
      <c r="J2" s="44">
        <v>0.05</v>
      </c>
      <c r="K2" s="44">
        <f>I2*H2-J2</f>
        <v>2514.9499999999998</v>
      </c>
      <c r="L2" s="4"/>
      <c r="M2" s="4"/>
      <c r="N2" s="4"/>
      <c r="O2" s="11" t="s">
        <v>57</v>
      </c>
      <c r="Q2">
        <f>C22-H22</f>
        <v>1350</v>
      </c>
      <c r="T2" s="462">
        <v>42568</v>
      </c>
      <c r="U2" s="127" t="s">
        <v>255</v>
      </c>
      <c r="V2" s="16"/>
      <c r="W2" s="141">
        <v>42768</v>
      </c>
      <c r="X2" s="142">
        <v>24.53</v>
      </c>
      <c r="Y2" s="142">
        <v>25.31</v>
      </c>
      <c r="Z2" s="10">
        <v>24.46</v>
      </c>
      <c r="AA2" s="10">
        <v>24.79</v>
      </c>
      <c r="AB2" s="95">
        <v>45445400</v>
      </c>
      <c r="AC2" s="10">
        <v>24.79</v>
      </c>
      <c r="AD2">
        <f>Y2-Z2</f>
        <v>0.84999999999999787</v>
      </c>
      <c r="AE2" s="138">
        <f>AC2/AC3-1</f>
        <v>1.6161616161616266E-3</v>
      </c>
    </row>
    <row r="3" spans="1:42" x14ac:dyDescent="0.25">
      <c r="A3" s="23" t="s">
        <v>71</v>
      </c>
      <c r="B3" s="30">
        <v>42738</v>
      </c>
      <c r="C3">
        <v>250</v>
      </c>
      <c r="D3">
        <v>22.35</v>
      </c>
      <c r="E3">
        <v>0</v>
      </c>
      <c r="F3" s="3">
        <f>C3*D3+E3</f>
        <v>5587.5</v>
      </c>
      <c r="G3" s="509"/>
      <c r="H3" s="185"/>
      <c r="I3" s="3"/>
      <c r="J3" s="3"/>
      <c r="K3" s="3"/>
      <c r="L3" s="4"/>
      <c r="M3" s="4"/>
      <c r="N3" s="4"/>
      <c r="O3" s="11" t="s">
        <v>58</v>
      </c>
      <c r="Q3" s="515">
        <f>(F22-K22)/Q2</f>
        <v>23.059799999999999</v>
      </c>
      <c r="T3" s="1">
        <v>42621</v>
      </c>
      <c r="U3" s="34" t="s">
        <v>275</v>
      </c>
      <c r="W3" s="133">
        <v>42767</v>
      </c>
      <c r="X3" s="10">
        <v>24.43</v>
      </c>
      <c r="Y3" s="10">
        <v>24.85</v>
      </c>
      <c r="Z3" s="10">
        <v>24.31</v>
      </c>
      <c r="AA3" s="10">
        <v>24.75</v>
      </c>
      <c r="AB3" s="95">
        <v>28679100</v>
      </c>
      <c r="AC3" s="10">
        <v>24.75</v>
      </c>
      <c r="AD3">
        <f t="shared" ref="AD3:AD66" si="0">Y3-Z3</f>
        <v>0.5400000000000027</v>
      </c>
      <c r="AE3" s="138">
        <f t="shared" ref="AE3:AE66" si="1">AC3/AC4-1</f>
        <v>2.6545002073828261E-2</v>
      </c>
      <c r="AL3" s="234"/>
      <c r="AO3" s="234"/>
    </row>
    <row r="4" spans="1:42" x14ac:dyDescent="0.25">
      <c r="B4" s="510">
        <v>42759</v>
      </c>
      <c r="C4" s="4">
        <v>200</v>
      </c>
      <c r="D4" s="3">
        <v>22.85</v>
      </c>
      <c r="E4" s="3">
        <v>0</v>
      </c>
      <c r="F4" s="3">
        <f>C4*D4+E4</f>
        <v>4570</v>
      </c>
      <c r="G4" s="509"/>
      <c r="H4" s="185"/>
      <c r="I4" s="3"/>
      <c r="J4" s="3"/>
      <c r="K4" s="3"/>
      <c r="L4" s="4"/>
      <c r="M4" s="4"/>
      <c r="N4" s="4"/>
      <c r="O4" s="11" t="s">
        <v>66</v>
      </c>
      <c r="Q4" s="201">
        <v>24.6</v>
      </c>
      <c r="R4" s="505">
        <v>-7.7000000000000002E-3</v>
      </c>
      <c r="T4" s="1">
        <v>42627</v>
      </c>
      <c r="U4" s="34" t="s">
        <v>275</v>
      </c>
      <c r="W4" s="133">
        <v>42766</v>
      </c>
      <c r="X4" s="10">
        <v>23.95</v>
      </c>
      <c r="Y4" s="10">
        <v>24.15</v>
      </c>
      <c r="Z4" s="10">
        <v>23.68</v>
      </c>
      <c r="AA4" s="10">
        <v>24.11</v>
      </c>
      <c r="AB4" s="95">
        <v>22667100</v>
      </c>
      <c r="AC4" s="10">
        <v>24.11</v>
      </c>
      <c r="AD4">
        <f t="shared" si="0"/>
        <v>0.46999999999999886</v>
      </c>
      <c r="AE4" s="138">
        <f t="shared" si="1"/>
        <v>-2.8949545078577055E-3</v>
      </c>
      <c r="AL4" s="234"/>
      <c r="AO4" s="234"/>
    </row>
    <row r="5" spans="1:42" x14ac:dyDescent="0.25">
      <c r="B5" s="510">
        <v>42760</v>
      </c>
      <c r="C5" s="4">
        <v>600</v>
      </c>
      <c r="D5" s="3">
        <v>23.38</v>
      </c>
      <c r="E5" s="3">
        <v>0</v>
      </c>
      <c r="F5" s="3">
        <f>C5*D5+E5</f>
        <v>14028</v>
      </c>
      <c r="G5" s="74"/>
      <c r="H5" s="4"/>
      <c r="I5" s="3"/>
      <c r="J5" s="3"/>
      <c r="K5" s="3"/>
      <c r="L5" s="4"/>
      <c r="M5" s="4"/>
      <c r="N5" s="4"/>
      <c r="O5" s="11" t="s">
        <v>67</v>
      </c>
      <c r="Q5" s="3">
        <f>Q4*Q2</f>
        <v>33210</v>
      </c>
      <c r="T5" t="s">
        <v>376</v>
      </c>
      <c r="W5" s="133">
        <v>42765</v>
      </c>
      <c r="X5" s="10">
        <v>23.82</v>
      </c>
      <c r="Y5" s="10">
        <v>24.24</v>
      </c>
      <c r="Z5" s="10">
        <v>23.43</v>
      </c>
      <c r="AA5" s="10">
        <v>24.18</v>
      </c>
      <c r="AB5" s="95">
        <v>30489500</v>
      </c>
      <c r="AC5" s="10">
        <v>24.18</v>
      </c>
      <c r="AD5">
        <f t="shared" si="0"/>
        <v>0.80999999999999872</v>
      </c>
      <c r="AE5" s="138">
        <f t="shared" si="1"/>
        <v>8.7609511889863434E-3</v>
      </c>
      <c r="AL5" s="234"/>
      <c r="AO5" s="234"/>
    </row>
    <row r="6" spans="1:42" x14ac:dyDescent="0.25">
      <c r="B6" s="510">
        <v>42765</v>
      </c>
      <c r="C6" s="4">
        <v>200</v>
      </c>
      <c r="D6" s="3">
        <v>23.78</v>
      </c>
      <c r="E6" s="3">
        <v>-0.5</v>
      </c>
      <c r="F6" s="3">
        <f>C6*D6+E6</f>
        <v>4755.5</v>
      </c>
      <c r="G6" s="74"/>
      <c r="H6" s="4"/>
      <c r="I6" s="3"/>
      <c r="J6" s="3"/>
      <c r="K6" s="3"/>
      <c r="L6" s="4"/>
      <c r="M6" s="4"/>
      <c r="N6" s="4"/>
      <c r="O6" s="11" t="s">
        <v>64</v>
      </c>
      <c r="Q6" s="2">
        <f>Q3*Q2</f>
        <v>31130.73</v>
      </c>
      <c r="W6" s="133">
        <v>42762</v>
      </c>
      <c r="X6" s="10">
        <v>23.53</v>
      </c>
      <c r="Y6" s="10">
        <v>24.1</v>
      </c>
      <c r="Z6" s="10">
        <v>23.45</v>
      </c>
      <c r="AA6" s="10">
        <v>23.97</v>
      </c>
      <c r="AB6" s="95">
        <v>18564400</v>
      </c>
      <c r="AC6" s="10">
        <v>23.97</v>
      </c>
      <c r="AD6">
        <f t="shared" si="0"/>
        <v>0.65000000000000213</v>
      </c>
      <c r="AE6" s="138">
        <f t="shared" si="1"/>
        <v>1.9132653061224358E-2</v>
      </c>
      <c r="AL6" s="234"/>
      <c r="AO6" s="234"/>
    </row>
    <row r="7" spans="1:42" x14ac:dyDescent="0.25">
      <c r="B7" s="510">
        <v>42769</v>
      </c>
      <c r="C7" s="7">
        <v>100</v>
      </c>
      <c r="D7" s="44">
        <v>24.7</v>
      </c>
      <c r="E7" s="44">
        <v>-0.32</v>
      </c>
      <c r="F7" s="44">
        <f>C7*D7+E7</f>
        <v>2469.6799999999998</v>
      </c>
      <c r="G7" s="74"/>
      <c r="H7" s="4"/>
      <c r="I7" s="3"/>
      <c r="J7" s="3"/>
      <c r="K7" s="3"/>
      <c r="L7" s="4"/>
      <c r="M7" s="4"/>
      <c r="N7" s="4"/>
      <c r="O7" s="11" t="s">
        <v>181</v>
      </c>
      <c r="Q7" s="2">
        <f>Q10+Q8</f>
        <v>14254.767000000091</v>
      </c>
      <c r="R7">
        <v>250</v>
      </c>
      <c r="W7" s="133">
        <v>42761</v>
      </c>
      <c r="X7" s="10">
        <v>23.8</v>
      </c>
      <c r="Y7" s="10">
        <v>23.99</v>
      </c>
      <c r="Z7" s="10">
        <v>23.29</v>
      </c>
      <c r="AA7" s="10">
        <v>23.52</v>
      </c>
      <c r="AB7" s="95">
        <v>19311300</v>
      </c>
      <c r="AC7" s="10">
        <v>23.52</v>
      </c>
      <c r="AD7">
        <f t="shared" si="0"/>
        <v>0.69999999999999929</v>
      </c>
      <c r="AE7" s="138">
        <f t="shared" si="1"/>
        <v>-1.6977928692699651E-3</v>
      </c>
    </row>
    <row r="8" spans="1:42" x14ac:dyDescent="0.25">
      <c r="G8" s="74"/>
      <c r="H8" s="4"/>
      <c r="I8" s="3"/>
      <c r="J8" s="3"/>
      <c r="K8" s="3"/>
      <c r="L8" s="4"/>
      <c r="M8" s="4"/>
      <c r="N8" s="4"/>
      <c r="O8" s="11" t="s">
        <v>184</v>
      </c>
      <c r="P8" s="34"/>
      <c r="Q8" s="2">
        <f>K22+M22-F22+Q2*Q4</f>
        <v>2079.2700000000004</v>
      </c>
      <c r="W8" s="133">
        <v>42760</v>
      </c>
      <c r="X8" s="10">
        <v>23.4</v>
      </c>
      <c r="Y8" s="10">
        <v>23.98</v>
      </c>
      <c r="Z8" s="10">
        <v>23.19</v>
      </c>
      <c r="AA8" s="10">
        <v>23.56</v>
      </c>
      <c r="AB8" s="95">
        <v>31611800</v>
      </c>
      <c r="AC8" s="10">
        <v>23.56</v>
      </c>
      <c r="AD8">
        <f t="shared" si="0"/>
        <v>0.78999999999999915</v>
      </c>
      <c r="AE8" s="138">
        <f t="shared" si="1"/>
        <v>3.1072210065645312E-2</v>
      </c>
      <c r="AL8" s="234"/>
      <c r="AO8" s="234"/>
      <c r="AP8" s="234"/>
    </row>
    <row r="9" spans="1:42" x14ac:dyDescent="0.25">
      <c r="B9" s="509"/>
      <c r="C9" s="4"/>
      <c r="D9" s="3"/>
      <c r="E9" s="3"/>
      <c r="F9" s="3"/>
      <c r="G9" s="164"/>
      <c r="H9" s="4"/>
      <c r="I9" s="3"/>
      <c r="J9" s="3"/>
      <c r="K9" s="3"/>
      <c r="L9" s="4"/>
      <c r="M9" s="4"/>
      <c r="N9" s="4"/>
      <c r="O9" s="11" t="s">
        <v>214</v>
      </c>
      <c r="Q9" s="138">
        <f>IF(Q2=0, 0, Q8/Q6)</f>
        <v>6.6791559337028086E-2</v>
      </c>
      <c r="W9" s="133">
        <v>42759</v>
      </c>
      <c r="X9" s="10">
        <v>22.27</v>
      </c>
      <c r="Y9" s="10">
        <v>23.09</v>
      </c>
      <c r="Z9" s="10">
        <v>22.26</v>
      </c>
      <c r="AA9" s="10">
        <v>22.85</v>
      </c>
      <c r="AB9" s="95">
        <v>29245300</v>
      </c>
      <c r="AC9" s="10">
        <v>22.85</v>
      </c>
      <c r="AD9">
        <f t="shared" si="0"/>
        <v>0.82999999999999829</v>
      </c>
      <c r="AE9" s="138">
        <f t="shared" si="1"/>
        <v>4.3855641845591542E-2</v>
      </c>
    </row>
    <row r="10" spans="1:42" x14ac:dyDescent="0.25">
      <c r="B10" s="509"/>
      <c r="C10" s="4"/>
      <c r="D10" s="3"/>
      <c r="E10" s="3"/>
      <c r="F10" s="3"/>
      <c r="G10" s="164"/>
      <c r="H10" s="4"/>
      <c r="I10" s="3"/>
      <c r="J10" s="3"/>
      <c r="K10" s="3"/>
      <c r="L10" s="3"/>
      <c r="M10" s="4"/>
      <c r="N10" s="4"/>
      <c r="O10" s="11" t="s">
        <v>213</v>
      </c>
      <c r="P10" s="34"/>
      <c r="Q10" s="2">
        <f>M322</f>
        <v>12175.49700000009</v>
      </c>
      <c r="T10" s="11"/>
      <c r="W10" s="133">
        <v>42758</v>
      </c>
      <c r="X10" s="10">
        <v>21.96</v>
      </c>
      <c r="Y10" s="10">
        <v>22.31</v>
      </c>
      <c r="Z10" s="10">
        <v>21.74</v>
      </c>
      <c r="AA10" s="10">
        <v>21.89</v>
      </c>
      <c r="AB10" s="95">
        <v>16059700</v>
      </c>
      <c r="AC10" s="10">
        <v>21.89</v>
      </c>
      <c r="AD10">
        <f t="shared" si="0"/>
        <v>0.57000000000000028</v>
      </c>
      <c r="AE10" s="138">
        <f t="shared" si="1"/>
        <v>-3.1876138433515333E-3</v>
      </c>
      <c r="AL10" s="234"/>
      <c r="AO10" s="234"/>
    </row>
    <row r="11" spans="1:42" x14ac:dyDescent="0.25">
      <c r="B11" s="509"/>
      <c r="C11" s="4"/>
      <c r="D11" s="3"/>
      <c r="E11" s="3"/>
      <c r="F11" s="3"/>
      <c r="G11" s="74"/>
      <c r="H11" s="4"/>
      <c r="I11" s="3"/>
      <c r="J11" s="3"/>
      <c r="K11" s="3"/>
      <c r="L11" s="4"/>
      <c r="M11" s="4"/>
      <c r="N11" s="4"/>
      <c r="O11" s="11" t="s">
        <v>178</v>
      </c>
      <c r="P11" s="34"/>
      <c r="Q11" s="138">
        <f>IF(U58="N/A (N/A)", 0, VALUE(TRIM(CLEAN(MID(U58, FIND("(", U58)+1, 5)))))</f>
        <v>0</v>
      </c>
      <c r="T11" s="1"/>
      <c r="W11" s="133">
        <v>42755</v>
      </c>
      <c r="X11" s="10">
        <v>21.9</v>
      </c>
      <c r="Y11" s="10">
        <v>22.33</v>
      </c>
      <c r="Z11" s="10">
        <v>21.89</v>
      </c>
      <c r="AA11" s="10">
        <v>21.96</v>
      </c>
      <c r="AB11" s="95">
        <v>19896500</v>
      </c>
      <c r="AC11" s="10">
        <v>21.96</v>
      </c>
      <c r="AD11">
        <f t="shared" si="0"/>
        <v>0.43999999999999773</v>
      </c>
      <c r="AE11" s="138">
        <f t="shared" si="1"/>
        <v>1.1515430677107252E-2</v>
      </c>
    </row>
    <row r="12" spans="1:42" x14ac:dyDescent="0.25">
      <c r="A12" s="2"/>
      <c r="B12" s="509"/>
      <c r="C12" s="4"/>
      <c r="D12" s="3"/>
      <c r="E12" s="3"/>
      <c r="F12" s="3"/>
      <c r="G12" s="74"/>
      <c r="H12" s="4"/>
      <c r="I12" s="3"/>
      <c r="J12" s="3"/>
      <c r="K12" s="3"/>
      <c r="L12" s="4"/>
      <c r="M12" s="4"/>
      <c r="N12" s="4"/>
      <c r="W12" s="133">
        <v>42754</v>
      </c>
      <c r="X12" s="10">
        <v>21.5</v>
      </c>
      <c r="Y12" s="10">
        <v>22.3</v>
      </c>
      <c r="Z12" s="10">
        <v>21.49</v>
      </c>
      <c r="AA12" s="10">
        <v>21.71</v>
      </c>
      <c r="AB12" s="95">
        <v>31235500</v>
      </c>
      <c r="AC12" s="10">
        <v>21.71</v>
      </c>
      <c r="AD12">
        <f t="shared" si="0"/>
        <v>0.81000000000000227</v>
      </c>
      <c r="AE12" s="138">
        <f t="shared" si="1"/>
        <v>-2.7329749103942591E-2</v>
      </c>
      <c r="AL12" s="234"/>
      <c r="AO12" s="234"/>
    </row>
    <row r="13" spans="1:42" x14ac:dyDescent="0.25">
      <c r="B13" s="509"/>
      <c r="C13" s="4"/>
      <c r="D13" s="3"/>
      <c r="E13" s="3"/>
      <c r="F13" s="3"/>
      <c r="G13" s="653"/>
      <c r="H13" s="4"/>
      <c r="I13" s="3"/>
      <c r="J13" s="3"/>
      <c r="K13" s="3"/>
      <c r="L13" s="4"/>
      <c r="M13" s="4"/>
      <c r="N13" s="4"/>
      <c r="T13" s="1"/>
      <c r="W13" s="133">
        <v>42753</v>
      </c>
      <c r="X13" s="10">
        <v>21.68</v>
      </c>
      <c r="Y13" s="10">
        <v>22.34</v>
      </c>
      <c r="Z13" s="10">
        <v>21.53</v>
      </c>
      <c r="AA13" s="10">
        <v>22.32</v>
      </c>
      <c r="AB13" s="95">
        <v>19415200</v>
      </c>
      <c r="AC13" s="10">
        <v>22.32</v>
      </c>
      <c r="AD13">
        <f t="shared" si="0"/>
        <v>0.80999999999999872</v>
      </c>
      <c r="AE13" s="138">
        <f t="shared" si="1"/>
        <v>2.6678932842686409E-2</v>
      </c>
    </row>
    <row r="14" spans="1:42" x14ac:dyDescent="0.25">
      <c r="B14" s="509"/>
      <c r="C14" s="4"/>
      <c r="D14" s="3"/>
      <c r="E14" s="3"/>
      <c r="F14" s="3"/>
      <c r="G14" s="653"/>
      <c r="H14" s="4"/>
      <c r="I14" s="3"/>
      <c r="J14" s="3"/>
      <c r="K14" s="3"/>
      <c r="L14" s="4"/>
      <c r="M14" s="4"/>
      <c r="N14" s="4"/>
      <c r="W14" s="133">
        <v>42752</v>
      </c>
      <c r="X14" s="10">
        <v>21.88</v>
      </c>
      <c r="Y14" s="10">
        <v>22.07</v>
      </c>
      <c r="Z14" s="10">
        <v>21.58</v>
      </c>
      <c r="AA14" s="10">
        <v>21.74</v>
      </c>
      <c r="AB14" s="95">
        <v>19884600</v>
      </c>
      <c r="AC14" s="10">
        <v>21.74</v>
      </c>
      <c r="AD14">
        <f t="shared" si="0"/>
        <v>0.49000000000000199</v>
      </c>
      <c r="AE14" s="138">
        <f t="shared" si="1"/>
        <v>-1.9837691614066788E-2</v>
      </c>
      <c r="AL14" s="234"/>
      <c r="AO14" s="234"/>
      <c r="AP14" s="234"/>
    </row>
    <row r="15" spans="1:42" x14ac:dyDescent="0.25">
      <c r="B15" s="509"/>
      <c r="C15" s="4"/>
      <c r="D15" s="3"/>
      <c r="E15" s="3"/>
      <c r="F15" s="3"/>
      <c r="G15" s="74"/>
      <c r="H15" s="4"/>
      <c r="I15" s="3"/>
      <c r="J15" s="3"/>
      <c r="K15" s="3"/>
      <c r="L15" s="4"/>
      <c r="M15" s="4"/>
      <c r="N15" s="4"/>
      <c r="W15" s="133">
        <v>42748</v>
      </c>
      <c r="X15" s="10">
        <v>22.27</v>
      </c>
      <c r="Y15" s="10">
        <v>22.31</v>
      </c>
      <c r="Z15" s="10">
        <v>21.99</v>
      </c>
      <c r="AA15" s="10">
        <v>22.18</v>
      </c>
      <c r="AB15" s="95">
        <v>14017800</v>
      </c>
      <c r="AC15" s="10">
        <v>22.18</v>
      </c>
      <c r="AD15">
        <f t="shared" si="0"/>
        <v>0.32000000000000028</v>
      </c>
      <c r="AE15" s="138">
        <f t="shared" si="1"/>
        <v>-5.8269834155086908E-3</v>
      </c>
    </row>
    <row r="16" spans="1:42" x14ac:dyDescent="0.25">
      <c r="B16" s="509"/>
      <c r="C16" s="4"/>
      <c r="D16" s="3"/>
      <c r="E16" s="3"/>
      <c r="F16" s="3"/>
      <c r="G16" s="74"/>
      <c r="H16" s="4"/>
      <c r="I16" s="3"/>
      <c r="J16" s="3"/>
      <c r="K16" s="3"/>
      <c r="L16" s="4"/>
      <c r="M16" s="4"/>
      <c r="N16" s="4"/>
      <c r="O16" s="2"/>
      <c r="P16" s="2"/>
      <c r="Q16" s="2"/>
      <c r="T16" s="69"/>
      <c r="W16" s="133">
        <v>42747</v>
      </c>
      <c r="X16" s="10">
        <v>22.46</v>
      </c>
      <c r="Y16" s="10">
        <v>22.48</v>
      </c>
      <c r="Z16" s="10">
        <v>21.7</v>
      </c>
      <c r="AA16" s="10">
        <v>22.31</v>
      </c>
      <c r="AB16" s="95">
        <v>27522700</v>
      </c>
      <c r="AC16" s="10">
        <v>22.31</v>
      </c>
      <c r="AD16">
        <f t="shared" si="0"/>
        <v>0.78000000000000114</v>
      </c>
      <c r="AE16" s="138">
        <f t="shared" si="1"/>
        <v>-2.1061869240895148E-2</v>
      </c>
    </row>
    <row r="17" spans="1:41" x14ac:dyDescent="0.25">
      <c r="B17" s="509"/>
      <c r="C17" s="4"/>
      <c r="D17" s="3"/>
      <c r="E17" s="3"/>
      <c r="F17" s="3"/>
      <c r="G17" s="74"/>
      <c r="H17" s="4"/>
      <c r="I17" s="3"/>
      <c r="J17" s="3"/>
      <c r="K17" s="3"/>
      <c r="L17" s="4"/>
      <c r="M17" s="4"/>
      <c r="N17" s="4"/>
      <c r="O17" s="2"/>
      <c r="P17" s="2"/>
      <c r="Q17" s="2"/>
      <c r="W17" s="133">
        <v>42746</v>
      </c>
      <c r="X17" s="10">
        <v>22.61</v>
      </c>
      <c r="Y17" s="10">
        <v>22.88</v>
      </c>
      <c r="Z17" s="10">
        <v>22.56</v>
      </c>
      <c r="AA17" s="10">
        <v>22.79</v>
      </c>
      <c r="AB17" s="95">
        <v>20791800</v>
      </c>
      <c r="AC17" s="10">
        <v>22.79</v>
      </c>
      <c r="AD17">
        <f t="shared" si="0"/>
        <v>0.32000000000000028</v>
      </c>
      <c r="AE17" s="138">
        <f t="shared" si="1"/>
        <v>1.3790035587188498E-2</v>
      </c>
    </row>
    <row r="18" spans="1:41" x14ac:dyDescent="0.25">
      <c r="B18" s="509"/>
      <c r="C18" s="4"/>
      <c r="D18" s="3"/>
      <c r="E18" s="3"/>
      <c r="F18" s="3"/>
      <c r="G18" s="74"/>
      <c r="H18" s="4"/>
      <c r="I18" s="3"/>
      <c r="J18" s="3"/>
      <c r="K18" s="3"/>
      <c r="L18" s="4"/>
      <c r="M18" s="4"/>
      <c r="N18" s="4"/>
      <c r="O18" s="2"/>
      <c r="P18" s="2"/>
      <c r="Q18" s="2"/>
      <c r="W18" s="133">
        <v>42745</v>
      </c>
      <c r="X18" s="10">
        <v>22.36</v>
      </c>
      <c r="Y18" s="10">
        <v>22.69</v>
      </c>
      <c r="Z18" s="10">
        <v>22.3</v>
      </c>
      <c r="AA18" s="10">
        <v>22.48</v>
      </c>
      <c r="AB18" s="95">
        <v>20600000</v>
      </c>
      <c r="AC18" s="10">
        <v>22.48</v>
      </c>
      <c r="AD18">
        <f t="shared" si="0"/>
        <v>0.39000000000000057</v>
      </c>
      <c r="AE18" s="138">
        <f t="shared" si="1"/>
        <v>6.2667860340197556E-3</v>
      </c>
      <c r="AL18" s="234"/>
      <c r="AO18" s="234"/>
    </row>
    <row r="19" spans="1:41" x14ac:dyDescent="0.25">
      <c r="B19" s="509"/>
      <c r="C19" s="4"/>
      <c r="D19" s="3"/>
      <c r="E19" s="3"/>
      <c r="F19" s="3"/>
      <c r="G19" s="74"/>
      <c r="H19" s="4"/>
      <c r="I19" s="3"/>
      <c r="J19" s="3"/>
      <c r="K19" s="3"/>
      <c r="L19" s="4"/>
      <c r="M19" s="4"/>
      <c r="N19" s="4"/>
      <c r="O19" s="2"/>
      <c r="P19" s="2"/>
      <c r="Q19" s="2"/>
      <c r="W19" s="133">
        <v>42744</v>
      </c>
      <c r="X19" s="10">
        <v>21.94</v>
      </c>
      <c r="Y19" s="10">
        <v>22.55</v>
      </c>
      <c r="Z19" s="10">
        <v>21.94</v>
      </c>
      <c r="AA19" s="10">
        <v>22.34</v>
      </c>
      <c r="AB19" s="95">
        <v>21524300</v>
      </c>
      <c r="AC19" s="10">
        <v>22.34</v>
      </c>
      <c r="AD19">
        <f t="shared" si="0"/>
        <v>0.60999999999999943</v>
      </c>
      <c r="AE19" s="138">
        <f t="shared" si="1"/>
        <v>1.3611615245009201E-2</v>
      </c>
    </row>
    <row r="20" spans="1:41" x14ac:dyDescent="0.25">
      <c r="B20" s="30"/>
      <c r="N20" s="4"/>
      <c r="O20" s="2"/>
      <c r="P20" s="2"/>
      <c r="Q20" s="2"/>
      <c r="W20" s="133">
        <v>42741</v>
      </c>
      <c r="X20" s="10">
        <v>22.27</v>
      </c>
      <c r="Y20" s="10">
        <v>22.28</v>
      </c>
      <c r="Z20" s="10">
        <v>21.98</v>
      </c>
      <c r="AA20" s="10">
        <v>22.04</v>
      </c>
      <c r="AB20" s="95">
        <v>17762000</v>
      </c>
      <c r="AC20" s="10">
        <v>22.04</v>
      </c>
      <c r="AD20">
        <f t="shared" si="0"/>
        <v>0.30000000000000071</v>
      </c>
      <c r="AE20" s="138">
        <f t="shared" si="1"/>
        <v>-3.1659882406150919E-3</v>
      </c>
    </row>
    <row r="21" spans="1:41" x14ac:dyDescent="0.25">
      <c r="B21" s="30"/>
      <c r="N21" s="4"/>
      <c r="O21" s="2"/>
      <c r="P21" s="2"/>
      <c r="Q21" s="2"/>
      <c r="W21" s="133">
        <v>42740</v>
      </c>
      <c r="X21" s="10">
        <v>22.4</v>
      </c>
      <c r="Y21" s="10">
        <v>22.57</v>
      </c>
      <c r="Z21" s="10">
        <v>21.96</v>
      </c>
      <c r="AA21" s="10">
        <v>22.11</v>
      </c>
      <c r="AB21" s="95">
        <v>19723400</v>
      </c>
      <c r="AC21" s="10">
        <v>22.11</v>
      </c>
      <c r="AD21">
        <f t="shared" si="0"/>
        <v>0.60999999999999943</v>
      </c>
      <c r="AE21" s="138">
        <f t="shared" si="1"/>
        <v>-1.1180679785330994E-2</v>
      </c>
    </row>
    <row r="22" spans="1:41" x14ac:dyDescent="0.25">
      <c r="A22" s="22" t="s">
        <v>81</v>
      </c>
      <c r="B22" s="12"/>
      <c r="C22" s="12">
        <f>SUM(C2:C21)</f>
        <v>1450</v>
      </c>
      <c r="D22" s="12"/>
      <c r="E22" s="12"/>
      <c r="F22" s="13">
        <f>SUM(F2:F21)</f>
        <v>33645.68</v>
      </c>
      <c r="G22" s="12"/>
      <c r="H22" s="12">
        <f>SUM(H2:H21)</f>
        <v>100</v>
      </c>
      <c r="I22" s="13"/>
      <c r="J22" s="13"/>
      <c r="K22" s="13">
        <f>SUM(K2:K21)</f>
        <v>2514.9499999999998</v>
      </c>
      <c r="L22" s="13"/>
      <c r="M22" s="13">
        <f>SUM(M2:M21)</f>
        <v>0</v>
      </c>
      <c r="N22" s="4"/>
      <c r="O22" s="2"/>
      <c r="P22" s="2"/>
      <c r="Q22" s="2"/>
      <c r="W22" s="133">
        <v>42739</v>
      </c>
      <c r="X22" s="10">
        <v>22.67</v>
      </c>
      <c r="Y22" s="10">
        <v>22.84</v>
      </c>
      <c r="Z22" s="10">
        <v>22.25</v>
      </c>
      <c r="AA22" s="10">
        <v>22.36</v>
      </c>
      <c r="AB22" s="95">
        <v>20326700</v>
      </c>
      <c r="AC22" s="10">
        <v>22.36</v>
      </c>
      <c r="AD22">
        <f t="shared" si="0"/>
        <v>0.58999999999999986</v>
      </c>
      <c r="AE22" s="138">
        <f t="shared" si="1"/>
        <v>-8.4257206208426805E-3</v>
      </c>
    </row>
    <row r="23" spans="1:41" ht="15.75" thickBot="1" x14ac:dyDescent="0.3">
      <c r="A23" s="356" t="s">
        <v>198</v>
      </c>
      <c r="B23" s="357"/>
      <c r="C23" s="358">
        <f>SumByColor($A$23,C2:C21)</f>
        <v>100</v>
      </c>
      <c r="D23" s="358"/>
      <c r="E23" s="358"/>
      <c r="F23" s="359">
        <f>SumByColor($A$23,F2:F21)</f>
        <v>2470</v>
      </c>
      <c r="G23" s="358"/>
      <c r="H23" s="358">
        <f>SumByColor($A$23,H2:H21)</f>
        <v>100</v>
      </c>
      <c r="I23" s="358"/>
      <c r="J23" s="358"/>
      <c r="K23" s="359">
        <f>SumByColor($A$23,K2:K21)</f>
        <v>2515</v>
      </c>
      <c r="L23" s="358"/>
      <c r="M23" s="359">
        <f>SumByColor($A$23,M2:M21)</f>
        <v>0</v>
      </c>
      <c r="N23" s="4"/>
      <c r="O23" s="2"/>
      <c r="P23" s="2"/>
      <c r="Q23" s="2"/>
      <c r="W23" s="133">
        <v>42738</v>
      </c>
      <c r="X23" s="10">
        <v>22.07</v>
      </c>
      <c r="Y23" s="10">
        <v>22.74</v>
      </c>
      <c r="Z23" s="10">
        <v>22.05</v>
      </c>
      <c r="AA23" s="10">
        <v>22.55</v>
      </c>
      <c r="AB23" s="95">
        <v>24908600</v>
      </c>
      <c r="AC23" s="10">
        <v>22.55</v>
      </c>
      <c r="AD23">
        <f t="shared" si="0"/>
        <v>0.68999999999999773</v>
      </c>
      <c r="AE23" s="138">
        <f t="shared" si="1"/>
        <v>2.8740875912408814E-2</v>
      </c>
    </row>
    <row r="24" spans="1:41" x14ac:dyDescent="0.25">
      <c r="N24" s="4"/>
      <c r="O24" s="2"/>
      <c r="P24" s="2"/>
      <c r="Q24" s="2"/>
      <c r="W24" s="133">
        <v>42734</v>
      </c>
      <c r="X24" s="10">
        <v>22.35</v>
      </c>
      <c r="Y24" s="10">
        <v>22.4</v>
      </c>
      <c r="Z24" s="10">
        <v>21.75</v>
      </c>
      <c r="AA24" s="10">
        <v>21.92</v>
      </c>
      <c r="AB24" s="95">
        <v>20250400</v>
      </c>
      <c r="AC24" s="10">
        <v>21.92</v>
      </c>
      <c r="AD24">
        <f t="shared" si="0"/>
        <v>0.64999999999999858</v>
      </c>
      <c r="AE24" s="138">
        <f t="shared" si="1"/>
        <v>-1.5716210148181364E-2</v>
      </c>
    </row>
    <row r="25" spans="1:41" x14ac:dyDescent="0.25">
      <c r="B25" s="509"/>
      <c r="C25" s="4"/>
      <c r="D25" s="3"/>
      <c r="E25" s="3"/>
      <c r="F25" s="3"/>
      <c r="G25" s="74"/>
      <c r="H25" s="4"/>
      <c r="I25" s="3"/>
      <c r="J25" s="3"/>
      <c r="K25" s="3"/>
      <c r="L25" s="4"/>
      <c r="M25" s="4"/>
      <c r="N25" s="4"/>
      <c r="O25" s="2"/>
      <c r="P25" s="2"/>
      <c r="Q25" s="2"/>
      <c r="W25" s="133">
        <v>42733</v>
      </c>
      <c r="X25" s="10">
        <v>22.58</v>
      </c>
      <c r="Y25" s="10">
        <v>22.8</v>
      </c>
      <c r="Z25" s="10">
        <v>22.15</v>
      </c>
      <c r="AA25" s="10">
        <v>22.27</v>
      </c>
      <c r="AB25" s="95">
        <v>19794500</v>
      </c>
      <c r="AC25" s="10">
        <v>22.27</v>
      </c>
      <c r="AD25">
        <f t="shared" si="0"/>
        <v>0.65000000000000213</v>
      </c>
      <c r="AE25" s="138">
        <f t="shared" si="1"/>
        <v>-2.2388059701492602E-2</v>
      </c>
    </row>
    <row r="26" spans="1:41" x14ac:dyDescent="0.25">
      <c r="B26" s="509"/>
      <c r="C26" s="4"/>
      <c r="D26" s="3"/>
      <c r="E26" s="3"/>
      <c r="F26" s="3"/>
      <c r="G26" s="74"/>
      <c r="H26" s="4"/>
      <c r="I26" s="3"/>
      <c r="J26" s="3"/>
      <c r="K26" s="3"/>
      <c r="L26" s="4"/>
      <c r="M26" s="4"/>
      <c r="N26" s="4"/>
      <c r="O26" s="2"/>
      <c r="P26" s="2"/>
      <c r="Q26" s="2"/>
      <c r="W26" s="133">
        <v>42732</v>
      </c>
      <c r="X26" s="10">
        <v>23.4</v>
      </c>
      <c r="Y26" s="10">
        <v>23.41</v>
      </c>
      <c r="Z26" s="10">
        <v>22.76</v>
      </c>
      <c r="AA26" s="10">
        <v>22.78</v>
      </c>
      <c r="AB26" s="95">
        <v>23960700</v>
      </c>
      <c r="AC26" s="10">
        <v>22.78</v>
      </c>
      <c r="AD26">
        <f t="shared" si="0"/>
        <v>0.64999999999999858</v>
      </c>
      <c r="AE26" s="138">
        <f t="shared" si="1"/>
        <v>-2.2317596566523545E-2</v>
      </c>
    </row>
    <row r="27" spans="1:41" x14ac:dyDescent="0.25">
      <c r="B27" s="509"/>
      <c r="C27" s="4"/>
      <c r="D27" s="3"/>
      <c r="E27" s="3"/>
      <c r="F27" s="3"/>
      <c r="G27" s="74"/>
      <c r="H27" s="185"/>
      <c r="I27" s="3"/>
      <c r="J27" s="3"/>
      <c r="K27" s="3"/>
      <c r="L27" s="4"/>
      <c r="M27" s="4"/>
      <c r="N27" s="4"/>
      <c r="O27" s="2"/>
      <c r="P27" s="2"/>
      <c r="Q27" s="2"/>
      <c r="W27" s="133">
        <v>42731</v>
      </c>
      <c r="X27" s="10">
        <v>23.35</v>
      </c>
      <c r="Y27" s="10">
        <v>23.64</v>
      </c>
      <c r="Z27" s="10">
        <v>23.21</v>
      </c>
      <c r="AA27" s="10">
        <v>23.3</v>
      </c>
      <c r="AB27" s="95">
        <v>24169500</v>
      </c>
      <c r="AC27" s="10">
        <v>23.3</v>
      </c>
      <c r="AD27">
        <f t="shared" si="0"/>
        <v>0.42999999999999972</v>
      </c>
      <c r="AE27" s="138">
        <f t="shared" si="1"/>
        <v>1.7196904557179593E-3</v>
      </c>
    </row>
    <row r="28" spans="1:41" x14ac:dyDescent="0.25">
      <c r="B28" s="509"/>
      <c r="C28" s="4"/>
      <c r="D28" s="3"/>
      <c r="E28" s="3"/>
      <c r="F28" s="3"/>
      <c r="G28" s="74"/>
      <c r="H28" s="185"/>
      <c r="I28" s="3"/>
      <c r="J28" s="3"/>
      <c r="K28" s="3"/>
      <c r="L28" s="4"/>
      <c r="M28" s="4"/>
      <c r="N28" s="4"/>
      <c r="O28" s="2"/>
      <c r="P28" s="2"/>
      <c r="Q28" s="2"/>
      <c r="W28" s="133">
        <v>42727</v>
      </c>
      <c r="X28" s="10">
        <v>23.07</v>
      </c>
      <c r="Y28" s="10">
        <v>23.49</v>
      </c>
      <c r="Z28" s="10">
        <v>23.06</v>
      </c>
      <c r="AA28" s="10">
        <v>23.26</v>
      </c>
      <c r="AB28" s="95">
        <v>27717300</v>
      </c>
      <c r="AC28" s="10">
        <v>23.26</v>
      </c>
      <c r="AD28">
        <f t="shared" si="0"/>
        <v>0.42999999999999972</v>
      </c>
      <c r="AE28" s="138">
        <f t="shared" si="1"/>
        <v>3.0185424752049439E-3</v>
      </c>
    </row>
    <row r="29" spans="1:41" x14ac:dyDescent="0.25">
      <c r="B29" s="191" t="s">
        <v>114</v>
      </c>
      <c r="C29" s="191" t="s">
        <v>147</v>
      </c>
      <c r="D29" s="192" t="s">
        <v>146</v>
      </c>
      <c r="E29" s="194" t="s">
        <v>148</v>
      </c>
      <c r="F29" s="195" t="s">
        <v>65</v>
      </c>
      <c r="G29" s="229" t="s">
        <v>152</v>
      </c>
      <c r="H29" s="195" t="s">
        <v>88</v>
      </c>
      <c r="I29" s="229" t="s">
        <v>155</v>
      </c>
      <c r="J29" s="229" t="s">
        <v>310</v>
      </c>
      <c r="K29" s="3"/>
      <c r="L29" s="4"/>
      <c r="M29" s="4"/>
      <c r="N29" s="4"/>
      <c r="W29" s="133">
        <v>42726</v>
      </c>
      <c r="X29" s="10">
        <v>22.91</v>
      </c>
      <c r="Y29" s="10">
        <v>23.49</v>
      </c>
      <c r="Z29" s="10">
        <v>22.77</v>
      </c>
      <c r="AA29" s="10">
        <v>23.19</v>
      </c>
      <c r="AB29" s="95">
        <v>85619500</v>
      </c>
      <c r="AC29" s="10">
        <v>23.19</v>
      </c>
      <c r="AD29">
        <f t="shared" si="0"/>
        <v>0.71999999999999886</v>
      </c>
      <c r="AE29" s="138">
        <f t="shared" si="1"/>
        <v>0.12682215743440239</v>
      </c>
    </row>
    <row r="30" spans="1:41" x14ac:dyDescent="0.25">
      <c r="A30" s="381" t="s">
        <v>432</v>
      </c>
      <c r="B30" s="380">
        <v>42754</v>
      </c>
      <c r="C30" s="381">
        <v>1550</v>
      </c>
      <c r="D30" s="386">
        <v>20.207419000000002</v>
      </c>
      <c r="E30" s="382">
        <v>21.71</v>
      </c>
      <c r="F30" s="382">
        <f t="shared" ref="F30" si="2">-C30*(D30-E30)</f>
        <v>2329.0005499999988</v>
      </c>
      <c r="G30" s="382">
        <f t="shared" ref="G30" si="3">IF(C30=0, 0,D30*C30)</f>
        <v>31321.499450000003</v>
      </c>
      <c r="H30" s="384">
        <f t="shared" ref="H30" si="4">IF(C30=0, D30, (E30-D30)/D30)</f>
        <v>7.4357888060815641E-2</v>
      </c>
      <c r="I30" s="382"/>
      <c r="J30" s="382"/>
      <c r="K30" s="3"/>
      <c r="L30" s="4"/>
      <c r="M30" s="4"/>
      <c r="N30" s="4"/>
      <c r="W30" s="133">
        <v>42725</v>
      </c>
      <c r="X30" s="10">
        <v>20.75</v>
      </c>
      <c r="Y30" s="10">
        <v>20.83</v>
      </c>
      <c r="Z30" s="10">
        <v>20.34</v>
      </c>
      <c r="AA30" s="10">
        <v>20.58</v>
      </c>
      <c r="AB30" s="95">
        <v>29218400</v>
      </c>
      <c r="AC30" s="10">
        <v>20.58</v>
      </c>
      <c r="AD30">
        <f t="shared" si="0"/>
        <v>0.48999999999999844</v>
      </c>
      <c r="AE30" s="138">
        <f t="shared" si="1"/>
        <v>-3.3898305084746339E-3</v>
      </c>
    </row>
    <row r="31" spans="1:41" x14ac:dyDescent="0.25">
      <c r="A31" s="381" t="s">
        <v>440</v>
      </c>
      <c r="B31" s="380">
        <v>42759</v>
      </c>
      <c r="C31" s="381">
        <v>1350</v>
      </c>
      <c r="D31" s="386">
        <v>19.798221999999999</v>
      </c>
      <c r="E31" s="382">
        <v>22.995000000000001</v>
      </c>
      <c r="F31" s="382">
        <f t="shared" ref="F31" si="5">-C31*(D31-E31)</f>
        <v>4315.650300000003</v>
      </c>
      <c r="G31" s="382">
        <f t="shared" ref="G31" si="6">IF(C31=0, 0,D31*C31)</f>
        <v>26727.599699999999</v>
      </c>
      <c r="H31" s="384">
        <f t="shared" ref="H31" si="7">IF(C31=0, D31, (E31-D31)/D31)</f>
        <v>0.16146793383769523</v>
      </c>
      <c r="I31" s="382"/>
      <c r="J31" s="382"/>
      <c r="K31" s="3"/>
      <c r="L31" s="4"/>
      <c r="M31" s="4"/>
      <c r="N31" s="4"/>
      <c r="W31" s="133">
        <v>42724</v>
      </c>
      <c r="X31" s="10">
        <v>20.73</v>
      </c>
      <c r="Y31" s="10">
        <v>20.8</v>
      </c>
      <c r="Z31" s="10">
        <v>20.47</v>
      </c>
      <c r="AA31" s="10">
        <v>20.65</v>
      </c>
      <c r="AB31" s="95">
        <v>22931800</v>
      </c>
      <c r="AC31" s="10">
        <v>20.65</v>
      </c>
      <c r="AD31">
        <f t="shared" si="0"/>
        <v>0.33000000000000185</v>
      </c>
      <c r="AE31" s="138">
        <f t="shared" si="1"/>
        <v>1.4742014742014531E-2</v>
      </c>
    </row>
    <row r="32" spans="1:41" x14ac:dyDescent="0.25">
      <c r="A32" s="381" t="s">
        <v>441</v>
      </c>
      <c r="B32" s="380">
        <v>42759</v>
      </c>
      <c r="C32" s="381">
        <v>1550</v>
      </c>
      <c r="D32" s="386">
        <v>20.192</v>
      </c>
      <c r="E32" s="382">
        <v>22.86</v>
      </c>
      <c r="F32" s="382">
        <f t="shared" ref="F32" si="8">-C32*(D32-E32)</f>
        <v>4135.3999999999987</v>
      </c>
      <c r="G32" s="382">
        <f t="shared" ref="G32" si="9">IF(C32=0, 0,D32*C32)</f>
        <v>31297.599999999999</v>
      </c>
      <c r="H32" s="384">
        <f t="shared" ref="H32" si="10">IF(C32=0, D32, (E32-D32)/D32)</f>
        <v>0.13213153724247223</v>
      </c>
      <c r="I32" s="382"/>
      <c r="J32" s="382"/>
      <c r="K32" s="3"/>
      <c r="L32" s="4"/>
      <c r="M32" s="4"/>
      <c r="N32" s="4"/>
      <c r="W32" s="133">
        <v>42723</v>
      </c>
      <c r="X32" s="10">
        <v>20.43</v>
      </c>
      <c r="Y32" s="10">
        <v>20.7</v>
      </c>
      <c r="Z32" s="10">
        <v>20.190000000000001</v>
      </c>
      <c r="AA32" s="10">
        <v>20.350000000000001</v>
      </c>
      <c r="AB32" s="95">
        <v>23512100</v>
      </c>
      <c r="AC32" s="10">
        <v>20.350000000000001</v>
      </c>
      <c r="AD32">
        <f t="shared" si="0"/>
        <v>0.50999999999999801</v>
      </c>
      <c r="AE32" s="138">
        <f t="shared" si="1"/>
        <v>3.9467192895905612E-3</v>
      </c>
    </row>
    <row r="33" spans="1:41" x14ac:dyDescent="0.25">
      <c r="A33" s="381"/>
      <c r="B33" s="380">
        <v>42760</v>
      </c>
      <c r="C33" s="381">
        <v>950</v>
      </c>
      <c r="D33" s="386">
        <v>17.926220000000001</v>
      </c>
      <c r="E33" s="382">
        <v>23.78</v>
      </c>
      <c r="F33" s="382">
        <f t="shared" ref="F33:F36" si="11">-C33*(D33-E33)</f>
        <v>5561.0910000000003</v>
      </c>
      <c r="G33" s="382">
        <f t="shared" ref="G33:G36" si="12">IF(C33=0, 0,D33*C33)</f>
        <v>17029.909</v>
      </c>
      <c r="H33" s="384">
        <f t="shared" ref="H33:H36" si="13">IF(C33=0, D33, (E33-D33)/D33)</f>
        <v>0.32654848596078817</v>
      </c>
      <c r="I33" s="382"/>
      <c r="J33" s="382"/>
      <c r="K33" s="3"/>
      <c r="L33" s="4"/>
      <c r="M33" s="4"/>
      <c r="N33" s="4"/>
      <c r="W33" s="133">
        <v>42720</v>
      </c>
      <c r="X33" s="10">
        <v>20.53</v>
      </c>
      <c r="Y33" s="10">
        <v>21</v>
      </c>
      <c r="Z33" s="10">
        <v>20.190000000000001</v>
      </c>
      <c r="AA33" s="10">
        <v>20.27</v>
      </c>
      <c r="AB33" s="95">
        <v>36161200</v>
      </c>
      <c r="AC33" s="10">
        <v>20.27</v>
      </c>
      <c r="AD33">
        <f t="shared" si="0"/>
        <v>0.80999999999999872</v>
      </c>
      <c r="AE33" s="138">
        <f t="shared" si="1"/>
        <v>-9.8570724494817519E-4</v>
      </c>
    </row>
    <row r="34" spans="1:41" x14ac:dyDescent="0.25">
      <c r="A34" s="381" t="s">
        <v>445</v>
      </c>
      <c r="B34" s="380">
        <v>42760</v>
      </c>
      <c r="C34" s="381">
        <v>1550</v>
      </c>
      <c r="D34" s="386">
        <v>20.03736</v>
      </c>
      <c r="E34" s="382">
        <v>23.38</v>
      </c>
      <c r="F34" s="382">
        <f t="shared" si="11"/>
        <v>5181.0919999999987</v>
      </c>
      <c r="G34" s="382">
        <f t="shared" si="12"/>
        <v>31057.907999999999</v>
      </c>
      <c r="H34" s="384">
        <f t="shared" si="13"/>
        <v>0.16682037953103598</v>
      </c>
      <c r="I34" s="382">
        <v>20</v>
      </c>
      <c r="J34" s="382"/>
      <c r="K34" s="3"/>
      <c r="L34" s="4"/>
      <c r="M34" s="4"/>
      <c r="N34" s="4"/>
      <c r="W34" s="133">
        <v>42719</v>
      </c>
      <c r="X34" s="10">
        <v>20.100000000000001</v>
      </c>
      <c r="Y34" s="10">
        <v>20.5</v>
      </c>
      <c r="Z34" s="10">
        <v>19.98</v>
      </c>
      <c r="AA34" s="10">
        <v>20.29</v>
      </c>
      <c r="AB34" s="95">
        <v>19438900</v>
      </c>
      <c r="AC34" s="10">
        <v>20.29</v>
      </c>
      <c r="AD34">
        <f t="shared" si="0"/>
        <v>0.51999999999999957</v>
      </c>
      <c r="AE34" s="138">
        <f t="shared" si="1"/>
        <v>1.3486513486513418E-2</v>
      </c>
    </row>
    <row r="35" spans="1:41" x14ac:dyDescent="0.25">
      <c r="A35" t="s">
        <v>486</v>
      </c>
      <c r="B35" s="193">
        <v>42765</v>
      </c>
      <c r="C35" s="10">
        <v>1350</v>
      </c>
      <c r="D35" s="200">
        <v>23.093333000000001</v>
      </c>
      <c r="E35" s="40">
        <v>24.18</v>
      </c>
      <c r="F35" s="40">
        <f t="shared" si="11"/>
        <v>1467.000449999998</v>
      </c>
      <c r="G35" s="40">
        <f t="shared" si="12"/>
        <v>31175.99955</v>
      </c>
      <c r="H35" s="232">
        <f t="shared" si="13"/>
        <v>4.7055442365118903E-2</v>
      </c>
      <c r="I35" s="40"/>
      <c r="J35" s="40"/>
      <c r="K35" s="3"/>
      <c r="L35" s="4"/>
      <c r="M35" s="4"/>
      <c r="N35" s="4"/>
      <c r="W35" s="133">
        <v>42718</v>
      </c>
      <c r="X35" s="10">
        <v>19.93</v>
      </c>
      <c r="Y35" s="10">
        <v>20.329999999999998</v>
      </c>
      <c r="Z35" s="10">
        <v>19.78</v>
      </c>
      <c r="AA35" s="10">
        <v>20.02</v>
      </c>
      <c r="AB35" s="95">
        <v>19352100</v>
      </c>
      <c r="AC35" s="10">
        <v>20.02</v>
      </c>
      <c r="AD35">
        <f t="shared" si="0"/>
        <v>0.54999999999999716</v>
      </c>
      <c r="AE35" s="138">
        <f t="shared" si="1"/>
        <v>-5.464480874316946E-3</v>
      </c>
    </row>
    <row r="36" spans="1:41" x14ac:dyDescent="0.25">
      <c r="A36" s="4" t="s">
        <v>689</v>
      </c>
      <c r="B36" s="193">
        <v>42769</v>
      </c>
      <c r="C36" s="10">
        <v>1350</v>
      </c>
      <c r="D36" s="200">
        <v>23.059799999999999</v>
      </c>
      <c r="E36" s="40">
        <v>24.6</v>
      </c>
      <c r="F36" s="40">
        <f t="shared" si="11"/>
        <v>2079.2700000000032</v>
      </c>
      <c r="G36" s="40">
        <f t="shared" si="12"/>
        <v>31130.73</v>
      </c>
      <c r="H36" s="232">
        <f t="shared" si="13"/>
        <v>6.679155933702817E-2</v>
      </c>
      <c r="I36" s="40"/>
      <c r="J36" s="40"/>
      <c r="K36" s="3"/>
      <c r="L36" s="4"/>
      <c r="M36" s="4"/>
      <c r="N36" s="4"/>
      <c r="W36" s="133">
        <v>42717</v>
      </c>
      <c r="X36" s="10">
        <v>20.14</v>
      </c>
      <c r="Y36" s="10">
        <v>20.47</v>
      </c>
      <c r="Z36" s="10">
        <v>19.8</v>
      </c>
      <c r="AA36" s="10">
        <v>20.13</v>
      </c>
      <c r="AB36" s="95">
        <v>26150400</v>
      </c>
      <c r="AC36" s="10">
        <v>20.13</v>
      </c>
      <c r="AD36">
        <f t="shared" si="0"/>
        <v>0.66999999999999815</v>
      </c>
      <c r="AE36" s="138">
        <f t="shared" si="1"/>
        <v>5.494505494505475E-3</v>
      </c>
      <c r="AL36" s="234"/>
    </row>
    <row r="37" spans="1:41" x14ac:dyDescent="0.25">
      <c r="B37" s="193"/>
      <c r="C37" s="10"/>
      <c r="D37" s="200"/>
      <c r="E37" s="40"/>
      <c r="F37" s="40"/>
      <c r="G37" s="40"/>
      <c r="H37" s="232"/>
      <c r="I37" s="40"/>
      <c r="J37" s="40"/>
      <c r="K37" s="3"/>
      <c r="L37" s="4"/>
      <c r="M37" s="4"/>
      <c r="N37" s="4"/>
      <c r="W37" s="133">
        <v>42716</v>
      </c>
      <c r="X37" s="10">
        <v>20.3</v>
      </c>
      <c r="Y37" s="10">
        <v>20.51</v>
      </c>
      <c r="Z37" s="10">
        <v>19.489999999999998</v>
      </c>
      <c r="AA37" s="10">
        <v>20.02</v>
      </c>
      <c r="AB37" s="95">
        <v>28649200</v>
      </c>
      <c r="AC37" s="10">
        <v>20.02</v>
      </c>
      <c r="AD37">
        <f t="shared" si="0"/>
        <v>1.0200000000000031</v>
      </c>
      <c r="AE37" s="138">
        <f t="shared" si="1"/>
        <v>-2.3414634146341484E-2</v>
      </c>
    </row>
    <row r="38" spans="1:41" x14ac:dyDescent="0.25">
      <c r="B38" s="193"/>
      <c r="C38" s="10"/>
      <c r="D38" s="200"/>
      <c r="E38" s="40"/>
      <c r="F38" s="40"/>
      <c r="G38" s="40"/>
      <c r="H38" s="232"/>
      <c r="I38" s="40"/>
      <c r="J38" s="40"/>
      <c r="K38" s="3"/>
      <c r="L38" s="4"/>
      <c r="M38" s="3"/>
      <c r="N38" s="4"/>
      <c r="W38" s="133">
        <v>42713</v>
      </c>
      <c r="X38" s="10">
        <v>20.73</v>
      </c>
      <c r="Y38" s="10">
        <v>20.85</v>
      </c>
      <c r="Z38" s="10">
        <v>20.13</v>
      </c>
      <c r="AA38" s="10">
        <v>20.5</v>
      </c>
      <c r="AB38" s="95">
        <v>23948600</v>
      </c>
      <c r="AC38" s="10">
        <v>20.5</v>
      </c>
      <c r="AD38">
        <f t="shared" si="0"/>
        <v>0.72000000000000242</v>
      </c>
      <c r="AE38" s="138">
        <f t="shared" si="1"/>
        <v>-7.7444336882865894E-3</v>
      </c>
    </row>
    <row r="39" spans="1:41" x14ac:dyDescent="0.25">
      <c r="B39" s="193"/>
      <c r="C39" s="10"/>
      <c r="D39" s="200"/>
      <c r="E39" s="40"/>
      <c r="F39" s="40"/>
      <c r="G39" s="40"/>
      <c r="H39" s="232"/>
      <c r="I39" s="40"/>
      <c r="J39" s="40"/>
      <c r="K39" s="3"/>
      <c r="L39" s="4"/>
      <c r="M39" s="4"/>
      <c r="N39" s="4"/>
      <c r="W39" s="133">
        <v>42712</v>
      </c>
      <c r="X39" s="10">
        <v>20.75</v>
      </c>
      <c r="Y39" s="10">
        <v>20.99</v>
      </c>
      <c r="Z39" s="10">
        <v>20.29</v>
      </c>
      <c r="AA39" s="10">
        <v>20.66</v>
      </c>
      <c r="AB39" s="95">
        <v>36085400</v>
      </c>
      <c r="AC39" s="10">
        <v>20.66</v>
      </c>
      <c r="AD39">
        <f t="shared" si="0"/>
        <v>0.69999999999999929</v>
      </c>
      <c r="AE39" s="138">
        <f t="shared" si="1"/>
        <v>1.0763209393346296E-2</v>
      </c>
    </row>
    <row r="40" spans="1:41" x14ac:dyDescent="0.25">
      <c r="B40" s="509"/>
      <c r="C40" s="4"/>
      <c r="D40" s="3"/>
      <c r="E40" s="3"/>
      <c r="F40" s="3"/>
      <c r="G40" s="74"/>
      <c r="H40" s="185"/>
      <c r="I40" s="3"/>
      <c r="J40" s="3"/>
      <c r="K40" s="3"/>
      <c r="L40" s="4"/>
      <c r="M40" s="4"/>
      <c r="N40" s="4"/>
      <c r="W40" s="133">
        <v>42711</v>
      </c>
      <c r="X40" s="10">
        <v>19.5</v>
      </c>
      <c r="Y40" s="10">
        <v>20.54</v>
      </c>
      <c r="Z40" s="10">
        <v>19.3</v>
      </c>
      <c r="AA40" s="10">
        <v>20.440000000000001</v>
      </c>
      <c r="AB40" s="95">
        <v>44654300</v>
      </c>
      <c r="AC40" s="10">
        <v>20.440000000000001</v>
      </c>
      <c r="AD40">
        <f t="shared" si="0"/>
        <v>1.2399999999999984</v>
      </c>
      <c r="AE40" s="138">
        <f t="shared" si="1"/>
        <v>7.2402938090241564E-2</v>
      </c>
    </row>
    <row r="41" spans="1:41" x14ac:dyDescent="0.25">
      <c r="B41" s="509"/>
      <c r="C41" s="4"/>
      <c r="D41" s="3"/>
      <c r="E41" s="3"/>
      <c r="F41" s="3"/>
      <c r="G41" s="74"/>
      <c r="H41" s="185"/>
      <c r="I41" s="3"/>
      <c r="J41" s="3"/>
      <c r="K41" s="3"/>
      <c r="L41" s="4"/>
      <c r="M41" s="4"/>
      <c r="N41" s="4"/>
      <c r="W41" s="133">
        <v>42710</v>
      </c>
      <c r="X41" s="10">
        <v>18.62</v>
      </c>
      <c r="Y41" s="10">
        <v>19.09</v>
      </c>
      <c r="Z41" s="10">
        <v>18.579999999999998</v>
      </c>
      <c r="AA41" s="10">
        <v>19.059999999999999</v>
      </c>
      <c r="AB41" s="95">
        <v>22194400</v>
      </c>
      <c r="AC41" s="10">
        <v>19.059999999999999</v>
      </c>
      <c r="AD41">
        <f t="shared" si="0"/>
        <v>0.51000000000000156</v>
      </c>
      <c r="AE41" s="138">
        <f t="shared" si="1"/>
        <v>2.4180548092423315E-2</v>
      </c>
    </row>
    <row r="42" spans="1:41" ht="20.25" thickBot="1" x14ac:dyDescent="0.35">
      <c r="B42" s="509"/>
      <c r="C42" s="4"/>
      <c r="D42" s="3"/>
      <c r="E42" s="3"/>
      <c r="F42" s="3"/>
      <c r="G42" s="74"/>
      <c r="H42" s="185"/>
      <c r="I42" s="3"/>
      <c r="J42" s="3"/>
      <c r="K42" s="3"/>
      <c r="L42" s="4"/>
      <c r="M42" s="4"/>
      <c r="N42" s="4"/>
      <c r="T42" s="91" t="s">
        <v>113</v>
      </c>
      <c r="W42" s="133">
        <v>42709</v>
      </c>
      <c r="X42" s="10">
        <v>19</v>
      </c>
      <c r="Y42" s="10">
        <v>19</v>
      </c>
      <c r="Z42" s="10">
        <v>18.399999999999999</v>
      </c>
      <c r="AA42" s="10">
        <v>18.61</v>
      </c>
      <c r="AB42" s="95">
        <v>26579000</v>
      </c>
      <c r="AC42" s="10">
        <v>18.61</v>
      </c>
      <c r="AD42">
        <f t="shared" si="0"/>
        <v>0.60000000000000142</v>
      </c>
      <c r="AE42" s="138">
        <f t="shared" si="1"/>
        <v>-9.5795635976583249E-3</v>
      </c>
      <c r="AL42" s="234"/>
      <c r="AO42" s="234"/>
    </row>
    <row r="43" spans="1:41" ht="15.75" thickTop="1" x14ac:dyDescent="0.25">
      <c r="N43" s="4"/>
      <c r="T43" s="128" t="s">
        <v>98</v>
      </c>
      <c r="U43" s="129">
        <v>24.75</v>
      </c>
      <c r="W43" s="133">
        <v>42706</v>
      </c>
      <c r="X43" s="10">
        <v>18.46</v>
      </c>
      <c r="Y43" s="10">
        <v>19.2</v>
      </c>
      <c r="Z43" s="10">
        <v>18.3</v>
      </c>
      <c r="AA43" s="10">
        <v>18.79</v>
      </c>
      <c r="AB43" s="95">
        <v>25745600</v>
      </c>
      <c r="AC43" s="10">
        <v>18.79</v>
      </c>
      <c r="AD43">
        <f t="shared" si="0"/>
        <v>0.89999999999999858</v>
      </c>
      <c r="AE43" s="138">
        <f t="shared" si="1"/>
        <v>1.6774891774891776E-2</v>
      </c>
    </row>
    <row r="44" spans="1:41" ht="20.25" thickBot="1" x14ac:dyDescent="0.35">
      <c r="N44" s="4"/>
      <c r="O44" s="638" t="s">
        <v>78</v>
      </c>
      <c r="P44" s="638"/>
      <c r="T44" s="93" t="s">
        <v>99</v>
      </c>
      <c r="U44" s="130">
        <v>24.53</v>
      </c>
      <c r="W44" s="133">
        <v>42705</v>
      </c>
      <c r="X44" s="10">
        <v>19.7</v>
      </c>
      <c r="Y44" s="10">
        <v>19.829999999999998</v>
      </c>
      <c r="Z44" s="10">
        <v>18.18</v>
      </c>
      <c r="AA44" s="10">
        <v>18.48</v>
      </c>
      <c r="AB44" s="95">
        <v>40632200</v>
      </c>
      <c r="AC44" s="10">
        <v>18.48</v>
      </c>
      <c r="AD44">
        <f t="shared" si="0"/>
        <v>1.6499999999999986</v>
      </c>
      <c r="AE44" s="138">
        <f t="shared" si="1"/>
        <v>-5.3763440860215117E-2</v>
      </c>
    </row>
    <row r="45" spans="1:41" ht="15.75" thickTop="1" x14ac:dyDescent="0.25">
      <c r="N45" s="4"/>
      <c r="O45" s="83">
        <v>1.1000000000000001</v>
      </c>
      <c r="P45" s="83">
        <f>O45*$Q$4</f>
        <v>27.060000000000002</v>
      </c>
      <c r="T45" s="93" t="s">
        <v>100</v>
      </c>
      <c r="U45" s="130" t="s">
        <v>590</v>
      </c>
      <c r="W45" s="133">
        <v>42704</v>
      </c>
      <c r="X45" s="10">
        <v>19.579999999999998</v>
      </c>
      <c r="Y45" s="10">
        <v>19.760000000000002</v>
      </c>
      <c r="Z45" s="10">
        <v>19.36</v>
      </c>
      <c r="AA45" s="10">
        <v>19.53</v>
      </c>
      <c r="AB45" s="95">
        <v>25984900</v>
      </c>
      <c r="AC45" s="10">
        <v>19.53</v>
      </c>
      <c r="AD45">
        <f t="shared" si="0"/>
        <v>0.40000000000000213</v>
      </c>
      <c r="AE45" s="138">
        <f t="shared" si="1"/>
        <v>5.6642636457260309E-3</v>
      </c>
    </row>
    <row r="46" spans="1:41" x14ac:dyDescent="0.25">
      <c r="N46" s="4"/>
      <c r="O46" s="83">
        <v>1.0900000000000001</v>
      </c>
      <c r="P46" s="83">
        <f t="shared" ref="P46:P65" si="14">O46*$Q$4</f>
        <v>26.814000000000004</v>
      </c>
      <c r="T46" s="93" t="s">
        <v>101</v>
      </c>
      <c r="U46" s="130" t="s">
        <v>591</v>
      </c>
      <c r="W46" s="133">
        <v>42703</v>
      </c>
      <c r="X46" s="10">
        <v>19.920000000000002</v>
      </c>
      <c r="Y46" s="10">
        <v>20.2</v>
      </c>
      <c r="Z46" s="10">
        <v>19.38</v>
      </c>
      <c r="AA46" s="10">
        <v>19.420000000000002</v>
      </c>
      <c r="AB46" s="95">
        <v>37877200</v>
      </c>
      <c r="AC46" s="10">
        <v>19.420000000000002</v>
      </c>
      <c r="AD46">
        <f t="shared" si="0"/>
        <v>0.82000000000000028</v>
      </c>
      <c r="AE46" s="138">
        <f t="shared" si="1"/>
        <v>-2.8514257128564147E-2</v>
      </c>
    </row>
    <row r="47" spans="1:41" x14ac:dyDescent="0.25">
      <c r="N47" s="4"/>
      <c r="O47" s="83">
        <v>1.08</v>
      </c>
      <c r="P47" s="83">
        <f t="shared" si="14"/>
        <v>26.568000000000005</v>
      </c>
      <c r="T47" s="93" t="s">
        <v>102</v>
      </c>
      <c r="U47" s="130">
        <v>26.94</v>
      </c>
      <c r="W47" s="133">
        <v>42702</v>
      </c>
      <c r="X47" s="10">
        <v>20.18</v>
      </c>
      <c r="Y47" s="10">
        <v>20.28</v>
      </c>
      <c r="Z47" s="10">
        <v>19.95</v>
      </c>
      <c r="AA47" s="10">
        <v>19.989999999999998</v>
      </c>
      <c r="AB47" s="95">
        <v>22166100</v>
      </c>
      <c r="AC47" s="10">
        <v>19.989999999999998</v>
      </c>
      <c r="AD47">
        <f t="shared" si="0"/>
        <v>0.33000000000000185</v>
      </c>
      <c r="AE47" s="138">
        <f t="shared" si="1"/>
        <v>-6.9547938400397191E-3</v>
      </c>
    </row>
    <row r="48" spans="1:41" x14ac:dyDescent="0.25">
      <c r="B48" s="509"/>
      <c r="C48" s="4"/>
      <c r="D48" s="3"/>
      <c r="E48" s="3"/>
      <c r="F48" s="3"/>
      <c r="G48" s="74"/>
      <c r="H48" s="185"/>
      <c r="I48" s="3"/>
      <c r="J48" s="3"/>
      <c r="K48" s="3"/>
      <c r="L48" s="4"/>
      <c r="M48" s="4"/>
      <c r="N48" s="4"/>
      <c r="O48" s="83">
        <v>1.07</v>
      </c>
      <c r="P48" s="83">
        <f t="shared" si="14"/>
        <v>26.322000000000003</v>
      </c>
      <c r="T48" s="93" t="s">
        <v>103</v>
      </c>
      <c r="U48" s="130">
        <v>1.9653499999999999</v>
      </c>
      <c r="W48" s="133">
        <v>42699</v>
      </c>
      <c r="X48" s="10">
        <v>19.95</v>
      </c>
      <c r="Y48" s="10">
        <v>20.440000000000001</v>
      </c>
      <c r="Z48" s="10">
        <v>19.79</v>
      </c>
      <c r="AA48" s="10">
        <v>20.13</v>
      </c>
      <c r="AB48" s="95">
        <v>16305600</v>
      </c>
      <c r="AC48" s="10">
        <v>20.13</v>
      </c>
      <c r="AD48">
        <f t="shared" si="0"/>
        <v>0.65000000000000213</v>
      </c>
      <c r="AE48" s="138">
        <f t="shared" si="1"/>
        <v>1.1049723756906049E-2</v>
      </c>
    </row>
    <row r="49" spans="2:41" x14ac:dyDescent="0.25">
      <c r="B49" s="509"/>
      <c r="C49" s="4"/>
      <c r="D49" s="3"/>
      <c r="E49" s="3"/>
      <c r="F49" s="3"/>
      <c r="G49" s="74"/>
      <c r="H49" s="185"/>
      <c r="I49" s="3"/>
      <c r="J49" s="3"/>
      <c r="K49" s="3"/>
      <c r="L49" s="4"/>
      <c r="M49" s="4"/>
      <c r="N49" s="4"/>
      <c r="O49" s="83">
        <v>1.06</v>
      </c>
      <c r="P49" s="83">
        <f t="shared" si="14"/>
        <v>26.076000000000004</v>
      </c>
      <c r="T49" s="93" t="s">
        <v>122</v>
      </c>
      <c r="U49" s="130" t="s">
        <v>377</v>
      </c>
      <c r="W49" s="133">
        <v>42697</v>
      </c>
      <c r="X49" s="10">
        <v>19.63</v>
      </c>
      <c r="Y49" s="10">
        <v>19.93</v>
      </c>
      <c r="Z49" s="10">
        <v>19.47</v>
      </c>
      <c r="AA49" s="10">
        <v>19.91</v>
      </c>
      <c r="AB49" s="95">
        <v>20002800</v>
      </c>
      <c r="AC49" s="10">
        <v>19.91</v>
      </c>
      <c r="AD49">
        <f t="shared" si="0"/>
        <v>0.46000000000000085</v>
      </c>
      <c r="AE49" s="138">
        <f t="shared" si="1"/>
        <v>8.6119554204662219E-3</v>
      </c>
    </row>
    <row r="50" spans="2:41" x14ac:dyDescent="0.25">
      <c r="B50" s="509"/>
      <c r="C50" s="4"/>
      <c r="D50" s="3"/>
      <c r="E50" s="3"/>
      <c r="F50" s="3"/>
      <c r="G50" s="74"/>
      <c r="H50" s="185"/>
      <c r="I50" s="3"/>
      <c r="J50" s="3"/>
      <c r="K50" s="3"/>
      <c r="L50" s="4"/>
      <c r="M50" s="4"/>
      <c r="N50" s="4"/>
      <c r="O50" s="83">
        <v>1.05</v>
      </c>
      <c r="P50" s="83">
        <f t="shared" si="14"/>
        <v>25.830000000000002</v>
      </c>
      <c r="T50" s="93"/>
      <c r="U50" s="130"/>
      <c r="W50" s="133">
        <v>42696</v>
      </c>
      <c r="X50" s="10">
        <v>19.64</v>
      </c>
      <c r="Y50" s="10">
        <v>19.8</v>
      </c>
      <c r="Z50" s="10">
        <v>19.45</v>
      </c>
      <c r="AA50" s="10">
        <v>19.739999999999998</v>
      </c>
      <c r="AB50" s="95">
        <v>22211100</v>
      </c>
      <c r="AC50" s="10">
        <v>19.739999999999998</v>
      </c>
      <c r="AD50">
        <f t="shared" si="0"/>
        <v>0.35000000000000142</v>
      </c>
      <c r="AE50" s="138">
        <f t="shared" si="1"/>
        <v>1.2827090815803022E-2</v>
      </c>
      <c r="AL50" s="234"/>
      <c r="AO50" s="234"/>
    </row>
    <row r="51" spans="2:41" x14ac:dyDescent="0.25">
      <c r="B51" s="654"/>
      <c r="C51" s="4"/>
      <c r="D51" s="3"/>
      <c r="E51" s="3"/>
      <c r="F51" s="3"/>
      <c r="G51" s="653"/>
      <c r="H51" s="185"/>
      <c r="I51" s="3"/>
      <c r="J51" s="3"/>
      <c r="K51" s="3"/>
      <c r="L51" s="4"/>
      <c r="M51" s="4"/>
      <c r="N51" s="4"/>
      <c r="O51" s="83">
        <v>1.04</v>
      </c>
      <c r="P51" s="83">
        <f t="shared" si="14"/>
        <v>25.584000000000003</v>
      </c>
      <c r="T51" s="93" t="s">
        <v>105</v>
      </c>
      <c r="U51" s="130" t="s">
        <v>592</v>
      </c>
      <c r="W51" s="133">
        <v>42695</v>
      </c>
      <c r="X51" s="10">
        <v>19.39</v>
      </c>
      <c r="Y51" s="10">
        <v>19.670000000000002</v>
      </c>
      <c r="Z51" s="10">
        <v>19.350000000000001</v>
      </c>
      <c r="AA51" s="10">
        <v>19.489999999999998</v>
      </c>
      <c r="AB51" s="95">
        <v>22658400</v>
      </c>
      <c r="AC51" s="10">
        <v>19.489999999999998</v>
      </c>
      <c r="AD51">
        <f t="shared" si="0"/>
        <v>0.32000000000000028</v>
      </c>
      <c r="AE51" s="138">
        <f t="shared" si="1"/>
        <v>1.4575741801145181E-2</v>
      </c>
    </row>
    <row r="52" spans="2:41" x14ac:dyDescent="0.25">
      <c r="B52" s="654"/>
      <c r="C52" s="4"/>
      <c r="D52" s="3"/>
      <c r="E52" s="3"/>
      <c r="F52" s="3"/>
      <c r="G52" s="653"/>
      <c r="H52" s="185"/>
      <c r="I52" s="3"/>
      <c r="J52" s="3"/>
      <c r="K52" s="3"/>
      <c r="L52" s="4"/>
      <c r="M52" s="4"/>
      <c r="N52" s="4"/>
      <c r="O52" s="83">
        <v>1.03</v>
      </c>
      <c r="P52" s="83">
        <f t="shared" si="14"/>
        <v>25.338000000000001</v>
      </c>
      <c r="T52" s="93" t="s">
        <v>106</v>
      </c>
      <c r="U52" s="130" t="s">
        <v>593</v>
      </c>
      <c r="W52" s="133">
        <v>42692</v>
      </c>
      <c r="X52" s="10">
        <v>18.899999999999999</v>
      </c>
      <c r="Y52" s="10">
        <v>19.329999999999998</v>
      </c>
      <c r="Z52" s="10">
        <v>18.850000000000001</v>
      </c>
      <c r="AA52" s="10">
        <v>19.21</v>
      </c>
      <c r="AB52" s="95">
        <v>27322300</v>
      </c>
      <c r="AC52" s="10">
        <v>19.21</v>
      </c>
      <c r="AD52">
        <f t="shared" si="0"/>
        <v>0.47999999999999687</v>
      </c>
      <c r="AE52" s="138">
        <f t="shared" si="1"/>
        <v>1.5641293013557434E-3</v>
      </c>
    </row>
    <row r="53" spans="2:41" x14ac:dyDescent="0.25">
      <c r="B53" s="654"/>
      <c r="C53" s="4"/>
      <c r="D53" s="3"/>
      <c r="E53" s="3"/>
      <c r="F53" s="3"/>
      <c r="G53" s="74"/>
      <c r="H53" s="185"/>
      <c r="I53" s="3"/>
      <c r="J53" s="3"/>
      <c r="K53" s="3"/>
      <c r="L53" s="4"/>
      <c r="M53" s="4"/>
      <c r="N53" s="4"/>
      <c r="O53" s="83">
        <v>1.02</v>
      </c>
      <c r="P53" s="83">
        <f t="shared" si="14"/>
        <v>25.092000000000002</v>
      </c>
      <c r="T53" s="93" t="s">
        <v>107</v>
      </c>
      <c r="U53" s="131">
        <v>45499729</v>
      </c>
      <c r="W53" s="133">
        <v>42691</v>
      </c>
      <c r="X53" s="10">
        <v>18.350000000000001</v>
      </c>
      <c r="Y53" s="10">
        <v>19.34</v>
      </c>
      <c r="Z53" s="10">
        <v>18.25</v>
      </c>
      <c r="AA53" s="10">
        <v>19.18</v>
      </c>
      <c r="AB53" s="95">
        <v>45702900</v>
      </c>
      <c r="AC53" s="10">
        <v>19.18</v>
      </c>
      <c r="AD53">
        <f t="shared" si="0"/>
        <v>1.0899999999999999</v>
      </c>
      <c r="AE53" s="138">
        <f t="shared" si="1"/>
        <v>5.1535087719298378E-2</v>
      </c>
    </row>
    <row r="54" spans="2:41" x14ac:dyDescent="0.25">
      <c r="B54" s="654"/>
      <c r="C54" s="4"/>
      <c r="D54" s="3"/>
      <c r="E54" s="3"/>
      <c r="F54" s="3"/>
      <c r="G54" s="74"/>
      <c r="H54" s="185"/>
      <c r="I54" s="3"/>
      <c r="J54" s="3"/>
      <c r="K54" s="3"/>
      <c r="L54" s="4"/>
      <c r="M54" s="4"/>
      <c r="N54" s="4"/>
      <c r="O54" s="83">
        <v>1.01</v>
      </c>
      <c r="P54" s="83">
        <f t="shared" si="14"/>
        <v>24.846</v>
      </c>
      <c r="T54" s="93" t="s">
        <v>110</v>
      </c>
      <c r="U54" s="131">
        <v>26426900</v>
      </c>
      <c r="W54" s="133">
        <v>42690</v>
      </c>
      <c r="X54" s="10">
        <v>17.940000000000001</v>
      </c>
      <c r="Y54" s="10">
        <v>18.329999999999998</v>
      </c>
      <c r="Z54" s="10">
        <v>17.93</v>
      </c>
      <c r="AA54" s="10">
        <v>18.239999999999998</v>
      </c>
      <c r="AB54" s="95">
        <v>21600600</v>
      </c>
      <c r="AC54" s="10">
        <v>18.239999999999998</v>
      </c>
      <c r="AD54">
        <f t="shared" si="0"/>
        <v>0.39999999999999858</v>
      </c>
      <c r="AE54" s="138">
        <f t="shared" si="1"/>
        <v>7.7348066298341678E-3</v>
      </c>
      <c r="AL54" s="234"/>
      <c r="AO54" s="234"/>
    </row>
    <row r="55" spans="2:41" x14ac:dyDescent="0.25">
      <c r="B55" s="654"/>
      <c r="C55" s="4"/>
      <c r="D55" s="3"/>
      <c r="E55" s="3"/>
      <c r="F55" s="3"/>
      <c r="G55" s="74"/>
      <c r="H55" s="185"/>
      <c r="I55" s="3"/>
      <c r="J55" s="3"/>
      <c r="K55" s="3"/>
      <c r="L55" s="4"/>
      <c r="M55" s="4"/>
      <c r="N55" s="4"/>
      <c r="O55" s="83">
        <v>1</v>
      </c>
      <c r="P55" s="83">
        <f t="shared" si="14"/>
        <v>24.6</v>
      </c>
      <c r="T55" s="93" t="s">
        <v>108</v>
      </c>
      <c r="U55" s="130" t="s">
        <v>594</v>
      </c>
      <c r="W55" s="133">
        <v>42689</v>
      </c>
      <c r="X55" s="10">
        <v>17.66</v>
      </c>
      <c r="Y55" s="10">
        <v>18.170000000000002</v>
      </c>
      <c r="Z55" s="10">
        <v>17.66</v>
      </c>
      <c r="AA55" s="10">
        <v>18.100000000000001</v>
      </c>
      <c r="AB55" s="95">
        <v>25115900</v>
      </c>
      <c r="AC55" s="10">
        <v>18.100000000000001</v>
      </c>
      <c r="AD55">
        <f t="shared" si="0"/>
        <v>0.51000000000000156</v>
      </c>
      <c r="AE55" s="138">
        <f t="shared" si="1"/>
        <v>2.2021456804065531E-2</v>
      </c>
    </row>
    <row r="56" spans="2:41" x14ac:dyDescent="0.25">
      <c r="B56" s="654"/>
      <c r="C56" s="4"/>
      <c r="D56" s="3"/>
      <c r="E56" s="3"/>
      <c r="F56" s="3"/>
      <c r="G56" s="74"/>
      <c r="H56" s="185"/>
      <c r="I56" s="3"/>
      <c r="J56" s="3"/>
      <c r="K56" s="3"/>
      <c r="L56" s="4"/>
      <c r="M56" s="4"/>
      <c r="N56" s="4"/>
      <c r="O56" s="83">
        <v>0.99</v>
      </c>
      <c r="P56" s="83">
        <f t="shared" si="14"/>
        <v>24.354000000000003</v>
      </c>
      <c r="T56" s="93" t="s">
        <v>111</v>
      </c>
      <c r="U56" s="130" t="s">
        <v>129</v>
      </c>
      <c r="W56" s="133">
        <v>42688</v>
      </c>
      <c r="X56" s="10">
        <v>17.77</v>
      </c>
      <c r="Y56" s="10">
        <v>17.98</v>
      </c>
      <c r="Z56" s="10">
        <v>17.53</v>
      </c>
      <c r="AA56" s="10">
        <v>17.71</v>
      </c>
      <c r="AB56" s="95">
        <v>26305700</v>
      </c>
      <c r="AC56" s="10">
        <v>17.71</v>
      </c>
      <c r="AD56">
        <f t="shared" si="0"/>
        <v>0.44999999999999929</v>
      </c>
      <c r="AE56" s="138">
        <f t="shared" si="1"/>
        <v>2.2637238256932868E-3</v>
      </c>
    </row>
    <row r="57" spans="2:41" x14ac:dyDescent="0.25">
      <c r="B57" s="509"/>
      <c r="C57" s="4"/>
      <c r="D57" s="3"/>
      <c r="E57" s="3"/>
      <c r="F57" s="3"/>
      <c r="G57" s="74"/>
      <c r="H57" s="185"/>
      <c r="I57" s="3"/>
      <c r="J57" s="3"/>
      <c r="K57" s="3"/>
      <c r="L57" s="4"/>
      <c r="M57" s="4"/>
      <c r="N57" s="4"/>
      <c r="O57" s="83">
        <v>0.98</v>
      </c>
      <c r="P57" s="83">
        <f t="shared" si="14"/>
        <v>24.108000000000001</v>
      </c>
      <c r="T57" s="93" t="s">
        <v>112</v>
      </c>
      <c r="U57" s="130">
        <v>-0.3</v>
      </c>
      <c r="W57" s="133">
        <v>42685</v>
      </c>
      <c r="X57" s="10">
        <v>17.079999999999998</v>
      </c>
      <c r="Y57" s="10">
        <v>17.68</v>
      </c>
      <c r="Z57" s="10">
        <v>16.899999999999999</v>
      </c>
      <c r="AA57" s="10">
        <v>17.670000000000002</v>
      </c>
      <c r="AB57" s="95">
        <v>31007400</v>
      </c>
      <c r="AC57" s="10">
        <v>17.670000000000002</v>
      </c>
      <c r="AD57">
        <f t="shared" si="0"/>
        <v>0.78000000000000114</v>
      </c>
      <c r="AE57" s="138">
        <f t="shared" si="1"/>
        <v>4.0023543260741867E-2</v>
      </c>
    </row>
    <row r="58" spans="2:41" x14ac:dyDescent="0.25">
      <c r="B58" s="509"/>
      <c r="C58" s="4"/>
      <c r="D58" s="3"/>
      <c r="E58" s="3"/>
      <c r="F58" s="3"/>
      <c r="G58" s="74"/>
      <c r="H58" s="185"/>
      <c r="I58" s="3"/>
      <c r="J58" s="3"/>
      <c r="K58" s="3"/>
      <c r="L58" s="4"/>
      <c r="M58" s="4"/>
      <c r="N58" s="4"/>
      <c r="O58" s="83">
        <v>0.97</v>
      </c>
      <c r="P58" s="83">
        <f t="shared" si="14"/>
        <v>23.862000000000002</v>
      </c>
      <c r="T58" s="93" t="s">
        <v>109</v>
      </c>
      <c r="U58" s="130" t="s">
        <v>123</v>
      </c>
      <c r="W58" s="133">
        <v>42684</v>
      </c>
      <c r="X58" s="10">
        <v>17.350000000000001</v>
      </c>
      <c r="Y58" s="10">
        <v>17.760000000000002</v>
      </c>
      <c r="Z58" s="10">
        <v>16.75</v>
      </c>
      <c r="AA58" s="10">
        <v>16.989999999999998</v>
      </c>
      <c r="AB58" s="95">
        <v>30256300</v>
      </c>
      <c r="AC58" s="10">
        <v>16.989999999999998</v>
      </c>
      <c r="AD58">
        <f t="shared" si="0"/>
        <v>1.0100000000000016</v>
      </c>
      <c r="AE58" s="138">
        <f t="shared" si="1"/>
        <v>-1.2209302325581484E-2</v>
      </c>
      <c r="AL58" s="234"/>
      <c r="AO58" s="234"/>
    </row>
    <row r="59" spans="2:41" x14ac:dyDescent="0.25">
      <c r="B59" s="509"/>
      <c r="C59" s="4"/>
      <c r="D59" s="3"/>
      <c r="E59" s="3"/>
      <c r="F59" s="3"/>
      <c r="G59" s="74"/>
      <c r="H59" s="185"/>
      <c r="I59" s="3"/>
      <c r="J59" s="3"/>
      <c r="K59" s="3"/>
      <c r="L59" s="4"/>
      <c r="M59" s="4"/>
      <c r="N59" s="4"/>
      <c r="O59" s="83">
        <v>0.96</v>
      </c>
      <c r="P59" s="83">
        <f t="shared" si="14"/>
        <v>23.616</v>
      </c>
      <c r="W59" s="133">
        <v>42683</v>
      </c>
      <c r="X59" s="10">
        <v>16.95</v>
      </c>
      <c r="Y59" s="10">
        <v>17.350000000000001</v>
      </c>
      <c r="Z59" s="10">
        <v>16.75</v>
      </c>
      <c r="AA59" s="10">
        <v>17.2</v>
      </c>
      <c r="AB59" s="95">
        <v>33825300</v>
      </c>
      <c r="AC59" s="10">
        <v>17.2</v>
      </c>
      <c r="AD59">
        <f t="shared" si="0"/>
        <v>0.60000000000000142</v>
      </c>
      <c r="AE59" s="138">
        <f t="shared" si="1"/>
        <v>-1.2062033314187315E-2</v>
      </c>
    </row>
    <row r="60" spans="2:41" x14ac:dyDescent="0.25">
      <c r="B60" s="509"/>
      <c r="C60" s="4"/>
      <c r="D60" s="3"/>
      <c r="E60" s="3"/>
      <c r="F60" s="3"/>
      <c r="G60" s="74"/>
      <c r="H60" s="185"/>
      <c r="I60" s="3"/>
      <c r="J60" s="3"/>
      <c r="K60" s="3"/>
      <c r="L60" s="4"/>
      <c r="M60" s="4"/>
      <c r="N60" s="4"/>
      <c r="O60" s="83">
        <v>0.95</v>
      </c>
      <c r="P60" s="83">
        <f t="shared" si="14"/>
        <v>23.37</v>
      </c>
      <c r="W60" s="133">
        <v>42682</v>
      </c>
      <c r="X60" s="10">
        <v>17.3</v>
      </c>
      <c r="Y60" s="10">
        <v>17.55</v>
      </c>
      <c r="Z60" s="10">
        <v>17.059999999999999</v>
      </c>
      <c r="AA60" s="10">
        <v>17.41</v>
      </c>
      <c r="AB60" s="95">
        <v>18025200</v>
      </c>
      <c r="AC60" s="10">
        <v>17.41</v>
      </c>
      <c r="AD60">
        <f t="shared" si="0"/>
        <v>0.49000000000000199</v>
      </c>
      <c r="AE60" s="138">
        <f t="shared" si="1"/>
        <v>1.7261219792865656E-3</v>
      </c>
    </row>
    <row r="61" spans="2:41" x14ac:dyDescent="0.25">
      <c r="B61" s="509"/>
      <c r="C61" s="4"/>
      <c r="D61" s="3"/>
      <c r="E61" s="3"/>
      <c r="F61" s="3"/>
      <c r="G61" s="4"/>
      <c r="H61" s="4"/>
      <c r="I61" s="3"/>
      <c r="J61" s="3"/>
      <c r="K61" s="3"/>
      <c r="L61" s="4"/>
      <c r="M61" s="4"/>
      <c r="N61" s="4"/>
      <c r="O61" s="83">
        <v>0.94</v>
      </c>
      <c r="P61" s="83">
        <f t="shared" si="14"/>
        <v>23.123999999999999</v>
      </c>
      <c r="W61" s="133">
        <v>42681</v>
      </c>
      <c r="X61" s="10">
        <v>17.02</v>
      </c>
      <c r="Y61" s="10">
        <v>17.43</v>
      </c>
      <c r="Z61" s="10">
        <v>17.02</v>
      </c>
      <c r="AA61" s="10">
        <v>17.38</v>
      </c>
      <c r="AB61" s="95">
        <v>21542500</v>
      </c>
      <c r="AC61" s="10">
        <v>17.38</v>
      </c>
      <c r="AD61">
        <f t="shared" si="0"/>
        <v>0.41000000000000014</v>
      </c>
      <c r="AE61" s="138">
        <f t="shared" si="1"/>
        <v>4.1966426858513151E-2</v>
      </c>
    </row>
    <row r="62" spans="2:41" x14ac:dyDescent="0.25">
      <c r="B62" s="509"/>
      <c r="C62" s="4"/>
      <c r="D62" s="4"/>
      <c r="E62" s="3"/>
      <c r="F62" s="3"/>
      <c r="G62" s="4"/>
      <c r="H62" s="4"/>
      <c r="I62" s="3"/>
      <c r="J62" s="3"/>
      <c r="K62" s="3"/>
      <c r="L62" s="4"/>
      <c r="M62" s="4"/>
      <c r="N62" s="4"/>
      <c r="O62" s="83">
        <v>0.93</v>
      </c>
      <c r="P62" s="83">
        <f t="shared" si="14"/>
        <v>22.878000000000004</v>
      </c>
      <c r="W62" s="133">
        <v>42678</v>
      </c>
      <c r="X62" s="10">
        <v>16.46</v>
      </c>
      <c r="Y62" s="10">
        <v>17.02</v>
      </c>
      <c r="Z62" s="10">
        <v>16.45</v>
      </c>
      <c r="AA62" s="10">
        <v>16.68</v>
      </c>
      <c r="AB62" s="95">
        <v>17926300</v>
      </c>
      <c r="AC62" s="10">
        <v>16.68</v>
      </c>
      <c r="AD62">
        <f t="shared" si="0"/>
        <v>0.57000000000000028</v>
      </c>
      <c r="AE62" s="138">
        <f t="shared" si="1"/>
        <v>3.6101083032489267E-3</v>
      </c>
    </row>
    <row r="63" spans="2:41" x14ac:dyDescent="0.25">
      <c r="B63" s="509"/>
      <c r="C63" s="4"/>
      <c r="D63" s="4"/>
      <c r="E63" s="3"/>
      <c r="F63" s="3"/>
      <c r="G63" s="4"/>
      <c r="H63" s="4"/>
      <c r="I63" s="3"/>
      <c r="J63" s="3"/>
      <c r="K63" s="3"/>
      <c r="L63" s="4"/>
      <c r="M63" s="4"/>
      <c r="N63" s="4"/>
      <c r="O63" s="83">
        <v>0.92</v>
      </c>
      <c r="P63" s="83">
        <f t="shared" si="14"/>
        <v>22.632000000000001</v>
      </c>
      <c r="W63" s="133">
        <v>42677</v>
      </c>
      <c r="X63" s="10">
        <v>16.66</v>
      </c>
      <c r="Y63" s="10">
        <v>16.809999999999999</v>
      </c>
      <c r="Z63" s="10">
        <v>16.559999999999999</v>
      </c>
      <c r="AA63" s="10">
        <v>16.62</v>
      </c>
      <c r="AB63" s="95">
        <v>17185100</v>
      </c>
      <c r="AC63" s="10">
        <v>16.62</v>
      </c>
      <c r="AD63">
        <f t="shared" si="0"/>
        <v>0.25</v>
      </c>
      <c r="AE63" s="138">
        <f t="shared" si="1"/>
        <v>-3.597122302158251E-3</v>
      </c>
    </row>
    <row r="64" spans="2:41" x14ac:dyDescent="0.25">
      <c r="B64" s="509"/>
      <c r="C64" s="4"/>
      <c r="D64" s="4"/>
      <c r="E64" s="3"/>
      <c r="F64" s="3"/>
      <c r="G64" s="4"/>
      <c r="H64" s="4"/>
      <c r="I64" s="3"/>
      <c r="J64" s="3"/>
      <c r="K64" s="3"/>
      <c r="L64" s="4"/>
      <c r="M64" s="4"/>
      <c r="N64" s="4"/>
      <c r="O64" s="83">
        <v>0.91</v>
      </c>
      <c r="P64" s="83">
        <f t="shared" si="14"/>
        <v>22.386000000000003</v>
      </c>
      <c r="W64" s="133">
        <v>42676</v>
      </c>
      <c r="X64" s="10">
        <v>16.95</v>
      </c>
      <c r="Y64" s="10">
        <v>17.02</v>
      </c>
      <c r="Z64" s="10">
        <v>16.5</v>
      </c>
      <c r="AA64" s="10">
        <v>16.68</v>
      </c>
      <c r="AB64" s="95">
        <v>24880200</v>
      </c>
      <c r="AC64" s="10">
        <v>16.68</v>
      </c>
      <c r="AD64">
        <f t="shared" si="0"/>
        <v>0.51999999999999957</v>
      </c>
      <c r="AE64" s="138">
        <f t="shared" si="1"/>
        <v>-1.7667844522968212E-2</v>
      </c>
    </row>
    <row r="65" spans="2:31" x14ac:dyDescent="0.25">
      <c r="B65" s="509"/>
      <c r="C65" s="4"/>
      <c r="D65" s="3"/>
      <c r="E65" s="3"/>
      <c r="F65" s="3"/>
      <c r="G65" s="4"/>
      <c r="H65" s="4"/>
      <c r="I65" s="3"/>
      <c r="J65" s="3"/>
      <c r="K65" s="3"/>
      <c r="L65" s="4"/>
      <c r="M65" s="4"/>
      <c r="N65" s="4"/>
      <c r="O65" s="83">
        <v>0.9</v>
      </c>
      <c r="P65" s="83">
        <f t="shared" si="14"/>
        <v>22.14</v>
      </c>
      <c r="W65" s="133">
        <v>42675</v>
      </c>
      <c r="X65" s="10">
        <v>17.2</v>
      </c>
      <c r="Y65" s="10">
        <v>17.41</v>
      </c>
      <c r="Z65" s="10">
        <v>16.579999999999998</v>
      </c>
      <c r="AA65" s="10">
        <v>16.98</v>
      </c>
      <c r="AB65" s="95">
        <v>27115100</v>
      </c>
      <c r="AC65" s="10">
        <v>16.98</v>
      </c>
      <c r="AD65">
        <f t="shared" si="0"/>
        <v>0.83000000000000185</v>
      </c>
      <c r="AE65" s="138">
        <f t="shared" si="1"/>
        <v>-1.0489510489510523E-2</v>
      </c>
    </row>
    <row r="66" spans="2:31" x14ac:dyDescent="0.25">
      <c r="B66" s="509"/>
      <c r="C66" s="4"/>
      <c r="D66" s="3"/>
      <c r="E66" s="3"/>
      <c r="F66" s="3"/>
      <c r="G66" s="4"/>
      <c r="H66" s="4"/>
      <c r="I66" s="3"/>
      <c r="J66" s="3"/>
      <c r="K66" s="3"/>
      <c r="L66" s="4"/>
      <c r="M66" s="4"/>
      <c r="N66" s="4"/>
      <c r="W66" s="133">
        <v>42674</v>
      </c>
      <c r="X66" s="10">
        <v>17.54</v>
      </c>
      <c r="Y66" s="10">
        <v>17.760000000000002</v>
      </c>
      <c r="Z66" s="10">
        <v>17.16</v>
      </c>
      <c r="AA66" s="10">
        <v>17.16</v>
      </c>
      <c r="AB66" s="95">
        <v>23239600</v>
      </c>
      <c r="AC66" s="10">
        <v>17.16</v>
      </c>
      <c r="AD66">
        <f t="shared" si="0"/>
        <v>0.60000000000000142</v>
      </c>
      <c r="AE66" s="138">
        <f t="shared" si="1"/>
        <v>-2.3255813953487747E-3</v>
      </c>
    </row>
    <row r="67" spans="2:31" x14ac:dyDescent="0.25">
      <c r="B67" s="509"/>
      <c r="C67" s="4"/>
      <c r="D67" s="4"/>
      <c r="E67" s="3"/>
      <c r="F67" s="3"/>
      <c r="G67" s="4"/>
      <c r="H67" s="4"/>
      <c r="I67" s="3"/>
      <c r="J67" s="3"/>
      <c r="K67" s="3"/>
      <c r="L67" s="4"/>
      <c r="M67" s="4"/>
      <c r="N67" s="4"/>
      <c r="O67" s="4"/>
      <c r="P67" s="4"/>
      <c r="Q67" s="4"/>
      <c r="R67" s="4"/>
      <c r="S67" s="4"/>
      <c r="T67" s="4"/>
      <c r="U67" s="109"/>
      <c r="W67" s="133">
        <v>42671</v>
      </c>
      <c r="X67" s="10">
        <v>17.600000000000001</v>
      </c>
      <c r="Y67" s="10">
        <v>17.670000000000002</v>
      </c>
      <c r="Z67" s="10">
        <v>17.100000000000001</v>
      </c>
      <c r="AA67" s="10">
        <v>17.2</v>
      </c>
      <c r="AB67" s="95">
        <v>20805300</v>
      </c>
      <c r="AC67" s="10">
        <v>17.2</v>
      </c>
      <c r="AD67">
        <f>Y67-Z67</f>
        <v>0.57000000000000028</v>
      </c>
      <c r="AE67" s="138" t="e">
        <f>AC67/AC68-1</f>
        <v>#DIV/0!</v>
      </c>
    </row>
    <row r="68" spans="2:31" x14ac:dyDescent="0.25">
      <c r="B68" s="509"/>
      <c r="C68" s="4"/>
      <c r="D68" s="4"/>
      <c r="E68" s="3"/>
      <c r="F68" s="3"/>
      <c r="G68" s="4"/>
      <c r="H68" s="4"/>
      <c r="I68" s="3"/>
      <c r="J68" s="3"/>
      <c r="K68" s="3"/>
      <c r="L68" s="4"/>
      <c r="M68" s="4"/>
      <c r="N68" s="4"/>
      <c r="O68" s="431"/>
      <c r="P68" s="4"/>
      <c r="Q68" s="4"/>
      <c r="R68" s="4"/>
      <c r="S68" s="4"/>
      <c r="T68" s="4"/>
      <c r="U68" s="109"/>
      <c r="W68" s="10" t="s">
        <v>121</v>
      </c>
      <c r="X68" s="10"/>
      <c r="Y68" s="10"/>
      <c r="Z68" s="10"/>
      <c r="AA68" s="10"/>
      <c r="AB68" s="10"/>
      <c r="AC68" s="10"/>
      <c r="AD68">
        <f>Y68-Z68</f>
        <v>0</v>
      </c>
      <c r="AE68" s="138" t="e">
        <f>AC68/AC69-1</f>
        <v>#DIV/0!</v>
      </c>
    </row>
    <row r="69" spans="2:31" x14ac:dyDescent="0.25">
      <c r="B69" s="509"/>
      <c r="C69" s="4"/>
      <c r="D69" s="3"/>
      <c r="E69" s="3"/>
      <c r="F69" s="3"/>
      <c r="G69" s="74"/>
      <c r="H69" s="185"/>
      <c r="I69" s="3"/>
      <c r="J69" s="3"/>
      <c r="K69" s="3"/>
      <c r="L69" s="4"/>
      <c r="M69" s="4"/>
      <c r="N69" s="4"/>
      <c r="O69" s="431"/>
      <c r="P69" s="431"/>
      <c r="Q69" s="431"/>
      <c r="R69" s="431"/>
      <c r="S69" s="431"/>
      <c r="T69" s="431"/>
      <c r="U69" s="432"/>
    </row>
    <row r="70" spans="2:31" x14ac:dyDescent="0.25">
      <c r="B70" s="611"/>
      <c r="C70" s="4"/>
      <c r="D70" s="3"/>
      <c r="E70" s="3"/>
      <c r="F70" s="3"/>
      <c r="G70" s="74"/>
      <c r="H70" s="185"/>
      <c r="I70" s="3"/>
      <c r="J70" s="3"/>
      <c r="K70" s="3"/>
      <c r="L70" s="4"/>
      <c r="M70" s="4"/>
      <c r="N70" s="4"/>
      <c r="O70" s="4"/>
      <c r="P70" s="4"/>
      <c r="Q70" s="4"/>
      <c r="R70" s="4"/>
      <c r="S70" s="4"/>
      <c r="T70" s="4"/>
      <c r="U70" s="233"/>
    </row>
    <row r="71" spans="2:31" x14ac:dyDescent="0.25">
      <c r="B71" s="611"/>
      <c r="C71" s="4"/>
      <c r="D71" s="3"/>
      <c r="E71" s="3"/>
      <c r="F71" s="3"/>
      <c r="G71" s="74"/>
      <c r="H71" s="185"/>
      <c r="I71" s="3"/>
      <c r="J71" s="3"/>
      <c r="K71" s="3"/>
      <c r="L71" s="4"/>
      <c r="M71" s="4"/>
      <c r="N71" s="4"/>
      <c r="O71" s="4"/>
      <c r="P71" s="4"/>
      <c r="Q71" s="4"/>
      <c r="R71" s="4"/>
      <c r="S71" s="4"/>
      <c r="T71" s="4"/>
      <c r="U71" s="233"/>
    </row>
    <row r="72" spans="2:31" x14ac:dyDescent="0.25">
      <c r="B72" s="611"/>
      <c r="C72" s="4"/>
      <c r="D72" s="3"/>
      <c r="E72" s="3"/>
      <c r="F72" s="3"/>
      <c r="G72" s="4"/>
      <c r="H72" s="185"/>
      <c r="I72" s="3"/>
      <c r="J72" s="3"/>
      <c r="K72" s="3"/>
      <c r="L72" s="4"/>
      <c r="M72" s="4"/>
      <c r="N72" s="4"/>
      <c r="O72" s="4"/>
      <c r="P72" s="4"/>
      <c r="Q72" s="4"/>
      <c r="R72" s="4"/>
      <c r="S72" s="4"/>
      <c r="T72" s="4"/>
      <c r="U72" s="233"/>
    </row>
    <row r="73" spans="2:31" x14ac:dyDescent="0.25">
      <c r="B73" s="509"/>
      <c r="C73" s="4"/>
      <c r="D73" s="3"/>
      <c r="E73" s="3"/>
      <c r="F73" s="3"/>
      <c r="G73" s="4"/>
      <c r="H73" s="4"/>
      <c r="I73" s="3"/>
      <c r="J73" s="3"/>
      <c r="K73" s="3"/>
      <c r="L73" s="4"/>
      <c r="M73" s="4"/>
      <c r="N73" s="4"/>
      <c r="O73" s="4"/>
      <c r="P73" s="4"/>
      <c r="Q73" s="4"/>
      <c r="R73" s="4"/>
      <c r="S73" s="4"/>
      <c r="T73" s="4"/>
      <c r="U73" s="233"/>
    </row>
    <row r="74" spans="2:31" x14ac:dyDescent="0.25">
      <c r="B74" s="509"/>
      <c r="C74" s="4"/>
      <c r="D74" s="3"/>
      <c r="E74" s="3"/>
      <c r="F74" s="3"/>
      <c r="G74" s="4"/>
      <c r="H74" s="4"/>
      <c r="I74" s="3"/>
      <c r="J74" s="3"/>
      <c r="K74" s="3"/>
      <c r="L74" s="4"/>
      <c r="M74" s="4"/>
      <c r="N74" s="4"/>
      <c r="O74" s="4"/>
      <c r="P74" s="4"/>
      <c r="Q74" s="4"/>
      <c r="R74" s="4"/>
      <c r="S74" s="4"/>
      <c r="T74" s="4"/>
      <c r="U74" s="233"/>
    </row>
    <row r="75" spans="2:31" x14ac:dyDescent="0.25">
      <c r="B75" s="509"/>
      <c r="C75" s="4"/>
      <c r="D75" s="3"/>
      <c r="E75" s="3"/>
      <c r="F75" s="3"/>
      <c r="G75" s="4"/>
      <c r="H75" s="4"/>
      <c r="I75" s="3"/>
      <c r="J75" s="3"/>
      <c r="K75" s="3"/>
      <c r="L75" s="4"/>
      <c r="M75" s="4"/>
      <c r="N75" s="4"/>
      <c r="O75" s="4"/>
      <c r="P75" s="4"/>
      <c r="Q75" s="4"/>
      <c r="R75" s="4"/>
      <c r="S75" s="4"/>
      <c r="T75" s="4"/>
      <c r="U75" s="433"/>
    </row>
    <row r="76" spans="2:31" x14ac:dyDescent="0.25">
      <c r="B76" s="509"/>
      <c r="C76" s="4"/>
      <c r="D76" s="3"/>
      <c r="E76" s="3"/>
      <c r="F76" s="3"/>
      <c r="G76" s="4"/>
      <c r="H76" s="4"/>
      <c r="I76" s="3"/>
      <c r="J76" s="3"/>
      <c r="K76" s="3"/>
      <c r="L76" s="4"/>
      <c r="M76" s="3"/>
      <c r="N76" s="4"/>
      <c r="O76" s="4"/>
      <c r="P76" s="4"/>
      <c r="Q76" s="4"/>
      <c r="R76" s="4"/>
      <c r="S76" s="4"/>
      <c r="T76" s="4"/>
      <c r="U76" s="109"/>
    </row>
    <row r="77" spans="2:31" x14ac:dyDescent="0.25">
      <c r="B77" s="509"/>
      <c r="C77" s="4"/>
      <c r="D77" s="3"/>
      <c r="E77" s="3"/>
      <c r="F77" s="3"/>
      <c r="G77" s="4"/>
      <c r="H77" s="4"/>
      <c r="I77" s="3"/>
      <c r="J77" s="3"/>
      <c r="K77" s="3"/>
      <c r="L77" s="4"/>
      <c r="M77" s="3"/>
      <c r="N77" s="4"/>
      <c r="O77" s="431"/>
      <c r="P77" s="4"/>
      <c r="Q77" s="4"/>
      <c r="R77" s="4"/>
      <c r="S77" s="4"/>
      <c r="T77" s="4"/>
      <c r="U77" s="109"/>
    </row>
    <row r="78" spans="2:31" x14ac:dyDescent="0.25">
      <c r="B78" s="611"/>
      <c r="C78" s="4"/>
      <c r="D78" s="4"/>
      <c r="E78" s="3"/>
      <c r="F78" s="3"/>
      <c r="G78" s="4"/>
      <c r="H78" s="4"/>
      <c r="I78" s="3"/>
      <c r="J78" s="3"/>
      <c r="K78" s="3"/>
      <c r="L78" s="4"/>
      <c r="M78" s="4"/>
      <c r="N78" s="4"/>
      <c r="O78" s="431"/>
      <c r="P78" s="431"/>
      <c r="Q78" s="431"/>
      <c r="R78" s="431"/>
      <c r="S78" s="431"/>
      <c r="T78" s="431"/>
      <c r="U78" s="432"/>
    </row>
    <row r="79" spans="2:31" x14ac:dyDescent="0.25">
      <c r="B79" s="611"/>
      <c r="C79" s="4"/>
      <c r="D79" s="4"/>
      <c r="E79" s="3"/>
      <c r="F79" s="3"/>
      <c r="G79" s="4"/>
      <c r="H79" s="4"/>
      <c r="I79" s="3"/>
      <c r="J79" s="3"/>
      <c r="K79" s="3"/>
      <c r="L79" s="4"/>
      <c r="M79" s="4"/>
      <c r="N79" s="4"/>
      <c r="O79" s="4"/>
      <c r="P79" s="4"/>
      <c r="Q79" s="4"/>
      <c r="R79" s="4"/>
      <c r="S79" s="4"/>
      <c r="T79" s="4"/>
      <c r="U79" s="233"/>
    </row>
    <row r="80" spans="2:31" x14ac:dyDescent="0.25">
      <c r="B80" s="611"/>
      <c r="C80" s="4"/>
      <c r="D80" s="4"/>
      <c r="E80" s="3"/>
      <c r="F80" s="3"/>
      <c r="G80" s="4"/>
      <c r="H80" s="4"/>
      <c r="I80" s="3"/>
      <c r="J80" s="3"/>
      <c r="K80" s="3"/>
      <c r="L80" s="4"/>
      <c r="M80" s="4"/>
      <c r="N80" s="4"/>
      <c r="O80" s="4"/>
      <c r="P80" s="4"/>
      <c r="Q80" s="4"/>
      <c r="R80" s="4"/>
      <c r="S80" s="4"/>
      <c r="T80" s="4"/>
      <c r="U80" s="233"/>
    </row>
    <row r="81" spans="1:21" x14ac:dyDescent="0.25">
      <c r="B81" s="611"/>
      <c r="C81" s="4"/>
      <c r="D81" s="4"/>
      <c r="E81" s="3"/>
      <c r="F81" s="3"/>
      <c r="G81" s="4"/>
      <c r="H81" s="4"/>
      <c r="I81" s="3"/>
      <c r="J81" s="3"/>
      <c r="K81" s="3"/>
      <c r="L81" s="4"/>
      <c r="M81" s="4"/>
      <c r="N81" s="4"/>
      <c r="O81" s="4"/>
      <c r="P81" s="4"/>
      <c r="Q81" s="4"/>
      <c r="R81" s="4"/>
      <c r="S81" s="4"/>
      <c r="T81" s="4"/>
      <c r="U81" s="433"/>
    </row>
    <row r="82" spans="1:21" x14ac:dyDescent="0.25">
      <c r="B82" s="611"/>
      <c r="C82" s="4"/>
      <c r="D82" s="4"/>
      <c r="E82" s="3"/>
      <c r="F82" s="3"/>
      <c r="G82" s="4"/>
      <c r="H82" s="4"/>
      <c r="I82" s="3"/>
      <c r="J82" s="3"/>
      <c r="K82" s="3"/>
      <c r="L82" s="4"/>
      <c r="M82" s="4"/>
      <c r="N82" s="4"/>
      <c r="O82" s="4"/>
      <c r="P82" s="4"/>
      <c r="Q82" s="4"/>
      <c r="R82" s="4"/>
      <c r="S82" s="4"/>
      <c r="T82" s="4"/>
      <c r="U82" s="109"/>
    </row>
    <row r="83" spans="1:21" x14ac:dyDescent="0.25">
      <c r="B83" s="611"/>
      <c r="C83" s="4"/>
      <c r="D83" s="4"/>
      <c r="E83" s="3"/>
      <c r="F83" s="3"/>
      <c r="G83" s="4"/>
      <c r="H83" s="4"/>
      <c r="I83" s="3"/>
      <c r="J83" s="3"/>
      <c r="K83" s="3"/>
      <c r="L83" s="4"/>
      <c r="M83" s="4"/>
      <c r="N83" s="4"/>
      <c r="O83" s="4"/>
      <c r="P83" s="4"/>
      <c r="Q83" s="4"/>
      <c r="R83" s="4"/>
      <c r="S83" s="4"/>
      <c r="T83" s="4"/>
      <c r="U83" s="109"/>
    </row>
    <row r="84" spans="1:21" x14ac:dyDescent="0.25">
      <c r="B84" s="509"/>
      <c r="C84" s="4"/>
      <c r="D84" s="4"/>
      <c r="E84" s="3"/>
      <c r="F84" s="3"/>
      <c r="G84" s="4"/>
      <c r="H84" s="4"/>
      <c r="I84" s="3"/>
      <c r="J84" s="3"/>
      <c r="K84" s="3"/>
      <c r="L84" s="4"/>
      <c r="M84" s="4"/>
      <c r="N84" s="4"/>
      <c r="O84" s="4"/>
      <c r="P84" s="4"/>
      <c r="Q84" s="4"/>
      <c r="R84" s="4"/>
      <c r="S84" s="4"/>
      <c r="T84" s="4"/>
      <c r="U84" s="109"/>
    </row>
    <row r="85" spans="1:21" x14ac:dyDescent="0.25">
      <c r="B85" s="509"/>
      <c r="C85" s="4"/>
      <c r="D85" s="4"/>
      <c r="E85" s="3"/>
      <c r="F85" s="3"/>
      <c r="G85" s="4"/>
      <c r="H85" s="4"/>
      <c r="I85" s="3"/>
      <c r="J85" s="3"/>
      <c r="K85" s="3"/>
      <c r="L85" s="4"/>
      <c r="M85" s="4"/>
      <c r="N85" s="4"/>
    </row>
    <row r="86" spans="1:21" x14ac:dyDescent="0.25">
      <c r="B86" s="509"/>
      <c r="C86" s="4"/>
      <c r="D86" s="3"/>
      <c r="E86" s="3"/>
      <c r="F86" s="3"/>
      <c r="G86" s="4"/>
      <c r="H86" s="4"/>
      <c r="I86" s="3"/>
      <c r="J86" s="3"/>
      <c r="K86" s="3"/>
      <c r="L86" s="4"/>
      <c r="M86" s="4"/>
      <c r="N86" s="4"/>
    </row>
    <row r="87" spans="1:21" x14ac:dyDescent="0.25">
      <c r="B87" s="509"/>
      <c r="C87" s="4"/>
      <c r="D87" s="3"/>
      <c r="E87" s="3"/>
      <c r="F87" s="3"/>
      <c r="G87" s="4"/>
      <c r="H87" s="4"/>
      <c r="I87" s="3"/>
      <c r="J87" s="3"/>
      <c r="K87" s="3"/>
      <c r="L87" s="4"/>
      <c r="M87" s="4"/>
      <c r="N87" s="4"/>
      <c r="O87" s="1"/>
    </row>
    <row r="88" spans="1:21" x14ac:dyDescent="0.25">
      <c r="B88" s="509"/>
      <c r="C88" s="4"/>
      <c r="D88" s="3"/>
      <c r="E88" s="3"/>
      <c r="F88" s="3"/>
      <c r="G88" s="4"/>
      <c r="H88" s="4"/>
      <c r="I88" s="3"/>
      <c r="J88" s="3"/>
      <c r="K88" s="3"/>
      <c r="L88" s="4"/>
      <c r="M88" s="4"/>
      <c r="N88" s="4"/>
    </row>
    <row r="89" spans="1:21" x14ac:dyDescent="0.25">
      <c r="B89" s="509"/>
      <c r="C89" s="4"/>
      <c r="D89" s="3"/>
      <c r="E89" s="3"/>
      <c r="F89" s="3"/>
      <c r="G89" s="4"/>
      <c r="H89" s="4"/>
      <c r="I89" s="3"/>
      <c r="J89" s="3"/>
      <c r="K89" s="3"/>
      <c r="L89" s="4"/>
      <c r="M89" s="4"/>
      <c r="N89" s="4"/>
    </row>
    <row r="90" spans="1:21" x14ac:dyDescent="0.25">
      <c r="B90" s="509"/>
      <c r="C90" s="4"/>
      <c r="D90" s="3"/>
      <c r="E90" s="3"/>
      <c r="F90" s="3"/>
      <c r="G90" s="4"/>
      <c r="H90" s="4"/>
      <c r="I90" s="3"/>
      <c r="J90" s="3"/>
      <c r="K90" s="3"/>
      <c r="L90" s="4"/>
      <c r="M90" s="4"/>
      <c r="N90" s="4"/>
    </row>
    <row r="91" spans="1:21" x14ac:dyDescent="0.25">
      <c r="B91" s="509"/>
      <c r="C91" s="4"/>
      <c r="D91" s="3"/>
      <c r="E91" s="3"/>
      <c r="F91" s="3"/>
      <c r="G91" s="4"/>
      <c r="H91" s="4"/>
      <c r="I91" s="3"/>
      <c r="J91" s="3"/>
      <c r="K91" s="3"/>
      <c r="L91" s="4"/>
      <c r="M91" s="4"/>
      <c r="N91" s="4"/>
    </row>
    <row r="92" spans="1:21" x14ac:dyDescent="0.25">
      <c r="A92" s="586"/>
      <c r="B92" s="509"/>
      <c r="C92" s="4"/>
      <c r="D92" s="3"/>
      <c r="E92" s="3"/>
      <c r="F92" s="3"/>
      <c r="G92" s="4"/>
      <c r="H92" s="4"/>
      <c r="I92" s="3"/>
      <c r="J92" s="3"/>
      <c r="K92" s="3"/>
      <c r="L92" s="4"/>
      <c r="M92" s="4"/>
      <c r="N92" s="4"/>
    </row>
    <row r="93" spans="1:21" x14ac:dyDescent="0.25">
      <c r="A93" s="586"/>
      <c r="B93" s="509"/>
      <c r="C93" s="4"/>
      <c r="D93" s="3"/>
      <c r="E93" s="3"/>
      <c r="F93" s="3"/>
      <c r="G93" s="4"/>
      <c r="H93" s="4"/>
      <c r="I93" s="3"/>
      <c r="J93" s="3"/>
      <c r="K93" s="3"/>
      <c r="L93" s="4"/>
      <c r="M93" s="4"/>
      <c r="N93" s="4"/>
    </row>
    <row r="94" spans="1:21" x14ac:dyDescent="0.25">
      <c r="A94" s="586"/>
      <c r="B94" s="509"/>
      <c r="C94" s="4"/>
      <c r="D94" s="3"/>
      <c r="E94" s="3"/>
      <c r="F94" s="3"/>
      <c r="G94" s="4"/>
      <c r="H94" s="4"/>
      <c r="I94" s="3"/>
      <c r="J94" s="3"/>
      <c r="K94" s="3"/>
      <c r="L94" s="4"/>
      <c r="M94" s="4"/>
      <c r="N94" s="4"/>
    </row>
    <row r="95" spans="1:21" x14ac:dyDescent="0.25">
      <c r="B95" s="509"/>
      <c r="C95" s="4"/>
      <c r="D95" s="3"/>
      <c r="E95" s="3"/>
      <c r="F95" s="3"/>
      <c r="G95" s="4"/>
      <c r="H95" s="4"/>
      <c r="I95" s="3"/>
      <c r="J95" s="3"/>
      <c r="K95" s="3"/>
      <c r="L95" s="4"/>
      <c r="M95" s="4"/>
      <c r="N95" s="4"/>
    </row>
    <row r="96" spans="1:21" x14ac:dyDescent="0.25">
      <c r="B96" s="509"/>
      <c r="C96" s="4"/>
      <c r="D96" s="3"/>
      <c r="E96" s="3"/>
      <c r="F96" s="3"/>
      <c r="G96" s="4"/>
      <c r="H96" s="4"/>
      <c r="I96" s="3"/>
      <c r="J96" s="3"/>
      <c r="K96" s="3"/>
      <c r="L96" s="4"/>
      <c r="M96" s="4"/>
      <c r="N96" s="4"/>
    </row>
    <row r="97" spans="2:14" x14ac:dyDescent="0.25">
      <c r="B97" s="509"/>
      <c r="C97" s="4"/>
      <c r="D97" s="3"/>
      <c r="E97" s="3"/>
      <c r="F97" s="3"/>
      <c r="G97" s="4"/>
      <c r="H97" s="4"/>
      <c r="I97" s="3"/>
      <c r="J97" s="3"/>
      <c r="K97" s="3"/>
      <c r="L97" s="4"/>
      <c r="M97" s="4"/>
      <c r="N97" s="4"/>
    </row>
    <row r="98" spans="2:14" x14ac:dyDescent="0.25">
      <c r="B98" s="509"/>
      <c r="C98" s="4"/>
      <c r="D98" s="3"/>
      <c r="E98" s="3"/>
      <c r="F98" s="3"/>
      <c r="G98" s="4"/>
      <c r="H98" s="4"/>
      <c r="I98" s="3"/>
      <c r="J98" s="3"/>
      <c r="K98" s="3"/>
      <c r="L98" s="4"/>
      <c r="M98" s="4"/>
      <c r="N98" s="4"/>
    </row>
    <row r="99" spans="2:14" x14ac:dyDescent="0.25">
      <c r="B99" s="509"/>
      <c r="C99" s="4"/>
      <c r="D99" s="3"/>
      <c r="E99" s="3"/>
      <c r="F99" s="3"/>
      <c r="G99" s="4"/>
      <c r="H99" s="4"/>
      <c r="I99" s="3"/>
      <c r="J99" s="3"/>
      <c r="K99" s="3"/>
      <c r="L99" s="4"/>
      <c r="M99" s="4"/>
      <c r="N99" s="4"/>
    </row>
    <row r="100" spans="2:14" x14ac:dyDescent="0.25">
      <c r="B100" s="509"/>
      <c r="C100" s="4"/>
      <c r="D100" s="3"/>
      <c r="E100" s="3"/>
      <c r="F100" s="3"/>
      <c r="G100" s="4"/>
      <c r="H100" s="4"/>
      <c r="I100" s="3"/>
      <c r="J100" s="3"/>
      <c r="K100" s="3"/>
      <c r="L100" s="4"/>
      <c r="M100" s="4"/>
      <c r="N100" s="4"/>
    </row>
    <row r="101" spans="2:14" x14ac:dyDescent="0.25">
      <c r="B101" s="509"/>
      <c r="C101" s="4"/>
      <c r="D101" s="3"/>
      <c r="E101" s="3"/>
      <c r="F101" s="3"/>
      <c r="G101" s="4"/>
      <c r="H101" s="4"/>
      <c r="I101" s="3"/>
      <c r="J101" s="3"/>
      <c r="K101" s="3"/>
      <c r="L101" s="4"/>
      <c r="M101" s="4"/>
      <c r="N101" s="4"/>
    </row>
    <row r="102" spans="2:14" x14ac:dyDescent="0.25">
      <c r="B102" s="509"/>
      <c r="C102" s="4"/>
      <c r="D102" s="3"/>
      <c r="E102" s="3"/>
      <c r="F102" s="3"/>
      <c r="G102" s="4"/>
      <c r="H102" s="4"/>
      <c r="I102" s="3"/>
      <c r="J102" s="3"/>
      <c r="K102" s="3"/>
      <c r="L102" s="4"/>
      <c r="M102" s="4"/>
      <c r="N102" s="4"/>
    </row>
    <row r="103" spans="2:14" x14ac:dyDescent="0.25">
      <c r="B103" s="509"/>
      <c r="C103" s="4"/>
      <c r="D103" s="3"/>
      <c r="E103" s="3"/>
      <c r="F103" s="3"/>
      <c r="G103" s="4"/>
      <c r="H103" s="4"/>
      <c r="I103" s="3"/>
      <c r="J103" s="3"/>
      <c r="K103" s="3"/>
      <c r="L103" s="4"/>
      <c r="M103" s="4"/>
      <c r="N103" s="4"/>
    </row>
    <row r="104" spans="2:14" x14ac:dyDescent="0.25">
      <c r="B104" s="509"/>
      <c r="C104" s="4"/>
      <c r="D104" s="3"/>
      <c r="E104" s="3"/>
      <c r="F104" s="3"/>
      <c r="G104" s="74"/>
      <c r="H104" s="185"/>
      <c r="I104" s="3"/>
      <c r="J104" s="3"/>
      <c r="K104" s="3"/>
      <c r="L104" s="4"/>
      <c r="M104" s="4"/>
      <c r="N104" s="4"/>
    </row>
    <row r="105" spans="2:14" x14ac:dyDescent="0.25">
      <c r="B105" s="509"/>
      <c r="C105" s="4"/>
      <c r="D105" s="3"/>
      <c r="E105" s="3"/>
      <c r="F105" s="3"/>
      <c r="G105" s="74"/>
      <c r="H105" s="185"/>
      <c r="I105" s="3"/>
      <c r="J105" s="3"/>
      <c r="K105" s="3"/>
      <c r="L105" s="4"/>
      <c r="M105" s="4"/>
      <c r="N105" s="4"/>
    </row>
    <row r="106" spans="2:14" x14ac:dyDescent="0.25">
      <c r="B106" s="509"/>
      <c r="C106" s="4"/>
      <c r="D106" s="3"/>
      <c r="E106" s="3"/>
      <c r="F106" s="3"/>
      <c r="G106" s="74"/>
      <c r="H106" s="185"/>
      <c r="I106" s="3"/>
      <c r="J106" s="3"/>
      <c r="K106" s="3"/>
      <c r="L106" s="4"/>
      <c r="M106" s="4"/>
      <c r="N106" s="4"/>
    </row>
    <row r="107" spans="2:14" x14ac:dyDescent="0.25">
      <c r="B107" s="509"/>
      <c r="C107" s="4"/>
      <c r="D107" s="3"/>
      <c r="E107" s="3"/>
      <c r="F107" s="3"/>
      <c r="G107" s="74"/>
      <c r="H107" s="185"/>
      <c r="I107" s="3"/>
      <c r="J107" s="3"/>
      <c r="K107" s="3"/>
      <c r="L107" s="4"/>
      <c r="M107" s="4"/>
      <c r="N107" s="4"/>
    </row>
    <row r="108" spans="2:14" x14ac:dyDescent="0.25">
      <c r="B108" s="509"/>
      <c r="C108" s="4"/>
      <c r="D108" s="3"/>
      <c r="E108" s="3"/>
      <c r="F108" s="3"/>
      <c r="G108" s="74"/>
      <c r="H108" s="185"/>
      <c r="I108" s="3"/>
      <c r="J108" s="3"/>
      <c r="K108" s="3"/>
      <c r="L108" s="4"/>
      <c r="M108" s="4"/>
      <c r="N108" s="4"/>
    </row>
    <row r="109" spans="2:14" x14ac:dyDescent="0.25">
      <c r="B109" s="509"/>
      <c r="C109" s="4"/>
      <c r="D109" s="3"/>
      <c r="E109" s="3"/>
      <c r="F109" s="3"/>
      <c r="G109" s="4"/>
      <c r="H109" s="4"/>
      <c r="I109" s="3"/>
      <c r="J109" s="3"/>
      <c r="K109" s="3"/>
      <c r="L109" s="4"/>
      <c r="M109" s="4"/>
      <c r="N109" s="4"/>
    </row>
    <row r="110" spans="2:14" x14ac:dyDescent="0.25">
      <c r="B110" s="509"/>
      <c r="C110" s="4"/>
      <c r="D110" s="3"/>
      <c r="E110" s="3"/>
      <c r="F110" s="3"/>
      <c r="G110" s="74"/>
      <c r="H110" s="185"/>
      <c r="I110" s="3"/>
      <c r="J110" s="3"/>
      <c r="K110" s="3"/>
      <c r="L110" s="4"/>
      <c r="M110" s="4"/>
      <c r="N110" s="4"/>
    </row>
    <row r="111" spans="2:14" x14ac:dyDescent="0.25">
      <c r="B111" s="509"/>
      <c r="C111" s="4"/>
      <c r="D111" s="3"/>
      <c r="E111" s="3"/>
      <c r="F111" s="3"/>
      <c r="G111" s="74"/>
      <c r="H111" s="185"/>
      <c r="I111" s="3"/>
      <c r="J111" s="3"/>
      <c r="K111" s="3"/>
      <c r="L111" s="4"/>
      <c r="M111" s="4"/>
      <c r="N111" s="4"/>
    </row>
    <row r="112" spans="2:14" x14ac:dyDescent="0.25">
      <c r="B112" s="509"/>
      <c r="C112" s="4"/>
      <c r="D112" s="3"/>
      <c r="E112" s="3"/>
      <c r="F112" s="3"/>
      <c r="G112" s="164"/>
      <c r="H112" s="185"/>
      <c r="I112" s="3"/>
      <c r="J112" s="3"/>
      <c r="K112" s="3"/>
      <c r="L112" s="4"/>
      <c r="M112" s="4"/>
      <c r="N112" s="4"/>
    </row>
    <row r="113" spans="1:14" x14ac:dyDescent="0.25">
      <c r="B113" s="509"/>
      <c r="C113" s="4"/>
      <c r="D113" s="3"/>
      <c r="E113" s="3"/>
      <c r="F113" s="3"/>
      <c r="G113" s="74"/>
      <c r="H113" s="185"/>
      <c r="I113" s="3"/>
      <c r="J113" s="3"/>
      <c r="K113" s="3"/>
      <c r="L113" s="4"/>
      <c r="M113" s="4"/>
      <c r="N113" s="4"/>
    </row>
    <row r="114" spans="1:14" x14ac:dyDescent="0.25">
      <c r="B114" s="509"/>
      <c r="C114" s="4"/>
      <c r="D114" s="3"/>
      <c r="E114" s="3"/>
      <c r="F114" s="3"/>
      <c r="G114" s="74"/>
      <c r="H114" s="185"/>
      <c r="I114" s="3"/>
      <c r="J114" s="3"/>
      <c r="K114" s="3"/>
      <c r="L114" s="4"/>
      <c r="M114" s="4"/>
      <c r="N114" s="4"/>
    </row>
    <row r="115" spans="1:14" x14ac:dyDescent="0.25">
      <c r="B115" s="509"/>
      <c r="C115" s="4"/>
      <c r="D115" s="3"/>
      <c r="E115" s="3"/>
      <c r="F115" s="3"/>
      <c r="G115" s="74"/>
      <c r="H115" s="185"/>
      <c r="I115" s="3"/>
      <c r="J115" s="3"/>
      <c r="K115" s="3"/>
      <c r="L115" s="4"/>
      <c r="M115" s="4"/>
      <c r="N115" s="4"/>
    </row>
    <row r="116" spans="1:14" x14ac:dyDescent="0.25">
      <c r="B116" s="509"/>
      <c r="C116" s="4"/>
      <c r="D116" s="3"/>
      <c r="E116" s="3"/>
      <c r="F116" s="3"/>
      <c r="G116" s="74"/>
      <c r="H116" s="185"/>
      <c r="I116" s="3"/>
      <c r="J116" s="3"/>
      <c r="K116" s="3"/>
      <c r="L116" s="4"/>
      <c r="M116" s="4"/>
      <c r="N116" s="4"/>
    </row>
    <row r="117" spans="1:14" x14ac:dyDescent="0.25">
      <c r="B117" s="509"/>
      <c r="C117" s="4"/>
      <c r="D117" s="3"/>
      <c r="E117" s="3"/>
      <c r="F117" s="3"/>
      <c r="G117" s="74"/>
      <c r="H117" s="185"/>
      <c r="I117" s="3"/>
      <c r="J117" s="3"/>
      <c r="K117" s="3"/>
      <c r="L117" s="4"/>
      <c r="M117" s="4"/>
      <c r="N117" s="4"/>
    </row>
    <row r="118" spans="1:14" x14ac:dyDescent="0.25">
      <c r="B118" s="509"/>
      <c r="C118" s="4"/>
      <c r="D118" s="3"/>
      <c r="E118" s="3"/>
      <c r="F118" s="3"/>
      <c r="G118" s="4"/>
      <c r="H118" s="4"/>
      <c r="I118" s="3"/>
      <c r="J118" s="3"/>
      <c r="K118" s="3"/>
      <c r="L118" s="4"/>
      <c r="M118" s="4"/>
      <c r="N118" s="4"/>
    </row>
    <row r="119" spans="1:14" x14ac:dyDescent="0.25">
      <c r="B119" s="509"/>
      <c r="C119" s="185"/>
      <c r="D119" s="3"/>
      <c r="E119" s="3"/>
      <c r="F119" s="3"/>
      <c r="G119" s="4"/>
      <c r="H119" s="4"/>
      <c r="I119" s="3"/>
      <c r="J119" s="3"/>
      <c r="K119" s="3"/>
      <c r="L119" s="4"/>
      <c r="M119" s="4"/>
      <c r="N119" s="4"/>
    </row>
    <row r="120" spans="1:14" x14ac:dyDescent="0.25">
      <c r="B120" s="509"/>
      <c r="C120" s="4"/>
      <c r="D120" s="3"/>
      <c r="E120" s="3"/>
      <c r="F120" s="3"/>
      <c r="G120" s="74"/>
      <c r="H120" s="185"/>
      <c r="I120" s="3"/>
      <c r="J120" s="3"/>
      <c r="K120" s="3"/>
      <c r="L120" s="4"/>
      <c r="M120" s="4"/>
      <c r="N120" s="4"/>
    </row>
    <row r="121" spans="1:14" x14ac:dyDescent="0.25">
      <c r="B121" s="509"/>
      <c r="C121" s="4"/>
      <c r="D121" s="3"/>
      <c r="E121" s="3"/>
      <c r="F121" s="3"/>
      <c r="G121" s="74"/>
      <c r="H121" s="185"/>
      <c r="I121" s="3"/>
      <c r="J121" s="3"/>
      <c r="K121" s="3"/>
      <c r="L121" s="4"/>
      <c r="M121" s="4"/>
      <c r="N121" s="4"/>
    </row>
    <row r="122" spans="1:14" x14ac:dyDescent="0.25">
      <c r="A122" s="1"/>
      <c r="B122" s="509"/>
      <c r="C122" s="4"/>
      <c r="D122" s="3"/>
      <c r="E122" s="3"/>
      <c r="F122" s="3"/>
      <c r="G122" s="74"/>
      <c r="H122" s="4"/>
      <c r="I122" s="3"/>
      <c r="J122" s="3"/>
      <c r="K122" s="3"/>
      <c r="L122" s="4"/>
      <c r="M122" s="4"/>
      <c r="N122" s="4"/>
    </row>
    <row r="123" spans="1:14" x14ac:dyDescent="0.25">
      <c r="B123" s="509"/>
      <c r="C123" s="4"/>
      <c r="D123" s="3"/>
      <c r="E123" s="3"/>
      <c r="F123" s="3"/>
      <c r="G123" s="74"/>
      <c r="H123" s="4"/>
      <c r="I123" s="3"/>
      <c r="J123" s="3"/>
      <c r="K123" s="3"/>
      <c r="L123" s="4"/>
      <c r="M123" s="4"/>
      <c r="N123" s="4"/>
    </row>
    <row r="124" spans="1:14" x14ac:dyDescent="0.25">
      <c r="B124" s="509"/>
      <c r="C124" s="4"/>
      <c r="D124" s="3"/>
      <c r="E124" s="3"/>
      <c r="F124" s="3"/>
      <c r="G124" s="74"/>
      <c r="H124" s="4"/>
      <c r="I124" s="3"/>
      <c r="J124" s="3"/>
      <c r="K124" s="3"/>
      <c r="L124" s="4"/>
      <c r="M124" s="4"/>
      <c r="N124" s="4"/>
    </row>
    <row r="125" spans="1:14" x14ac:dyDescent="0.25">
      <c r="B125" s="509"/>
      <c r="C125" s="4"/>
      <c r="D125" s="3"/>
      <c r="E125" s="3"/>
      <c r="F125" s="3"/>
      <c r="G125" s="74"/>
      <c r="H125" s="4"/>
      <c r="I125" s="3"/>
      <c r="J125" s="3"/>
      <c r="K125" s="3"/>
      <c r="L125" s="4"/>
      <c r="M125" s="4"/>
      <c r="N125" s="4"/>
    </row>
    <row r="126" spans="1:14" x14ac:dyDescent="0.25">
      <c r="B126" s="509"/>
      <c r="C126" s="4"/>
      <c r="D126" s="3"/>
      <c r="E126" s="3"/>
      <c r="F126" s="3"/>
      <c r="G126" s="74"/>
      <c r="H126" s="4"/>
      <c r="I126" s="3"/>
      <c r="J126" s="3"/>
      <c r="K126" s="3"/>
      <c r="L126" s="4"/>
      <c r="M126" s="656"/>
      <c r="N126" s="4"/>
    </row>
    <row r="127" spans="1:14" x14ac:dyDescent="0.25">
      <c r="B127" s="509"/>
      <c r="C127" s="4"/>
      <c r="D127" s="3"/>
      <c r="E127" s="3"/>
      <c r="F127" s="3"/>
      <c r="G127" s="74"/>
      <c r="H127" s="4"/>
      <c r="I127" s="3"/>
      <c r="J127" s="3"/>
      <c r="K127" s="3"/>
      <c r="L127" s="4"/>
      <c r="M127" s="656"/>
      <c r="N127" s="4"/>
    </row>
    <row r="128" spans="1:14" x14ac:dyDescent="0.25">
      <c r="B128" s="509"/>
      <c r="C128" s="4"/>
      <c r="D128" s="3"/>
      <c r="E128" s="3"/>
      <c r="F128" s="3"/>
      <c r="G128" s="74"/>
      <c r="H128" s="4"/>
      <c r="I128" s="3"/>
      <c r="J128" s="3"/>
      <c r="K128" s="3"/>
      <c r="L128" s="4"/>
      <c r="M128" s="656"/>
      <c r="N128" s="4"/>
    </row>
    <row r="129" spans="2:14" x14ac:dyDescent="0.25">
      <c r="B129" s="509"/>
      <c r="C129" s="4"/>
      <c r="D129" s="3"/>
      <c r="E129" s="3"/>
      <c r="F129" s="3"/>
      <c r="G129" s="74"/>
      <c r="H129" s="4"/>
      <c r="I129" s="3"/>
      <c r="J129" s="3"/>
      <c r="K129" s="3"/>
      <c r="L129" s="4"/>
      <c r="M129" s="656"/>
      <c r="N129" s="4"/>
    </row>
    <row r="130" spans="2:14" x14ac:dyDescent="0.25">
      <c r="B130" s="509"/>
      <c r="C130" s="4"/>
      <c r="D130" s="3"/>
      <c r="E130" s="3"/>
      <c r="F130" s="3"/>
      <c r="G130" s="74"/>
      <c r="H130" s="4"/>
      <c r="I130" s="3"/>
      <c r="J130" s="3"/>
      <c r="K130" s="3"/>
      <c r="L130" s="4"/>
      <c r="M130" s="4"/>
      <c r="N130" s="4"/>
    </row>
    <row r="131" spans="2:14" x14ac:dyDescent="0.25">
      <c r="B131" s="509"/>
      <c r="C131" s="4"/>
      <c r="D131" s="3"/>
      <c r="E131" s="3"/>
      <c r="F131" s="3"/>
      <c r="G131" s="74"/>
      <c r="H131" s="4"/>
      <c r="I131" s="3"/>
      <c r="J131" s="3"/>
      <c r="K131" s="3"/>
      <c r="L131" s="4"/>
      <c r="M131" s="4"/>
      <c r="N131" s="4"/>
    </row>
    <row r="132" spans="2:14" x14ac:dyDescent="0.25">
      <c r="B132" s="509"/>
      <c r="C132" s="4"/>
      <c r="D132" s="3"/>
      <c r="E132" s="3"/>
      <c r="F132" s="3"/>
      <c r="G132" s="74"/>
      <c r="H132" s="4"/>
      <c r="I132" s="3"/>
      <c r="J132" s="3"/>
      <c r="K132" s="3"/>
      <c r="L132" s="4"/>
      <c r="M132" s="4"/>
      <c r="N132" s="4"/>
    </row>
    <row r="133" spans="2:14" x14ac:dyDescent="0.25">
      <c r="B133" s="509"/>
      <c r="C133" s="4"/>
      <c r="D133" s="3"/>
      <c r="E133" s="3"/>
      <c r="F133" s="3"/>
      <c r="G133" s="74"/>
      <c r="H133" s="4"/>
      <c r="I133" s="3"/>
      <c r="J133" s="3"/>
      <c r="K133" s="3"/>
      <c r="L133" s="4"/>
      <c r="M133" s="4"/>
      <c r="N133" s="4"/>
    </row>
    <row r="134" spans="2:14" x14ac:dyDescent="0.25">
      <c r="B134" s="509"/>
      <c r="C134" s="4"/>
      <c r="D134" s="3"/>
      <c r="E134" s="3"/>
      <c r="F134" s="3"/>
      <c r="G134" s="74"/>
      <c r="H134" s="4"/>
      <c r="I134" s="3"/>
      <c r="J134" s="3"/>
      <c r="K134" s="3"/>
      <c r="L134" s="4"/>
      <c r="M134" s="4"/>
      <c r="N134" s="4"/>
    </row>
    <row r="135" spans="2:14" x14ac:dyDescent="0.25">
      <c r="B135" s="509"/>
      <c r="C135" s="4"/>
      <c r="D135" s="3"/>
      <c r="E135" s="3"/>
      <c r="F135" s="3"/>
      <c r="G135" s="74"/>
      <c r="H135" s="185"/>
      <c r="I135" s="3"/>
      <c r="J135" s="3"/>
      <c r="K135" s="3"/>
      <c r="L135" s="4"/>
      <c r="M135" s="4"/>
      <c r="N135" s="4"/>
    </row>
    <row r="136" spans="2:14" x14ac:dyDescent="0.25">
      <c r="B136" s="509"/>
      <c r="C136" s="4"/>
      <c r="D136" s="3"/>
      <c r="E136" s="3"/>
      <c r="F136" s="3"/>
      <c r="G136" s="74"/>
      <c r="H136" s="4"/>
      <c r="I136" s="3"/>
      <c r="J136" s="3"/>
      <c r="K136" s="3"/>
      <c r="L136" s="4"/>
      <c r="M136" s="4"/>
      <c r="N136" s="4"/>
    </row>
    <row r="137" spans="2:14" x14ac:dyDescent="0.25">
      <c r="B137" s="509"/>
      <c r="C137" s="4"/>
      <c r="D137" s="3"/>
      <c r="E137" s="3"/>
      <c r="F137" s="3"/>
      <c r="G137" s="74"/>
      <c r="H137" s="4"/>
      <c r="I137" s="3"/>
      <c r="J137" s="3"/>
      <c r="K137" s="3"/>
      <c r="L137" s="4"/>
      <c r="M137" s="4"/>
      <c r="N137" s="4"/>
    </row>
    <row r="138" spans="2:14" x14ac:dyDescent="0.25">
      <c r="B138" s="509"/>
      <c r="C138" s="4"/>
      <c r="D138" s="3"/>
      <c r="E138" s="3"/>
      <c r="F138" s="3"/>
      <c r="G138" s="74"/>
      <c r="H138" s="4"/>
      <c r="I138" s="3"/>
      <c r="J138" s="3"/>
      <c r="K138" s="3"/>
      <c r="L138" s="4"/>
      <c r="M138" s="4"/>
      <c r="N138" s="4"/>
    </row>
    <row r="139" spans="2:14" x14ac:dyDescent="0.25">
      <c r="B139" s="509"/>
      <c r="C139" s="4"/>
      <c r="D139" s="3"/>
      <c r="E139" s="3"/>
      <c r="F139" s="3"/>
      <c r="G139" s="74"/>
      <c r="H139" s="4"/>
      <c r="I139" s="3"/>
      <c r="J139" s="3"/>
      <c r="K139" s="3"/>
      <c r="L139" s="4"/>
      <c r="M139" s="4"/>
      <c r="N139" s="4"/>
    </row>
    <row r="140" spans="2:14" x14ac:dyDescent="0.25">
      <c r="B140" s="509"/>
      <c r="C140" s="4"/>
      <c r="D140" s="3"/>
      <c r="E140" s="3"/>
      <c r="F140" s="3"/>
      <c r="G140" s="74"/>
      <c r="H140" s="4"/>
      <c r="I140" s="3"/>
      <c r="J140" s="3"/>
      <c r="K140" s="3"/>
      <c r="L140" s="4"/>
      <c r="M140" s="4"/>
      <c r="N140" s="4"/>
    </row>
    <row r="141" spans="2:14" x14ac:dyDescent="0.25">
      <c r="B141" s="509"/>
      <c r="C141" s="4"/>
      <c r="D141" s="3"/>
      <c r="E141" s="3"/>
      <c r="F141" s="3"/>
      <c r="G141" s="74"/>
      <c r="H141" s="4"/>
      <c r="I141" s="3"/>
      <c r="J141" s="3"/>
      <c r="K141" s="3"/>
      <c r="L141" s="4"/>
      <c r="M141" s="4"/>
      <c r="N141" s="4"/>
    </row>
    <row r="142" spans="2:14" x14ac:dyDescent="0.25">
      <c r="B142" s="509"/>
      <c r="C142" s="4"/>
      <c r="D142" s="3"/>
      <c r="E142" s="3"/>
      <c r="F142" s="3"/>
      <c r="G142" s="74"/>
      <c r="H142" s="4"/>
      <c r="I142" s="3"/>
      <c r="J142" s="3"/>
      <c r="K142" s="3"/>
      <c r="L142" s="4"/>
      <c r="M142" s="4"/>
      <c r="N142" s="4"/>
    </row>
    <row r="143" spans="2:14" x14ac:dyDescent="0.25">
      <c r="B143" s="509"/>
      <c r="C143" s="4"/>
      <c r="D143" s="3"/>
      <c r="E143" s="3"/>
      <c r="F143" s="3"/>
      <c r="G143" s="74"/>
      <c r="H143" s="4"/>
      <c r="I143" s="3"/>
      <c r="J143" s="3"/>
      <c r="K143" s="3"/>
      <c r="L143" s="4"/>
      <c r="M143" s="4"/>
      <c r="N143" s="4"/>
    </row>
    <row r="144" spans="2:14" x14ac:dyDescent="0.25">
      <c r="G144" s="74"/>
      <c r="H144" s="4"/>
      <c r="I144" s="3"/>
      <c r="J144" s="3"/>
      <c r="K144" s="3"/>
      <c r="L144" s="4"/>
    </row>
    <row r="145" spans="2:12" x14ac:dyDescent="0.25">
      <c r="G145" s="655"/>
      <c r="H145" s="4"/>
      <c r="I145" s="3"/>
      <c r="J145" s="3"/>
      <c r="K145" s="3"/>
      <c r="L145" s="4"/>
    </row>
    <row r="146" spans="2:12" x14ac:dyDescent="0.25">
      <c r="G146" s="655"/>
      <c r="H146" s="4"/>
      <c r="I146" s="3"/>
      <c r="J146" s="3"/>
      <c r="K146" s="3"/>
      <c r="L146" s="4"/>
    </row>
    <row r="147" spans="2:12" x14ac:dyDescent="0.25">
      <c r="G147" s="655"/>
      <c r="H147" s="4"/>
      <c r="I147" s="3"/>
      <c r="J147" s="3"/>
      <c r="K147" s="3"/>
      <c r="L147" s="4"/>
    </row>
    <row r="148" spans="2:12" x14ac:dyDescent="0.25">
      <c r="G148" s="655"/>
      <c r="H148" s="4"/>
      <c r="I148" s="3"/>
      <c r="J148" s="3"/>
      <c r="K148" s="3"/>
      <c r="L148" s="4"/>
    </row>
    <row r="149" spans="2:12" x14ac:dyDescent="0.25">
      <c r="B149" s="30"/>
      <c r="C149" s="4"/>
      <c r="D149" s="3"/>
      <c r="E149" s="3"/>
      <c r="F149" s="3"/>
      <c r="G149" s="74"/>
      <c r="H149" s="4"/>
      <c r="I149" s="3"/>
      <c r="J149" s="3"/>
      <c r="K149" s="3"/>
      <c r="L149" s="4"/>
    </row>
    <row r="150" spans="2:12" x14ac:dyDescent="0.25">
      <c r="B150" s="30"/>
      <c r="G150" s="74"/>
      <c r="H150" s="4"/>
      <c r="I150" s="3"/>
      <c r="J150" s="3"/>
      <c r="K150" s="3"/>
      <c r="L150" s="4"/>
    </row>
    <row r="151" spans="2:12" x14ac:dyDescent="0.25">
      <c r="B151" s="30"/>
      <c r="G151" s="74"/>
      <c r="H151" s="4"/>
      <c r="I151" s="3"/>
      <c r="J151" s="3"/>
      <c r="K151" s="3"/>
      <c r="L151" s="4"/>
    </row>
    <row r="152" spans="2:12" x14ac:dyDescent="0.25">
      <c r="B152" s="30"/>
      <c r="G152" s="74"/>
      <c r="H152" s="4"/>
      <c r="I152" s="3"/>
      <c r="J152" s="3"/>
      <c r="K152" s="3"/>
      <c r="L152" s="4"/>
    </row>
    <row r="153" spans="2:12" x14ac:dyDescent="0.25">
      <c r="B153" s="30"/>
      <c r="H153" s="4"/>
    </row>
    <row r="161" spans="2:10" x14ac:dyDescent="0.25">
      <c r="B161" s="191" t="s">
        <v>114</v>
      </c>
      <c r="C161" s="191" t="s">
        <v>147</v>
      </c>
      <c r="D161" s="192" t="s">
        <v>146</v>
      </c>
      <c r="E161" s="194" t="s">
        <v>148</v>
      </c>
      <c r="F161" s="195" t="s">
        <v>65</v>
      </c>
      <c r="G161" s="229" t="s">
        <v>152</v>
      </c>
      <c r="H161" s="195" t="s">
        <v>88</v>
      </c>
      <c r="I161" s="229" t="s">
        <v>155</v>
      </c>
      <c r="J161" s="229" t="s">
        <v>310</v>
      </c>
    </row>
    <row r="162" spans="2:10" x14ac:dyDescent="0.25">
      <c r="B162" s="193">
        <v>42304</v>
      </c>
      <c r="C162" s="10">
        <v>5100</v>
      </c>
      <c r="D162" s="200">
        <v>17.29</v>
      </c>
      <c r="E162" s="40">
        <v>16.68</v>
      </c>
      <c r="F162" s="40">
        <f t="shared" ref="F162:F199" si="15">-C162*(D162-E162)</f>
        <v>-3110.9999999999973</v>
      </c>
      <c r="G162" s="40">
        <f t="shared" ref="G162:G171" si="16">IF(C162=0, 0,D162*C162)</f>
        <v>88179</v>
      </c>
      <c r="H162" s="232">
        <f t="shared" ref="H162:H176" si="17">IF(C162=0, D162, (E162-D162)/D162)</f>
        <v>-3.5280508964719459E-2</v>
      </c>
      <c r="I162" s="40"/>
      <c r="J162" s="40"/>
    </row>
    <row r="163" spans="2:10" x14ac:dyDescent="0.25">
      <c r="B163" s="193">
        <v>42305</v>
      </c>
      <c r="C163" s="10">
        <v>4900</v>
      </c>
      <c r="D163" s="200">
        <v>17.29</v>
      </c>
      <c r="E163" s="40">
        <v>16.920000000000002</v>
      </c>
      <c r="F163" s="40">
        <f t="shared" si="15"/>
        <v>-1812.9999999999875</v>
      </c>
      <c r="G163" s="40">
        <f t="shared" si="16"/>
        <v>84721</v>
      </c>
      <c r="H163" s="232">
        <f t="shared" si="17"/>
        <v>-2.1399652978600199E-2</v>
      </c>
      <c r="I163" s="40"/>
      <c r="J163" s="40"/>
    </row>
    <row r="164" spans="2:10" x14ac:dyDescent="0.25">
      <c r="B164" s="193">
        <v>42306</v>
      </c>
      <c r="C164" s="10">
        <v>5100</v>
      </c>
      <c r="D164" s="200">
        <v>17.25</v>
      </c>
      <c r="E164" s="40">
        <v>16.21</v>
      </c>
      <c r="F164" s="40">
        <f t="shared" si="15"/>
        <v>-5303.9999999999955</v>
      </c>
      <c r="G164" s="40">
        <f t="shared" si="16"/>
        <v>87975</v>
      </c>
      <c r="H164" s="232">
        <f t="shared" si="17"/>
        <v>-6.0289855072463719E-2</v>
      </c>
      <c r="I164" s="40"/>
      <c r="J164" s="40"/>
    </row>
    <row r="165" spans="2:10" x14ac:dyDescent="0.25">
      <c r="B165" s="193">
        <v>42311</v>
      </c>
      <c r="C165" s="10">
        <v>2710</v>
      </c>
      <c r="D165" s="200">
        <v>16.989999999999998</v>
      </c>
      <c r="E165" s="40">
        <v>17.84</v>
      </c>
      <c r="F165" s="40">
        <f t="shared" si="15"/>
        <v>2303.5000000000036</v>
      </c>
      <c r="G165" s="40">
        <f t="shared" si="16"/>
        <v>46042.899999999994</v>
      </c>
      <c r="H165" s="232">
        <f t="shared" si="17"/>
        <v>5.0029429075927105E-2</v>
      </c>
      <c r="I165" s="40"/>
      <c r="J165" s="40"/>
    </row>
    <row r="166" spans="2:10" x14ac:dyDescent="0.25">
      <c r="B166" s="193">
        <v>42312</v>
      </c>
      <c r="C166" s="10">
        <v>2902</v>
      </c>
      <c r="D166" s="200">
        <v>16.989999999999998</v>
      </c>
      <c r="E166" s="40">
        <v>17.440000000000001</v>
      </c>
      <c r="F166" s="40">
        <f t="shared" si="15"/>
        <v>1305.9000000000083</v>
      </c>
      <c r="G166" s="40">
        <f t="shared" si="16"/>
        <v>49304.979999999996</v>
      </c>
      <c r="H166" s="232">
        <f t="shared" si="17"/>
        <v>2.6486168334314473E-2</v>
      </c>
      <c r="I166" s="40"/>
      <c r="J166" s="40"/>
    </row>
    <row r="167" spans="2:10" x14ac:dyDescent="0.25">
      <c r="B167" s="193">
        <v>42313</v>
      </c>
      <c r="C167" s="10">
        <v>5710</v>
      </c>
      <c r="D167" s="200">
        <v>16.91</v>
      </c>
      <c r="E167" s="40">
        <v>16.510000000000002</v>
      </c>
      <c r="F167" s="40">
        <f t="shared" si="15"/>
        <v>-2283.9999999999918</v>
      </c>
      <c r="G167" s="40">
        <f t="shared" si="16"/>
        <v>96556.1</v>
      </c>
      <c r="H167" s="232">
        <f t="shared" si="17"/>
        <v>-2.3654642223536283E-2</v>
      </c>
      <c r="I167" s="40"/>
      <c r="J167" s="40"/>
    </row>
    <row r="168" spans="2:10" x14ac:dyDescent="0.25">
      <c r="B168" s="193">
        <v>42314</v>
      </c>
      <c r="C168" s="10">
        <v>4710</v>
      </c>
      <c r="D168" s="200">
        <v>16.95</v>
      </c>
      <c r="E168" s="40">
        <v>16.45</v>
      </c>
      <c r="F168" s="40">
        <f t="shared" si="15"/>
        <v>-2355</v>
      </c>
      <c r="G168" s="40">
        <f t="shared" si="16"/>
        <v>79834.5</v>
      </c>
      <c r="H168" s="232">
        <f t="shared" si="17"/>
        <v>-2.9498525073746312E-2</v>
      </c>
      <c r="I168" s="40"/>
      <c r="J168" s="40"/>
    </row>
    <row r="169" spans="2:10" x14ac:dyDescent="0.25">
      <c r="B169" s="193">
        <v>42317</v>
      </c>
      <c r="C169" s="10">
        <v>5060</v>
      </c>
      <c r="D169" s="200">
        <v>16.87</v>
      </c>
      <c r="E169" s="40">
        <v>15.84</v>
      </c>
      <c r="F169" s="40">
        <f t="shared" si="15"/>
        <v>-5211.8000000000056</v>
      </c>
      <c r="G169" s="40">
        <f t="shared" si="16"/>
        <v>85362.200000000012</v>
      </c>
      <c r="H169" s="232">
        <f t="shared" si="17"/>
        <v>-6.1055127445169E-2</v>
      </c>
      <c r="I169" s="40"/>
      <c r="J169" s="40"/>
    </row>
    <row r="170" spans="2:10" x14ac:dyDescent="0.25">
      <c r="B170" s="193">
        <v>42324</v>
      </c>
      <c r="C170" s="10">
        <v>6000</v>
      </c>
      <c r="D170" s="200">
        <v>16.54</v>
      </c>
      <c r="E170" s="40">
        <v>14.89</v>
      </c>
      <c r="F170" s="40">
        <f t="shared" si="15"/>
        <v>-9899.9999999999909</v>
      </c>
      <c r="G170" s="40">
        <f t="shared" si="16"/>
        <v>99240</v>
      </c>
      <c r="H170" s="232">
        <f t="shared" si="17"/>
        <v>-9.9758162031438849E-2</v>
      </c>
      <c r="I170" s="40"/>
      <c r="J170" s="40"/>
    </row>
    <row r="171" spans="2:10" x14ac:dyDescent="0.25">
      <c r="B171" s="193">
        <v>42325</v>
      </c>
      <c r="C171" s="10">
        <v>5060</v>
      </c>
      <c r="D171" s="200">
        <v>16.73</v>
      </c>
      <c r="E171" s="40">
        <v>15.28</v>
      </c>
      <c r="F171" s="40">
        <f t="shared" si="15"/>
        <v>-7337.0000000000055</v>
      </c>
      <c r="G171" s="40">
        <f t="shared" si="16"/>
        <v>84653.8</v>
      </c>
      <c r="H171" s="232">
        <f t="shared" si="17"/>
        <v>-8.6670651524208067E-2</v>
      </c>
      <c r="I171" s="40"/>
      <c r="J171" s="40"/>
    </row>
    <row r="172" spans="2:10" x14ac:dyDescent="0.25">
      <c r="B172" s="193">
        <v>42328</v>
      </c>
      <c r="C172" s="10">
        <v>6000</v>
      </c>
      <c r="D172" s="200">
        <v>16.52</v>
      </c>
      <c r="E172" s="40">
        <v>15.39</v>
      </c>
      <c r="F172" s="40">
        <f t="shared" si="15"/>
        <v>-6779.9999999999936</v>
      </c>
      <c r="G172" s="40">
        <f t="shared" ref="G172:G199" si="18">IF(C172=0, 0,D172*C172)</f>
        <v>99120</v>
      </c>
      <c r="H172" s="232">
        <f t="shared" si="17"/>
        <v>-6.8401937046004779E-2</v>
      </c>
      <c r="I172" s="40"/>
      <c r="J172" s="40"/>
    </row>
    <row r="173" spans="2:10" x14ac:dyDescent="0.25">
      <c r="B173" s="193">
        <v>42331</v>
      </c>
      <c r="C173" s="10">
        <v>5060</v>
      </c>
      <c r="D173" s="200">
        <v>16.68</v>
      </c>
      <c r="E173" s="40">
        <v>15.32</v>
      </c>
      <c r="F173" s="40">
        <f t="shared" si="15"/>
        <v>-6881.5999999999967</v>
      </c>
      <c r="G173" s="40">
        <f t="shared" si="18"/>
        <v>84400.8</v>
      </c>
      <c r="H173" s="232">
        <f t="shared" si="17"/>
        <v>-8.1534772182254162E-2</v>
      </c>
      <c r="I173" s="40"/>
      <c r="J173" s="40"/>
    </row>
    <row r="174" spans="2:10" x14ac:dyDescent="0.25">
      <c r="B174" s="193">
        <v>42338</v>
      </c>
      <c r="C174" s="10">
        <v>4710</v>
      </c>
      <c r="D174" s="200">
        <v>16.73</v>
      </c>
      <c r="E174" s="40">
        <v>15.93</v>
      </c>
      <c r="F174" s="40">
        <f t="shared" si="15"/>
        <v>-3768.0000000000032</v>
      </c>
      <c r="G174" s="40">
        <f t="shared" si="18"/>
        <v>78798.3</v>
      </c>
      <c r="H174" s="232">
        <f t="shared" si="17"/>
        <v>-4.7818290496114808E-2</v>
      </c>
      <c r="I174" s="40"/>
      <c r="J174" s="40"/>
    </row>
    <row r="175" spans="2:10" x14ac:dyDescent="0.25">
      <c r="B175" s="193">
        <v>42340</v>
      </c>
      <c r="C175" s="10">
        <v>5060</v>
      </c>
      <c r="D175" s="200">
        <v>16.670000000000002</v>
      </c>
      <c r="E175" s="40">
        <v>15.82</v>
      </c>
      <c r="F175" s="40">
        <f t="shared" si="15"/>
        <v>-4301.0000000000073</v>
      </c>
      <c r="G175" s="40">
        <f t="shared" si="18"/>
        <v>84350.200000000012</v>
      </c>
      <c r="H175" s="232">
        <f t="shared" si="17"/>
        <v>-5.0989802039592164E-2</v>
      </c>
      <c r="I175" s="40"/>
      <c r="J175" s="40"/>
    </row>
    <row r="176" spans="2:10" x14ac:dyDescent="0.25">
      <c r="B176" s="193">
        <v>42341</v>
      </c>
      <c r="C176" s="10">
        <v>5060</v>
      </c>
      <c r="D176" s="200">
        <v>16.64</v>
      </c>
      <c r="E176" s="40">
        <v>15.61</v>
      </c>
      <c r="F176" s="40">
        <f t="shared" si="15"/>
        <v>-5211.8000000000056</v>
      </c>
      <c r="G176" s="40">
        <f t="shared" si="18"/>
        <v>84198.400000000009</v>
      </c>
      <c r="H176" s="232">
        <f t="shared" si="17"/>
        <v>-6.1899038461538526E-2</v>
      </c>
      <c r="I176" s="40"/>
      <c r="J176" s="40"/>
    </row>
    <row r="177" spans="2:17" x14ac:dyDescent="0.25">
      <c r="B177" s="193">
        <v>42347</v>
      </c>
      <c r="C177" s="10">
        <v>5260</v>
      </c>
      <c r="D177" s="200">
        <v>16.559999999999999</v>
      </c>
      <c r="E177" s="40">
        <v>14.32</v>
      </c>
      <c r="F177" s="40">
        <f t="shared" si="15"/>
        <v>-11782.399999999992</v>
      </c>
      <c r="G177" s="40">
        <f t="shared" si="18"/>
        <v>87105.599999999991</v>
      </c>
      <c r="H177" s="232">
        <f t="shared" ref="H177:H199" si="19">IF(C177=0, D177, (E177-D177)/D177)</f>
        <v>-0.13526570048309169</v>
      </c>
      <c r="I177" s="40"/>
      <c r="J177" s="40"/>
    </row>
    <row r="178" spans="2:17" x14ac:dyDescent="0.25">
      <c r="B178" s="193">
        <v>42348</v>
      </c>
      <c r="C178" s="10">
        <v>5060</v>
      </c>
      <c r="D178" s="200">
        <v>16.63</v>
      </c>
      <c r="E178" s="40">
        <v>14.66</v>
      </c>
      <c r="F178" s="40">
        <f t="shared" si="15"/>
        <v>-9968.1999999999935</v>
      </c>
      <c r="G178" s="40">
        <f t="shared" si="18"/>
        <v>84147.799999999988</v>
      </c>
      <c r="H178" s="232">
        <f t="shared" si="19"/>
        <v>-0.11846061334936855</v>
      </c>
      <c r="I178" s="40"/>
      <c r="J178" s="40"/>
    </row>
    <row r="179" spans="2:17" x14ac:dyDescent="0.25">
      <c r="B179" s="193">
        <v>42349</v>
      </c>
      <c r="C179" s="10">
        <v>5060</v>
      </c>
      <c r="D179" s="200">
        <v>16.62</v>
      </c>
      <c r="E179" s="40">
        <v>14.04</v>
      </c>
      <c r="F179" s="40">
        <f t="shared" si="15"/>
        <v>-13054.80000000001</v>
      </c>
      <c r="G179" s="40">
        <f t="shared" si="18"/>
        <v>84097.200000000012</v>
      </c>
      <c r="H179" s="232">
        <f t="shared" si="19"/>
        <v>-0.15523465703971129</v>
      </c>
      <c r="I179" s="40"/>
      <c r="J179" s="40"/>
    </row>
    <row r="180" spans="2:17" x14ac:dyDescent="0.25">
      <c r="B180" s="193">
        <v>42349</v>
      </c>
      <c r="C180" s="10">
        <v>6000</v>
      </c>
      <c r="D180" s="200">
        <v>16.22</v>
      </c>
      <c r="E180" s="40">
        <v>14.04</v>
      </c>
      <c r="F180" s="40">
        <f t="shared" si="15"/>
        <v>-13079.999999999998</v>
      </c>
      <c r="G180" s="40">
        <f t="shared" si="18"/>
        <v>97320</v>
      </c>
      <c r="H180" s="232">
        <f t="shared" si="19"/>
        <v>-0.13440197287299629</v>
      </c>
      <c r="I180" s="40"/>
      <c r="J180" s="40"/>
    </row>
    <row r="181" spans="2:17" x14ac:dyDescent="0.25">
      <c r="B181" s="193">
        <v>42349</v>
      </c>
      <c r="C181" s="10">
        <v>6200</v>
      </c>
      <c r="D181" s="200">
        <v>16.14</v>
      </c>
      <c r="E181" s="40">
        <v>14.04</v>
      </c>
      <c r="F181" s="40">
        <f t="shared" si="15"/>
        <v>-13020.000000000009</v>
      </c>
      <c r="G181" s="40">
        <f t="shared" si="18"/>
        <v>100068</v>
      </c>
      <c r="H181" s="232">
        <f t="shared" si="19"/>
        <v>-0.13011152416356886</v>
      </c>
      <c r="I181" s="40"/>
      <c r="J181" s="40"/>
    </row>
    <row r="182" spans="2:17" x14ac:dyDescent="0.25">
      <c r="B182" s="193">
        <v>42349</v>
      </c>
      <c r="C182" s="10">
        <v>5721</v>
      </c>
      <c r="D182" s="200">
        <v>16.32</v>
      </c>
      <c r="E182" s="40">
        <v>14.04</v>
      </c>
      <c r="F182" s="40">
        <f t="shared" si="15"/>
        <v>-13043.880000000006</v>
      </c>
      <c r="G182" s="40">
        <f t="shared" si="18"/>
        <v>93366.720000000001</v>
      </c>
      <c r="H182" s="232">
        <f t="shared" si="19"/>
        <v>-0.13970588235294124</v>
      </c>
      <c r="I182" s="40"/>
      <c r="J182" s="40"/>
    </row>
    <row r="183" spans="2:17" x14ac:dyDescent="0.25">
      <c r="B183" s="193">
        <v>42349</v>
      </c>
      <c r="C183" s="10">
        <v>5060</v>
      </c>
      <c r="D183" s="200">
        <v>16.6143</v>
      </c>
      <c r="E183" s="40">
        <v>14.04</v>
      </c>
      <c r="F183" s="40">
        <f t="shared" si="15"/>
        <v>-13025.958000000004</v>
      </c>
      <c r="G183" s="40">
        <f t="shared" si="18"/>
        <v>84068.358000000007</v>
      </c>
      <c r="H183" s="232">
        <f t="shared" si="19"/>
        <v>-0.15494483667683867</v>
      </c>
      <c r="I183" s="40"/>
      <c r="J183" s="40"/>
    </row>
    <row r="184" spans="2:17" x14ac:dyDescent="0.25">
      <c r="B184" s="193">
        <v>42356</v>
      </c>
      <c r="C184" s="10">
        <v>5060</v>
      </c>
      <c r="D184" s="200">
        <v>16.596900000000002</v>
      </c>
      <c r="E184" s="40">
        <v>14.32</v>
      </c>
      <c r="F184" s="40">
        <f t="shared" si="15"/>
        <v>-11521.114000000007</v>
      </c>
      <c r="G184" s="40">
        <f t="shared" si="18"/>
        <v>83980.314000000013</v>
      </c>
      <c r="H184" s="232">
        <f t="shared" si="19"/>
        <v>-0.13718827009863294</v>
      </c>
      <c r="I184" s="40"/>
      <c r="J184" s="40"/>
    </row>
    <row r="185" spans="2:17" x14ac:dyDescent="0.25">
      <c r="B185" s="193">
        <v>42356</v>
      </c>
      <c r="C185" s="10">
        <v>7000</v>
      </c>
      <c r="D185" s="200">
        <v>15.97</v>
      </c>
      <c r="E185" s="40">
        <v>14.34</v>
      </c>
      <c r="F185" s="40">
        <f t="shared" si="15"/>
        <v>-11410.000000000005</v>
      </c>
      <c r="G185" s="40">
        <f t="shared" si="18"/>
        <v>111790</v>
      </c>
      <c r="H185" s="232">
        <f t="shared" si="19"/>
        <v>-0.10206637445209772</v>
      </c>
      <c r="I185" s="40"/>
      <c r="J185" s="40"/>
    </row>
    <row r="186" spans="2:17" x14ac:dyDescent="0.25">
      <c r="B186" s="193">
        <v>42356</v>
      </c>
      <c r="C186" s="10">
        <v>6000</v>
      </c>
      <c r="D186" s="200">
        <v>16.23</v>
      </c>
      <c r="E186" s="40">
        <v>14.36</v>
      </c>
      <c r="F186" s="40">
        <f t="shared" si="15"/>
        <v>-11220.000000000005</v>
      </c>
      <c r="G186" s="40">
        <f t="shared" si="18"/>
        <v>97380</v>
      </c>
      <c r="H186" s="232">
        <f t="shared" si="19"/>
        <v>-0.11521873074553302</v>
      </c>
      <c r="I186" s="40"/>
      <c r="J186" s="40"/>
    </row>
    <row r="187" spans="2:17" x14ac:dyDescent="0.25">
      <c r="B187" s="193">
        <v>42357</v>
      </c>
      <c r="C187" s="10">
        <v>5500</v>
      </c>
      <c r="D187" s="200">
        <v>16.398399999999999</v>
      </c>
      <c r="E187" s="40">
        <v>14.36</v>
      </c>
      <c r="F187" s="40">
        <f t="shared" si="15"/>
        <v>-11211.199999999997</v>
      </c>
      <c r="G187" s="40">
        <f t="shared" si="18"/>
        <v>90191.2</v>
      </c>
      <c r="H187" s="232">
        <f t="shared" si="19"/>
        <v>-0.12430481022538781</v>
      </c>
      <c r="I187" s="40"/>
      <c r="J187" s="40"/>
    </row>
    <row r="188" spans="2:17" x14ac:dyDescent="0.25">
      <c r="B188" s="193">
        <v>42359</v>
      </c>
      <c r="C188" s="10">
        <v>5060</v>
      </c>
      <c r="D188" s="200">
        <v>16.55</v>
      </c>
      <c r="E188" s="40">
        <v>14.64</v>
      </c>
      <c r="F188" s="40">
        <f t="shared" si="15"/>
        <v>-9664.6</v>
      </c>
      <c r="G188" s="40">
        <f t="shared" si="18"/>
        <v>83743</v>
      </c>
      <c r="H188" s="232">
        <f t="shared" si="19"/>
        <v>-0.11540785498489427</v>
      </c>
      <c r="I188" s="40"/>
      <c r="J188" s="40"/>
    </row>
    <row r="189" spans="2:17" x14ac:dyDescent="0.25">
      <c r="B189" s="193">
        <v>42361</v>
      </c>
      <c r="C189" s="10">
        <v>5060</v>
      </c>
      <c r="D189" s="200">
        <v>16.5456</v>
      </c>
      <c r="E189" s="40">
        <v>14.61</v>
      </c>
      <c r="F189" s="40">
        <f t="shared" si="15"/>
        <v>-9794.1360000000041</v>
      </c>
      <c r="G189" s="40">
        <f t="shared" si="18"/>
        <v>83720.736000000004</v>
      </c>
      <c r="H189" s="232">
        <f t="shared" si="19"/>
        <v>-0.11698578474035398</v>
      </c>
      <c r="I189" s="40"/>
      <c r="J189" s="40"/>
    </row>
    <row r="190" spans="2:17" x14ac:dyDescent="0.25">
      <c r="B190" s="193">
        <v>42377</v>
      </c>
      <c r="C190" s="10">
        <v>5260</v>
      </c>
      <c r="D190" s="200">
        <v>16.424099999999999</v>
      </c>
      <c r="E190" s="40">
        <v>13.33</v>
      </c>
      <c r="F190" s="40">
        <f t="shared" si="15"/>
        <v>-16274.965999999995</v>
      </c>
      <c r="G190" s="40">
        <f t="shared" si="18"/>
        <v>86390.766000000003</v>
      </c>
      <c r="H190" s="232">
        <f t="shared" si="19"/>
        <v>-0.18838779598273264</v>
      </c>
      <c r="I190" s="40"/>
      <c r="J190" s="40"/>
    </row>
    <row r="191" spans="2:17" x14ac:dyDescent="0.25">
      <c r="B191" s="193">
        <v>42398</v>
      </c>
      <c r="C191" s="10">
        <v>5000</v>
      </c>
      <c r="D191" s="200">
        <v>16.72</v>
      </c>
      <c r="E191" s="40">
        <v>10.74</v>
      </c>
      <c r="F191" s="40">
        <f t="shared" si="15"/>
        <v>-29899.999999999993</v>
      </c>
      <c r="G191" s="40">
        <f t="shared" si="18"/>
        <v>83600</v>
      </c>
      <c r="H191" s="232">
        <f t="shared" si="19"/>
        <v>-0.35765550239234445</v>
      </c>
      <c r="I191" s="40"/>
      <c r="J191" s="40"/>
      <c r="O191" s="4"/>
      <c r="P191" s="240"/>
      <c r="Q191" s="4"/>
    </row>
    <row r="192" spans="2:17" x14ac:dyDescent="0.25">
      <c r="B192" s="193">
        <v>42401</v>
      </c>
      <c r="C192" s="10">
        <v>5260</v>
      </c>
      <c r="D192" s="200">
        <v>16.419699999999999</v>
      </c>
      <c r="E192" s="40">
        <v>10.96</v>
      </c>
      <c r="F192" s="40">
        <f t="shared" si="15"/>
        <v>-28718.02199999999</v>
      </c>
      <c r="G192" s="40">
        <f t="shared" si="18"/>
        <v>86367.621999999988</v>
      </c>
      <c r="H192" s="232">
        <f t="shared" si="19"/>
        <v>-0.33250912014226802</v>
      </c>
      <c r="I192" s="40"/>
      <c r="J192" s="40"/>
      <c r="O192" s="4"/>
      <c r="P192" s="4"/>
      <c r="Q192" s="4"/>
    </row>
    <row r="193" spans="2:17" x14ac:dyDescent="0.25">
      <c r="B193" s="193">
        <v>42416</v>
      </c>
      <c r="C193" s="10">
        <v>4760</v>
      </c>
      <c r="D193" s="200">
        <v>17.02</v>
      </c>
      <c r="E193" s="40">
        <v>10.65</v>
      </c>
      <c r="F193" s="40">
        <f t="shared" si="15"/>
        <v>-30321.199999999997</v>
      </c>
      <c r="G193" s="40">
        <f t="shared" si="18"/>
        <v>81015.199999999997</v>
      </c>
      <c r="H193" s="232">
        <f t="shared" si="19"/>
        <v>-0.37426556991774379</v>
      </c>
      <c r="I193" s="40"/>
      <c r="J193" s="40"/>
      <c r="O193" s="4"/>
      <c r="P193" s="4"/>
      <c r="Q193" s="4"/>
    </row>
    <row r="194" spans="2:17" x14ac:dyDescent="0.25">
      <c r="B194" s="193">
        <v>42416</v>
      </c>
      <c r="C194" s="10">
        <v>4000</v>
      </c>
      <c r="D194" s="200">
        <v>18.1967</v>
      </c>
      <c r="E194" s="40">
        <v>10.744999999999999</v>
      </c>
      <c r="F194" s="40">
        <f t="shared" si="15"/>
        <v>-29806.800000000003</v>
      </c>
      <c r="G194" s="40">
        <f t="shared" si="18"/>
        <v>72786.8</v>
      </c>
      <c r="H194" s="232">
        <f t="shared" si="19"/>
        <v>-0.40950831744217364</v>
      </c>
      <c r="I194" s="40"/>
      <c r="J194" s="40"/>
    </row>
    <row r="195" spans="2:17" x14ac:dyDescent="0.25">
      <c r="B195" s="193">
        <v>42418</v>
      </c>
      <c r="C195" s="10">
        <v>3600</v>
      </c>
      <c r="D195" s="200">
        <v>18.931999999999999</v>
      </c>
      <c r="E195" s="40">
        <v>10.81</v>
      </c>
      <c r="F195" s="40">
        <f t="shared" si="15"/>
        <v>-29239.199999999993</v>
      </c>
      <c r="G195" s="40">
        <f t="shared" si="18"/>
        <v>68155.199999999997</v>
      </c>
      <c r="H195" s="232">
        <f t="shared" si="19"/>
        <v>-0.42900908514684127</v>
      </c>
      <c r="I195" s="40"/>
      <c r="J195" s="40"/>
    </row>
    <row r="196" spans="2:17" x14ac:dyDescent="0.25">
      <c r="B196" s="193">
        <v>42423</v>
      </c>
      <c r="C196" s="10">
        <v>5260</v>
      </c>
      <c r="D196" s="200">
        <v>16.356200000000001</v>
      </c>
      <c r="E196" s="40">
        <v>10.49</v>
      </c>
      <c r="F196" s="40">
        <f t="shared" si="15"/>
        <v>-30856.212000000007</v>
      </c>
      <c r="G196" s="40">
        <f t="shared" si="18"/>
        <v>86033.612000000008</v>
      </c>
      <c r="H196" s="232">
        <f t="shared" si="19"/>
        <v>-0.35865298785781541</v>
      </c>
      <c r="I196" s="40"/>
      <c r="J196" s="40"/>
    </row>
    <row r="197" spans="2:17" x14ac:dyDescent="0.25">
      <c r="B197" s="193">
        <v>42431</v>
      </c>
      <c r="C197" s="10">
        <v>4760</v>
      </c>
      <c r="D197" s="200">
        <v>16.858899999999998</v>
      </c>
      <c r="E197" s="40">
        <v>11.68</v>
      </c>
      <c r="F197" s="40">
        <f t="shared" si="15"/>
        <v>-24651.563999999995</v>
      </c>
      <c r="G197" s="40">
        <f t="shared" si="18"/>
        <v>80248.363999999987</v>
      </c>
      <c r="H197" s="232">
        <f t="shared" si="19"/>
        <v>-0.30719086061368173</v>
      </c>
      <c r="I197" s="40"/>
      <c r="J197" s="40"/>
    </row>
    <row r="198" spans="2:17" x14ac:dyDescent="0.25">
      <c r="B198" s="193">
        <v>42436</v>
      </c>
      <c r="C198" s="10">
        <v>5290</v>
      </c>
      <c r="D198" s="200">
        <v>16.258900000000001</v>
      </c>
      <c r="E198" s="40">
        <v>11.58</v>
      </c>
      <c r="F198" s="40">
        <f t="shared" si="15"/>
        <v>-24751.381000000001</v>
      </c>
      <c r="G198" s="40">
        <f t="shared" si="18"/>
        <v>86009.581000000006</v>
      </c>
      <c r="H198" s="232">
        <f t="shared" si="19"/>
        <v>-0.28777469570512154</v>
      </c>
      <c r="I198" s="40"/>
      <c r="J198" s="40"/>
    </row>
    <row r="199" spans="2:17" x14ac:dyDescent="0.25">
      <c r="B199" s="193">
        <v>42444</v>
      </c>
      <c r="C199" s="10">
        <v>5290</v>
      </c>
      <c r="D199" s="200">
        <v>16.259</v>
      </c>
      <c r="E199" s="40">
        <v>10.85</v>
      </c>
      <c r="F199" s="40">
        <f t="shared" si="15"/>
        <v>-28613.610000000004</v>
      </c>
      <c r="G199" s="40">
        <f t="shared" si="18"/>
        <v>86010.11</v>
      </c>
      <c r="H199" s="232">
        <f t="shared" si="19"/>
        <v>-0.33267728642597949</v>
      </c>
      <c r="I199" s="40"/>
      <c r="J199" s="40"/>
    </row>
    <row r="200" spans="2:17" x14ac:dyDescent="0.25">
      <c r="B200" s="193">
        <v>42446</v>
      </c>
      <c r="C200" s="10">
        <v>5295</v>
      </c>
      <c r="D200" s="200">
        <v>16.2348</v>
      </c>
      <c r="E200" s="40">
        <v>10.87</v>
      </c>
      <c r="F200" s="40">
        <f t="shared" ref="F200:F238" si="20">-C200*(D200-E200)</f>
        <v>-28406.616000000002</v>
      </c>
      <c r="G200" s="40">
        <f t="shared" ref="G200:G238" si="21">IF(C200=0, 0,D200*C200)</f>
        <v>85963.266000000003</v>
      </c>
      <c r="H200" s="232">
        <f t="shared" ref="H200:H238" si="22">IF(C200=0, D200, (E200-D200)/D200)</f>
        <v>-0.33045063690344201</v>
      </c>
      <c r="I200" s="40"/>
      <c r="J200" s="40"/>
    </row>
    <row r="201" spans="2:17" x14ac:dyDescent="0.25">
      <c r="B201" s="193">
        <v>42447</v>
      </c>
      <c r="C201" s="10">
        <v>5300</v>
      </c>
      <c r="D201" s="200">
        <v>16.211200000000002</v>
      </c>
      <c r="E201" s="40">
        <v>11.07</v>
      </c>
      <c r="F201" s="40">
        <f t="shared" si="20"/>
        <v>-27248.360000000008</v>
      </c>
      <c r="G201" s="40">
        <f t="shared" si="21"/>
        <v>85919.360000000015</v>
      </c>
      <c r="H201" s="232">
        <f t="shared" si="22"/>
        <v>-0.31713876825898152</v>
      </c>
      <c r="I201" s="40"/>
      <c r="J201" s="40"/>
    </row>
    <row r="202" spans="2:17" x14ac:dyDescent="0.25">
      <c r="B202" s="193">
        <v>42447</v>
      </c>
      <c r="C202" s="10">
        <v>5155</v>
      </c>
      <c r="D202" s="200">
        <v>16.352699999999999</v>
      </c>
      <c r="E202" s="40">
        <v>11.14</v>
      </c>
      <c r="F202" s="40">
        <f t="shared" si="20"/>
        <v>-26871.468499999992</v>
      </c>
      <c r="G202" s="40">
        <f t="shared" si="21"/>
        <v>84298.1685</v>
      </c>
      <c r="H202" s="232">
        <f t="shared" si="22"/>
        <v>-0.31876693145474438</v>
      </c>
      <c r="I202" s="40"/>
      <c r="J202" s="40"/>
    </row>
    <row r="203" spans="2:17" x14ac:dyDescent="0.25">
      <c r="B203" s="193">
        <v>42450</v>
      </c>
      <c r="C203" s="10">
        <v>3955</v>
      </c>
      <c r="D203" s="200">
        <v>17.7959</v>
      </c>
      <c r="E203" s="40">
        <v>11.54</v>
      </c>
      <c r="F203" s="40">
        <f t="shared" si="20"/>
        <v>-24742.084500000001</v>
      </c>
      <c r="G203" s="40">
        <f t="shared" si="21"/>
        <v>70382.784499999994</v>
      </c>
      <c r="H203" s="232">
        <f t="shared" si="22"/>
        <v>-0.3515360279614968</v>
      </c>
      <c r="I203" s="40"/>
      <c r="J203" s="40"/>
    </row>
    <row r="204" spans="2:17" x14ac:dyDescent="0.25">
      <c r="B204" s="193">
        <v>42451</v>
      </c>
      <c r="C204" s="10">
        <v>5260</v>
      </c>
      <c r="D204" s="200">
        <v>16.2089</v>
      </c>
      <c r="E204" s="40">
        <v>11.44</v>
      </c>
      <c r="F204" s="40">
        <f t="shared" si="20"/>
        <v>-25084.414000000001</v>
      </c>
      <c r="G204" s="40">
        <f t="shared" si="21"/>
        <v>85258.813999999998</v>
      </c>
      <c r="H204" s="232">
        <f t="shared" si="22"/>
        <v>-0.29421490662537253</v>
      </c>
      <c r="I204" s="354"/>
      <c r="J204" s="354"/>
    </row>
    <row r="205" spans="2:17" x14ac:dyDescent="0.25">
      <c r="B205" s="193">
        <v>42451</v>
      </c>
      <c r="C205" s="10">
        <v>5360</v>
      </c>
      <c r="D205" s="200">
        <v>16.1083</v>
      </c>
      <c r="E205" s="40">
        <v>10.65</v>
      </c>
      <c r="F205" s="40">
        <f t="shared" si="20"/>
        <v>-29256.487999999998</v>
      </c>
      <c r="G205" s="40">
        <f t="shared" si="21"/>
        <v>86340.487999999998</v>
      </c>
      <c r="H205" s="232">
        <f t="shared" si="22"/>
        <v>-0.33885015799308427</v>
      </c>
      <c r="I205" s="354"/>
      <c r="J205" s="354"/>
    </row>
    <row r="206" spans="2:17" x14ac:dyDescent="0.25">
      <c r="B206" s="193">
        <v>42461</v>
      </c>
      <c r="C206" s="10">
        <v>5260</v>
      </c>
      <c r="D206" s="200">
        <v>16.207000000000001</v>
      </c>
      <c r="E206" s="40">
        <v>10.92</v>
      </c>
      <c r="F206" s="40">
        <f t="shared" si="20"/>
        <v>-27809.620000000003</v>
      </c>
      <c r="G206" s="40">
        <f t="shared" si="21"/>
        <v>85248.82</v>
      </c>
      <c r="H206" s="232">
        <f t="shared" si="22"/>
        <v>-0.32621706669957429</v>
      </c>
      <c r="I206" s="40"/>
      <c r="J206" s="40"/>
    </row>
    <row r="207" spans="2:17" x14ac:dyDescent="0.25">
      <c r="B207" s="193">
        <v>42465</v>
      </c>
      <c r="C207" s="10">
        <v>5260</v>
      </c>
      <c r="D207" s="200">
        <v>16.207000000000001</v>
      </c>
      <c r="E207" s="40">
        <v>10.4</v>
      </c>
      <c r="F207" s="40">
        <f t="shared" si="20"/>
        <v>-30544.820000000003</v>
      </c>
      <c r="G207" s="40">
        <f t="shared" si="21"/>
        <v>85248.82</v>
      </c>
      <c r="H207" s="232">
        <f t="shared" si="22"/>
        <v>-0.3583019682853088</v>
      </c>
      <c r="I207" s="40"/>
      <c r="J207" s="40"/>
    </row>
    <row r="208" spans="2:17" x14ac:dyDescent="0.25">
      <c r="B208" s="193">
        <v>42467</v>
      </c>
      <c r="C208" s="10">
        <v>5760</v>
      </c>
      <c r="D208" s="200">
        <v>15.703799999999999</v>
      </c>
      <c r="E208" s="40">
        <v>10.4</v>
      </c>
      <c r="F208" s="40">
        <f t="shared" si="20"/>
        <v>-30549.887999999995</v>
      </c>
      <c r="G208" s="40">
        <f t="shared" si="21"/>
        <v>90453.887999999992</v>
      </c>
      <c r="H208" s="232">
        <f t="shared" si="22"/>
        <v>-0.33773991008545695</v>
      </c>
      <c r="I208" s="40"/>
      <c r="J208" s="40"/>
    </row>
    <row r="209" spans="2:10" x14ac:dyDescent="0.25">
      <c r="B209" s="193">
        <v>42468</v>
      </c>
      <c r="C209" s="10">
        <v>5260</v>
      </c>
      <c r="D209" s="200">
        <v>16.167100000000001</v>
      </c>
      <c r="E209" s="40">
        <v>10.76</v>
      </c>
      <c r="F209" s="40">
        <f t="shared" si="20"/>
        <v>-28441.346000000009</v>
      </c>
      <c r="G209" s="40">
        <f t="shared" si="21"/>
        <v>85038.946000000011</v>
      </c>
      <c r="H209" s="232">
        <f t="shared" si="22"/>
        <v>-0.33445082915303309</v>
      </c>
      <c r="I209" s="354" t="s">
        <v>196</v>
      </c>
      <c r="J209" s="354"/>
    </row>
    <row r="210" spans="2:10" x14ac:dyDescent="0.25">
      <c r="B210" s="193">
        <v>42472</v>
      </c>
      <c r="C210" s="10">
        <v>5860</v>
      </c>
      <c r="D210" s="200">
        <v>15.567399999999999</v>
      </c>
      <c r="E210" s="40">
        <v>10.17</v>
      </c>
      <c r="F210" s="40">
        <f t="shared" si="20"/>
        <v>-31628.763999999996</v>
      </c>
      <c r="G210" s="40">
        <f t="shared" si="21"/>
        <v>91224.963999999993</v>
      </c>
      <c r="H210" s="232">
        <f t="shared" si="22"/>
        <v>-0.34671171807752094</v>
      </c>
      <c r="I210" s="40"/>
      <c r="J210" s="40"/>
    </row>
    <row r="211" spans="2:10" x14ac:dyDescent="0.25">
      <c r="B211" s="193">
        <v>42473</v>
      </c>
      <c r="C211" s="10">
        <v>5260</v>
      </c>
      <c r="D211" s="200">
        <v>16.1158</v>
      </c>
      <c r="E211" s="40">
        <v>10.88</v>
      </c>
      <c r="F211" s="40">
        <f t="shared" si="20"/>
        <v>-27540.307999999997</v>
      </c>
      <c r="G211" s="40">
        <f t="shared" si="21"/>
        <v>84769.108000000007</v>
      </c>
      <c r="H211" s="232">
        <f t="shared" si="22"/>
        <v>-0.32488613658645549</v>
      </c>
      <c r="I211" s="40"/>
      <c r="J211" s="40"/>
    </row>
    <row r="212" spans="2:10" x14ac:dyDescent="0.25">
      <c r="B212" s="193">
        <v>42484</v>
      </c>
      <c r="C212" s="10">
        <v>5260</v>
      </c>
      <c r="D212" s="200">
        <v>16.1158</v>
      </c>
      <c r="E212" s="40">
        <v>10.66</v>
      </c>
      <c r="F212" s="40">
        <f t="shared" si="20"/>
        <v>-28697.508000000002</v>
      </c>
      <c r="G212" s="40">
        <f t="shared" si="21"/>
        <v>84769.108000000007</v>
      </c>
      <c r="H212" s="232">
        <f t="shared" si="22"/>
        <v>-0.33853733603047942</v>
      </c>
      <c r="I212" s="40"/>
      <c r="J212" s="40"/>
    </row>
    <row r="213" spans="2:10" x14ac:dyDescent="0.25">
      <c r="B213" s="193">
        <v>42486</v>
      </c>
      <c r="C213" s="10">
        <v>4260</v>
      </c>
      <c r="D213" s="200">
        <v>17.2287</v>
      </c>
      <c r="E213" s="40">
        <v>11.51</v>
      </c>
      <c r="F213" s="40">
        <f t="shared" si="20"/>
        <v>-24361.662</v>
      </c>
      <c r="G213" s="40">
        <f t="shared" si="21"/>
        <v>73394.262000000002</v>
      </c>
      <c r="H213" s="232">
        <f t="shared" si="22"/>
        <v>-0.33192870036624933</v>
      </c>
      <c r="I213" s="40"/>
      <c r="J213" s="40"/>
    </row>
    <row r="214" spans="2:10" x14ac:dyDescent="0.25">
      <c r="B214" s="193">
        <v>42487</v>
      </c>
      <c r="C214" s="10">
        <v>5260</v>
      </c>
      <c r="D214" s="200">
        <v>16.099699999999999</v>
      </c>
      <c r="E214" s="40">
        <v>11.56</v>
      </c>
      <c r="F214" s="40">
        <f t="shared" si="20"/>
        <v>-23878.821999999989</v>
      </c>
      <c r="G214" s="40">
        <f t="shared" si="21"/>
        <v>84684.421999999991</v>
      </c>
      <c r="H214" s="232">
        <f t="shared" si="22"/>
        <v>-0.28197419827698644</v>
      </c>
      <c r="I214" s="40"/>
      <c r="J214" s="40"/>
    </row>
    <row r="215" spans="2:10" x14ac:dyDescent="0.25">
      <c r="B215" s="193">
        <v>42488</v>
      </c>
      <c r="C215" s="10">
        <v>5260</v>
      </c>
      <c r="D215" s="200">
        <v>16.078399999999998</v>
      </c>
      <c r="E215" s="40">
        <v>11.62</v>
      </c>
      <c r="F215" s="40">
        <f t="shared" si="20"/>
        <v>-23451.183999999997</v>
      </c>
      <c r="G215" s="40">
        <f t="shared" si="21"/>
        <v>84572.383999999991</v>
      </c>
      <c r="H215" s="232">
        <f t="shared" si="22"/>
        <v>-0.27729127276345905</v>
      </c>
      <c r="I215" s="40"/>
      <c r="J215" s="40"/>
    </row>
    <row r="216" spans="2:10" x14ac:dyDescent="0.25">
      <c r="B216" s="193">
        <v>42489</v>
      </c>
      <c r="C216" s="10">
        <v>5500</v>
      </c>
      <c r="D216" s="200">
        <v>15.848599999999999</v>
      </c>
      <c r="E216" s="40">
        <v>10.75</v>
      </c>
      <c r="F216" s="40">
        <f t="shared" si="20"/>
        <v>-28042.299999999996</v>
      </c>
      <c r="G216" s="40">
        <f t="shared" si="21"/>
        <v>87167.3</v>
      </c>
      <c r="H216" s="232">
        <f t="shared" si="22"/>
        <v>-0.32170664916774983</v>
      </c>
      <c r="I216" s="40"/>
      <c r="J216" s="40"/>
    </row>
    <row r="217" spans="2:10" x14ac:dyDescent="0.25">
      <c r="B217" s="193">
        <v>42494</v>
      </c>
      <c r="C217" s="10">
        <v>6500</v>
      </c>
      <c r="D217" s="200">
        <v>14.9526</v>
      </c>
      <c r="E217" s="40">
        <v>10</v>
      </c>
      <c r="F217" s="40">
        <f t="shared" si="20"/>
        <v>-32191.9</v>
      </c>
      <c r="G217" s="40">
        <f t="shared" si="21"/>
        <v>97191.900000000009</v>
      </c>
      <c r="H217" s="232">
        <f t="shared" si="22"/>
        <v>-0.33121998849698381</v>
      </c>
      <c r="I217" s="40"/>
      <c r="J217" s="40"/>
    </row>
    <row r="218" spans="2:10" x14ac:dyDescent="0.25">
      <c r="B218" s="193">
        <v>42495</v>
      </c>
      <c r="C218" s="10">
        <v>5500</v>
      </c>
      <c r="D218" s="200">
        <v>15.7966</v>
      </c>
      <c r="E218" s="40">
        <v>10.06</v>
      </c>
      <c r="F218" s="40">
        <f t="shared" si="20"/>
        <v>-31551.299999999996</v>
      </c>
      <c r="G218" s="40">
        <f t="shared" si="21"/>
        <v>86881.3</v>
      </c>
      <c r="H218" s="232">
        <f t="shared" si="22"/>
        <v>-0.363154096451135</v>
      </c>
      <c r="I218" s="40"/>
      <c r="J218" s="40"/>
    </row>
    <row r="219" spans="2:10" x14ac:dyDescent="0.25">
      <c r="B219" s="193">
        <v>42502</v>
      </c>
      <c r="C219" s="10">
        <v>8500</v>
      </c>
      <c r="D219" s="200">
        <v>13.6378</v>
      </c>
      <c r="E219" s="40">
        <v>9.6199999999999992</v>
      </c>
      <c r="F219" s="40">
        <f t="shared" si="20"/>
        <v>-34151.30000000001</v>
      </c>
      <c r="G219" s="40">
        <f t="shared" si="21"/>
        <v>115921.3</v>
      </c>
      <c r="H219" s="232">
        <f t="shared" si="22"/>
        <v>-0.2946076346624823</v>
      </c>
      <c r="I219" s="40"/>
      <c r="J219" s="40"/>
    </row>
    <row r="220" spans="2:10" x14ac:dyDescent="0.25">
      <c r="B220" s="193">
        <v>42503</v>
      </c>
      <c r="C220" s="10">
        <v>5500</v>
      </c>
      <c r="D220" s="200">
        <v>15.754899999999999</v>
      </c>
      <c r="E220" s="40">
        <v>9.58</v>
      </c>
      <c r="F220" s="40">
        <f t="shared" si="20"/>
        <v>-33961.949999999997</v>
      </c>
      <c r="G220" s="40">
        <f t="shared" si="21"/>
        <v>86651.95</v>
      </c>
      <c r="H220" s="232">
        <f t="shared" si="22"/>
        <v>-0.39193520745926663</v>
      </c>
      <c r="I220" s="40"/>
      <c r="J220" s="40"/>
    </row>
    <row r="221" spans="2:10" x14ac:dyDescent="0.25">
      <c r="B221" s="193">
        <v>42510</v>
      </c>
      <c r="C221" s="456">
        <v>5000</v>
      </c>
      <c r="D221" s="457">
        <v>16.255400000000002</v>
      </c>
      <c r="E221" s="40">
        <v>10.8</v>
      </c>
      <c r="F221" s="40">
        <f t="shared" si="20"/>
        <v>-27277.000000000004</v>
      </c>
      <c r="G221" s="40">
        <f t="shared" si="21"/>
        <v>81277.000000000015</v>
      </c>
      <c r="H221" s="232">
        <f t="shared" si="22"/>
        <v>-0.33560539882131479</v>
      </c>
      <c r="I221" s="40"/>
      <c r="J221" s="40"/>
    </row>
    <row r="222" spans="2:10" x14ac:dyDescent="0.25">
      <c r="B222" s="193">
        <v>42514</v>
      </c>
      <c r="C222" s="10">
        <v>4500</v>
      </c>
      <c r="D222" s="200">
        <v>16.752199999999998</v>
      </c>
      <c r="E222" s="40">
        <v>11.49</v>
      </c>
      <c r="F222" s="40">
        <f t="shared" si="20"/>
        <v>-23679.899999999991</v>
      </c>
      <c r="G222" s="40">
        <f t="shared" si="21"/>
        <v>75384.899999999994</v>
      </c>
      <c r="H222" s="232">
        <f t="shared" si="22"/>
        <v>-0.31411993648595399</v>
      </c>
      <c r="I222" s="40"/>
      <c r="J222" s="40"/>
    </row>
    <row r="223" spans="2:10" x14ac:dyDescent="0.25">
      <c r="B223" s="193">
        <v>42515</v>
      </c>
      <c r="C223" s="10">
        <v>4500</v>
      </c>
      <c r="D223" s="200">
        <v>16.746700000000001</v>
      </c>
      <c r="E223" s="40">
        <v>11.6</v>
      </c>
      <c r="F223" s="40">
        <f t="shared" si="20"/>
        <v>-23160.150000000005</v>
      </c>
      <c r="G223" s="40">
        <f t="shared" si="21"/>
        <v>75360.150000000009</v>
      </c>
      <c r="H223" s="232">
        <f t="shared" si="22"/>
        <v>-0.30732621949398992</v>
      </c>
      <c r="I223" s="40"/>
      <c r="J223" s="40"/>
    </row>
    <row r="224" spans="2:10" x14ac:dyDescent="0.25">
      <c r="B224" s="193">
        <v>42516</v>
      </c>
      <c r="C224" s="10">
        <v>4000</v>
      </c>
      <c r="D224" s="200">
        <v>17.344999999999999</v>
      </c>
      <c r="E224" s="40">
        <v>11.95</v>
      </c>
      <c r="F224" s="40">
        <f t="shared" si="20"/>
        <v>-21580</v>
      </c>
      <c r="G224" s="40">
        <f t="shared" si="21"/>
        <v>69380</v>
      </c>
      <c r="H224" s="232">
        <f t="shared" si="22"/>
        <v>-0.31104064571922746</v>
      </c>
      <c r="I224" s="40"/>
      <c r="J224" s="40"/>
    </row>
    <row r="225" spans="2:10" x14ac:dyDescent="0.25">
      <c r="B225" s="193">
        <v>42517</v>
      </c>
      <c r="C225" s="7">
        <v>4000</v>
      </c>
      <c r="D225" s="79">
        <v>17.322700000000001</v>
      </c>
      <c r="E225" s="40">
        <v>12.31</v>
      </c>
      <c r="F225" s="40">
        <f t="shared" si="20"/>
        <v>-20050.800000000003</v>
      </c>
      <c r="G225" s="40">
        <f t="shared" si="21"/>
        <v>69290.8</v>
      </c>
      <c r="H225" s="232">
        <f t="shared" si="22"/>
        <v>-0.28937174920768705</v>
      </c>
      <c r="I225" s="40"/>
      <c r="J225" s="40"/>
    </row>
    <row r="226" spans="2:10" x14ac:dyDescent="0.25">
      <c r="B226" s="193">
        <v>42522</v>
      </c>
      <c r="C226" s="10">
        <v>3375</v>
      </c>
      <c r="D226" s="200">
        <v>18.078900000000001</v>
      </c>
      <c r="E226" s="40">
        <v>13.09</v>
      </c>
      <c r="F226" s="40">
        <f t="shared" si="20"/>
        <v>-16837.537500000002</v>
      </c>
      <c r="G226" s="40">
        <f t="shared" si="21"/>
        <v>61016.287500000006</v>
      </c>
      <c r="H226" s="232">
        <f t="shared" si="22"/>
        <v>-0.27595152359933406</v>
      </c>
      <c r="I226" s="40"/>
      <c r="J226" s="40"/>
    </row>
    <row r="227" spans="2:10" x14ac:dyDescent="0.25">
      <c r="B227" s="193">
        <v>42524</v>
      </c>
      <c r="C227" s="10">
        <v>4000</v>
      </c>
      <c r="D227" s="200">
        <v>17.229099999999999</v>
      </c>
      <c r="E227" s="40">
        <v>12.86</v>
      </c>
      <c r="F227" s="40">
        <f t="shared" si="20"/>
        <v>-17476.399999999998</v>
      </c>
      <c r="G227" s="40">
        <f t="shared" si="21"/>
        <v>68916.399999999994</v>
      </c>
      <c r="H227" s="232">
        <f t="shared" si="22"/>
        <v>-0.25358840566251284</v>
      </c>
      <c r="I227" s="40"/>
      <c r="J227" s="40"/>
    </row>
    <row r="228" spans="2:10" x14ac:dyDescent="0.25">
      <c r="B228" s="193">
        <v>42530</v>
      </c>
      <c r="C228" s="7">
        <v>4000</v>
      </c>
      <c r="D228" s="79">
        <v>17.184100000000001</v>
      </c>
      <c r="E228" s="40">
        <v>12.51</v>
      </c>
      <c r="F228" s="40">
        <f t="shared" si="20"/>
        <v>-18696.400000000005</v>
      </c>
      <c r="G228" s="40">
        <f t="shared" si="21"/>
        <v>68736.400000000009</v>
      </c>
      <c r="H228" s="232">
        <f t="shared" si="22"/>
        <v>-0.27200144319458108</v>
      </c>
      <c r="I228" s="40"/>
      <c r="J228" s="40"/>
    </row>
    <row r="229" spans="2:10" x14ac:dyDescent="0.25">
      <c r="B229" s="193">
        <v>42532</v>
      </c>
      <c r="C229" s="10">
        <v>4760</v>
      </c>
      <c r="D229" s="200">
        <v>16.386800000000001</v>
      </c>
      <c r="E229" s="40">
        <v>12.14</v>
      </c>
      <c r="F229" s="40">
        <f t="shared" si="20"/>
        <v>-20214.768</v>
      </c>
      <c r="G229" s="40">
        <f t="shared" si="21"/>
        <v>78001.168000000005</v>
      </c>
      <c r="H229" s="232">
        <f t="shared" si="22"/>
        <v>-0.25915981155564233</v>
      </c>
      <c r="I229" s="40"/>
      <c r="J229" s="40"/>
    </row>
    <row r="230" spans="2:10" x14ac:dyDescent="0.25">
      <c r="B230" s="193">
        <v>42535</v>
      </c>
      <c r="C230" s="10">
        <v>4760</v>
      </c>
      <c r="D230" s="200">
        <v>16.387</v>
      </c>
      <c r="E230" s="40">
        <v>11.92</v>
      </c>
      <c r="F230" s="40">
        <f t="shared" si="20"/>
        <v>-21262.920000000002</v>
      </c>
      <c r="G230" s="40">
        <f t="shared" si="21"/>
        <v>78002.12</v>
      </c>
      <c r="H230" s="232">
        <f t="shared" si="22"/>
        <v>-0.27259412949289075</v>
      </c>
      <c r="I230" s="40"/>
      <c r="J230" s="40"/>
    </row>
    <row r="231" spans="2:10" x14ac:dyDescent="0.25">
      <c r="B231" s="193">
        <v>42537</v>
      </c>
      <c r="C231" s="10">
        <v>4760</v>
      </c>
      <c r="D231" s="200">
        <v>16.361599999999999</v>
      </c>
      <c r="E231" s="40">
        <v>11.95</v>
      </c>
      <c r="F231" s="40">
        <f t="shared" si="20"/>
        <v>-20999.216</v>
      </c>
      <c r="G231" s="40">
        <f t="shared" si="21"/>
        <v>77881.216</v>
      </c>
      <c r="H231" s="232">
        <f t="shared" si="22"/>
        <v>-0.26963133189908078</v>
      </c>
      <c r="I231" s="40"/>
      <c r="J231" s="40"/>
    </row>
    <row r="232" spans="2:10" x14ac:dyDescent="0.25">
      <c r="B232" s="193">
        <v>42541</v>
      </c>
      <c r="C232" s="10">
        <v>4600</v>
      </c>
      <c r="D232" s="200">
        <v>16.459700000000002</v>
      </c>
      <c r="E232" s="40">
        <v>12.32</v>
      </c>
      <c r="F232" s="40">
        <f t="shared" si="20"/>
        <v>-19042.620000000006</v>
      </c>
      <c r="G232" s="40">
        <f t="shared" si="21"/>
        <v>75714.62000000001</v>
      </c>
      <c r="H232" s="232">
        <f t="shared" si="22"/>
        <v>-0.25150519146764527</v>
      </c>
      <c r="I232" s="40"/>
      <c r="J232" s="40"/>
    </row>
    <row r="233" spans="2:10" x14ac:dyDescent="0.25">
      <c r="B233" s="193">
        <v>42542</v>
      </c>
      <c r="C233" s="10">
        <v>4000</v>
      </c>
      <c r="D233" s="200">
        <v>17.010200000000001</v>
      </c>
      <c r="E233" s="40">
        <v>12.75</v>
      </c>
      <c r="F233" s="40">
        <f t="shared" si="20"/>
        <v>-17040.800000000003</v>
      </c>
      <c r="G233" s="40">
        <f t="shared" si="21"/>
        <v>68040.800000000003</v>
      </c>
      <c r="H233" s="232">
        <f t="shared" si="22"/>
        <v>-0.25044973016190292</v>
      </c>
      <c r="I233" s="40"/>
      <c r="J233" s="40"/>
    </row>
    <row r="234" spans="2:10" x14ac:dyDescent="0.25">
      <c r="B234" s="193">
        <v>42544</v>
      </c>
      <c r="C234" s="10">
        <v>2500</v>
      </c>
      <c r="D234" s="200">
        <v>18.952100000000002</v>
      </c>
      <c r="E234" s="40">
        <v>14.05</v>
      </c>
      <c r="F234" s="40">
        <f t="shared" si="20"/>
        <v>-12255.250000000002</v>
      </c>
      <c r="G234" s="40">
        <f t="shared" si="21"/>
        <v>47380.250000000007</v>
      </c>
      <c r="H234" s="232">
        <f t="shared" si="22"/>
        <v>-0.25865735195571998</v>
      </c>
      <c r="I234" s="40"/>
      <c r="J234" s="40"/>
    </row>
    <row r="235" spans="2:10" x14ac:dyDescent="0.25">
      <c r="B235" s="193">
        <v>42545</v>
      </c>
      <c r="C235" s="10">
        <v>3000</v>
      </c>
      <c r="D235" s="200">
        <v>18.046700000000001</v>
      </c>
      <c r="E235" s="40">
        <v>13.52</v>
      </c>
      <c r="F235" s="40">
        <f t="shared" si="20"/>
        <v>-13580.100000000006</v>
      </c>
      <c r="G235" s="40">
        <f t="shared" si="21"/>
        <v>54140.100000000006</v>
      </c>
      <c r="H235" s="232">
        <f t="shared" si="22"/>
        <v>-0.25083256218588446</v>
      </c>
      <c r="I235" s="40"/>
      <c r="J235" s="40"/>
    </row>
    <row r="236" spans="2:10" x14ac:dyDescent="0.25">
      <c r="B236" s="193">
        <v>42545</v>
      </c>
      <c r="C236" s="10">
        <v>3500</v>
      </c>
      <c r="D236" s="200">
        <v>17.391500000000001</v>
      </c>
      <c r="E236" s="40">
        <v>13.46</v>
      </c>
      <c r="F236" s="40">
        <f t="shared" si="20"/>
        <v>-13760.25</v>
      </c>
      <c r="G236" s="40">
        <f t="shared" si="21"/>
        <v>60870.25</v>
      </c>
      <c r="H236" s="232">
        <f t="shared" si="22"/>
        <v>-0.22605870683954804</v>
      </c>
      <c r="I236" s="40"/>
      <c r="J236" s="40"/>
    </row>
    <row r="237" spans="2:10" x14ac:dyDescent="0.25">
      <c r="B237" s="193">
        <v>42545</v>
      </c>
      <c r="C237" s="7">
        <v>4000</v>
      </c>
      <c r="D237" s="79">
        <v>16.8825</v>
      </c>
      <c r="E237" s="40">
        <v>13.32</v>
      </c>
      <c r="F237" s="40">
        <f t="shared" si="20"/>
        <v>-14250</v>
      </c>
      <c r="G237" s="40">
        <f t="shared" si="21"/>
        <v>67530</v>
      </c>
      <c r="H237" s="232">
        <f t="shared" si="22"/>
        <v>-0.21101732563305198</v>
      </c>
      <c r="I237" s="40"/>
      <c r="J237" s="40"/>
    </row>
    <row r="238" spans="2:10" x14ac:dyDescent="0.25">
      <c r="B238" s="193">
        <v>42548</v>
      </c>
      <c r="C238" s="10">
        <v>4760</v>
      </c>
      <c r="D238" s="200">
        <v>16.2315</v>
      </c>
      <c r="E238" s="40">
        <v>12.23</v>
      </c>
      <c r="F238" s="40">
        <f t="shared" si="20"/>
        <v>-19047.14</v>
      </c>
      <c r="G238" s="40">
        <f t="shared" si="21"/>
        <v>77261.94</v>
      </c>
      <c r="H238" s="232">
        <f t="shared" si="22"/>
        <v>-0.246526815143394</v>
      </c>
      <c r="I238" s="40"/>
      <c r="J238" s="40"/>
    </row>
    <row r="239" spans="2:10" x14ac:dyDescent="0.25">
      <c r="B239" s="193">
        <v>42548</v>
      </c>
      <c r="C239" s="10">
        <v>5260</v>
      </c>
      <c r="D239" s="200">
        <v>15.884399999999999</v>
      </c>
      <c r="E239" s="40">
        <v>12.23</v>
      </c>
      <c r="F239" s="40">
        <f t="shared" ref="F239:F240" si="23">-C239*(D239-E239)</f>
        <v>-19222.143999999993</v>
      </c>
      <c r="G239" s="40">
        <f t="shared" ref="G239:G240" si="24">IF(C239=0, 0,D239*C239)</f>
        <v>83551.944000000003</v>
      </c>
      <c r="H239" s="232">
        <f t="shared" ref="H239:H240" si="25">IF(C239=0, D239, (E239-D239)/D239)</f>
        <v>-0.23006219939059702</v>
      </c>
      <c r="I239" s="40"/>
      <c r="J239" s="40"/>
    </row>
    <row r="240" spans="2:10" x14ac:dyDescent="0.25">
      <c r="B240" s="193">
        <v>42549</v>
      </c>
      <c r="C240" s="10">
        <v>4500</v>
      </c>
      <c r="D240" s="200">
        <v>16.3767</v>
      </c>
      <c r="E240" s="40">
        <v>12.99</v>
      </c>
      <c r="F240" s="40">
        <f t="shared" si="23"/>
        <v>-15240.149999999998</v>
      </c>
      <c r="G240" s="40">
        <f t="shared" si="24"/>
        <v>73695.149999999994</v>
      </c>
      <c r="H240" s="232">
        <f t="shared" si="25"/>
        <v>-0.2067999047427137</v>
      </c>
      <c r="I240" s="40"/>
      <c r="J240" s="40"/>
    </row>
    <row r="241" spans="2:10" x14ac:dyDescent="0.25">
      <c r="B241" s="193">
        <v>42550</v>
      </c>
      <c r="C241" s="10">
        <v>4500</v>
      </c>
      <c r="D241" s="200">
        <v>16.3767</v>
      </c>
      <c r="E241" s="40">
        <v>13.19</v>
      </c>
      <c r="F241" s="40">
        <f t="shared" ref="F241:F243" si="26">-C241*(D241-E241)</f>
        <v>-14340.15</v>
      </c>
      <c r="G241" s="40">
        <f t="shared" ref="G241:G243" si="27">IF(C241=0, 0,D241*C241)</f>
        <v>73695.149999999994</v>
      </c>
      <c r="H241" s="232">
        <f t="shared" ref="H241:H243" si="28">IF(C241=0, D241, (E241-D241)/D241)</f>
        <v>-0.19458743214444912</v>
      </c>
      <c r="I241" s="40">
        <v>16</v>
      </c>
      <c r="J241" s="40"/>
    </row>
    <row r="242" spans="2:10" x14ac:dyDescent="0.25">
      <c r="B242" s="193">
        <v>42551</v>
      </c>
      <c r="C242" s="10">
        <v>4000</v>
      </c>
      <c r="D242" s="200">
        <v>16.708500000000001</v>
      </c>
      <c r="E242" s="40">
        <v>13.76</v>
      </c>
      <c r="F242" s="40">
        <f t="shared" si="26"/>
        <v>-11794.000000000004</v>
      </c>
      <c r="G242" s="40">
        <f t="shared" si="27"/>
        <v>66834</v>
      </c>
      <c r="H242" s="232">
        <f t="shared" si="28"/>
        <v>-0.176467067660173</v>
      </c>
      <c r="I242" s="40"/>
      <c r="J242" s="40"/>
    </row>
    <row r="243" spans="2:10" x14ac:dyDescent="0.25">
      <c r="B243" s="193">
        <v>42551</v>
      </c>
      <c r="C243" s="10">
        <v>4500</v>
      </c>
      <c r="D243" s="200">
        <v>16.23</v>
      </c>
      <c r="E243" s="40">
        <v>13.76</v>
      </c>
      <c r="F243" s="40">
        <f t="shared" si="26"/>
        <v>-11115.000000000004</v>
      </c>
      <c r="G243" s="40">
        <f t="shared" si="27"/>
        <v>73035</v>
      </c>
      <c r="H243" s="232">
        <f t="shared" si="28"/>
        <v>-0.15218730745532968</v>
      </c>
      <c r="I243" s="40" t="s">
        <v>238</v>
      </c>
      <c r="J243" s="40"/>
    </row>
    <row r="244" spans="2:10" x14ac:dyDescent="0.25">
      <c r="B244" s="193">
        <v>42552</v>
      </c>
      <c r="C244" s="10">
        <v>4500</v>
      </c>
      <c r="D244" s="200">
        <v>16.23</v>
      </c>
      <c r="E244" s="40">
        <v>12.5</v>
      </c>
      <c r="F244" s="40">
        <f t="shared" ref="F244:F245" si="29">-C244*(D244-E244)</f>
        <v>-16785.000000000004</v>
      </c>
      <c r="G244" s="40">
        <f t="shared" ref="G244:G245" si="30">IF(C244=0, 0,D244*C244)</f>
        <v>73035</v>
      </c>
      <c r="H244" s="232">
        <f t="shared" ref="H244:H245" si="31">IF(C244=0, D244, (E244-D244)/D244)</f>
        <v>-0.22982131854590268</v>
      </c>
      <c r="I244" s="40"/>
      <c r="J244" s="40"/>
    </row>
    <row r="245" spans="2:10" x14ac:dyDescent="0.25">
      <c r="B245" s="193">
        <v>42556</v>
      </c>
      <c r="C245" s="456">
        <v>5000</v>
      </c>
      <c r="D245" s="457">
        <v>15.7963</v>
      </c>
      <c r="E245" s="40">
        <v>11.91</v>
      </c>
      <c r="F245" s="40">
        <f t="shared" si="29"/>
        <v>-19431.5</v>
      </c>
      <c r="G245" s="40">
        <f t="shared" si="30"/>
        <v>78981.5</v>
      </c>
      <c r="H245" s="232">
        <f t="shared" si="31"/>
        <v>-0.24602596810645533</v>
      </c>
      <c r="I245" s="40">
        <v>15.6</v>
      </c>
      <c r="J245" s="40"/>
    </row>
    <row r="246" spans="2:10" x14ac:dyDescent="0.25">
      <c r="B246" s="193">
        <v>42557</v>
      </c>
      <c r="C246" s="10">
        <v>4500</v>
      </c>
      <c r="D246" s="200">
        <v>16.142600000000002</v>
      </c>
      <c r="E246" s="40">
        <v>12.2</v>
      </c>
      <c r="F246" s="40">
        <f t="shared" ref="F246" si="32">-C246*(D246-E246)</f>
        <v>-17741.700000000012</v>
      </c>
      <c r="G246" s="40">
        <f t="shared" ref="G246" si="33">IF(C246=0, 0,D246*C246)</f>
        <v>72641.700000000012</v>
      </c>
      <c r="H246" s="232">
        <f t="shared" ref="H246" si="34">IF(C246=0, D246, (E246-D246)/D246)</f>
        <v>-0.24423574888803551</v>
      </c>
      <c r="I246" s="40"/>
      <c r="J246" s="40"/>
    </row>
    <row r="247" spans="2:10" x14ac:dyDescent="0.25">
      <c r="B247" s="193">
        <v>42559</v>
      </c>
      <c r="C247" s="10">
        <v>4500</v>
      </c>
      <c r="D247" s="200">
        <v>16.142600000000002</v>
      </c>
      <c r="E247" s="40">
        <v>12.62</v>
      </c>
      <c r="F247" s="40">
        <f t="shared" ref="F247" si="35">-C247*(D247-E247)</f>
        <v>-15851.700000000012</v>
      </c>
      <c r="G247" s="40">
        <f t="shared" ref="G247" si="36">IF(C247=0, 0,D247*C247)</f>
        <v>72641.700000000012</v>
      </c>
      <c r="H247" s="232">
        <f t="shared" ref="H247" si="37">IF(C247=0, D247, (E247-D247)/D247)</f>
        <v>-0.21821763532516461</v>
      </c>
      <c r="I247" s="40"/>
      <c r="J247" s="40"/>
    </row>
    <row r="248" spans="2:10" x14ac:dyDescent="0.25">
      <c r="B248" s="193">
        <v>42562</v>
      </c>
      <c r="C248" s="10">
        <v>4500</v>
      </c>
      <c r="D248" s="200">
        <v>16.143000000000001</v>
      </c>
      <c r="E248" s="40">
        <v>12.64</v>
      </c>
      <c r="F248" s="40">
        <f t="shared" ref="F248" si="38">-C248*(D248-E248)</f>
        <v>-15763.5</v>
      </c>
      <c r="G248" s="40">
        <f t="shared" ref="G248" si="39">IF(C248=0, 0,D248*C248)</f>
        <v>72643.5</v>
      </c>
      <c r="H248" s="232">
        <f t="shared" ref="H248" si="40">IF(C248=0, D248, (E248-D248)/D248)</f>
        <v>-0.21699807966301182</v>
      </c>
      <c r="I248" s="40"/>
      <c r="J248" s="40"/>
    </row>
    <row r="249" spans="2:10" x14ac:dyDescent="0.25">
      <c r="B249" s="193">
        <v>42572</v>
      </c>
      <c r="C249" s="10">
        <v>4500</v>
      </c>
      <c r="D249" s="200">
        <v>16.143000000000001</v>
      </c>
      <c r="E249" s="40">
        <v>13.18</v>
      </c>
      <c r="F249" s="40">
        <f t="shared" ref="F249" si="41">-C249*(D249-E249)</f>
        <v>-13333.500000000004</v>
      </c>
      <c r="G249" s="40">
        <f t="shared" ref="G249" si="42">IF(C249=0, 0,D249*C249)</f>
        <v>72643.5</v>
      </c>
      <c r="H249" s="232">
        <f t="shared" ref="H249" si="43">IF(C249=0, D249, (E249-D249)/D249)</f>
        <v>-0.18354704825621018</v>
      </c>
      <c r="I249" s="40"/>
      <c r="J249" s="40"/>
    </row>
    <row r="250" spans="2:10" x14ac:dyDescent="0.25">
      <c r="B250" s="193">
        <v>42576</v>
      </c>
      <c r="C250" s="7">
        <v>4000</v>
      </c>
      <c r="D250" s="79">
        <v>16.433</v>
      </c>
      <c r="E250" s="40">
        <v>13.92</v>
      </c>
      <c r="F250" s="40">
        <f t="shared" ref="F250" si="44">-C250*(D250-E250)</f>
        <v>-10052</v>
      </c>
      <c r="G250" s="40">
        <f t="shared" ref="G250" si="45">IF(C250=0, 0,D250*C250)</f>
        <v>65732</v>
      </c>
      <c r="H250" s="232">
        <f t="shared" ref="H250" si="46">IF(C250=0, D250, (E250-D250)/D250)</f>
        <v>-0.15292399440150917</v>
      </c>
      <c r="I250" s="40"/>
      <c r="J250" s="40"/>
    </row>
    <row r="251" spans="2:10" x14ac:dyDescent="0.25">
      <c r="B251" s="193">
        <v>42577</v>
      </c>
      <c r="C251" s="10">
        <v>3200</v>
      </c>
      <c r="D251" s="200">
        <v>16.935400000000001</v>
      </c>
      <c r="E251" s="40">
        <v>14.67</v>
      </c>
      <c r="F251" s="40">
        <f t="shared" ref="F251" si="47">-C251*(D251-E251)</f>
        <v>-7249.2800000000043</v>
      </c>
      <c r="G251" s="40">
        <f t="shared" ref="G251" si="48">IF(C251=0, 0,D251*C251)</f>
        <v>54193.280000000006</v>
      </c>
      <c r="H251" s="232">
        <f t="shared" ref="H251" si="49">IF(C251=0, D251, (E251-D251)/D251)</f>
        <v>-0.1337671386563058</v>
      </c>
      <c r="I251" s="40"/>
      <c r="J251" s="40"/>
    </row>
    <row r="252" spans="2:10" x14ac:dyDescent="0.25">
      <c r="B252" s="193">
        <v>42578</v>
      </c>
      <c r="C252" s="10">
        <v>3400</v>
      </c>
      <c r="D252" s="200">
        <v>16.7698</v>
      </c>
      <c r="E252" s="40">
        <v>14.19</v>
      </c>
      <c r="F252" s="40">
        <f t="shared" ref="F252:F253" si="50">-C252*(D252-E252)</f>
        <v>-8771.3200000000015</v>
      </c>
      <c r="G252" s="40">
        <f t="shared" ref="G252:G253" si="51">IF(C252=0, 0,D252*C252)</f>
        <v>57017.32</v>
      </c>
      <c r="H252" s="232">
        <f t="shared" ref="H252:H253" si="52">IF(C252=0, D252, (E252-D252)/D252)</f>
        <v>-0.15383606244558673</v>
      </c>
      <c r="I252" s="40"/>
      <c r="J252" s="40"/>
    </row>
    <row r="253" spans="2:10" x14ac:dyDescent="0.25">
      <c r="B253" s="193">
        <v>42579</v>
      </c>
      <c r="C253" s="7">
        <v>4000</v>
      </c>
      <c r="D253" s="79">
        <v>16.327300000000001</v>
      </c>
      <c r="E253" s="40">
        <v>13.81</v>
      </c>
      <c r="F253" s="40">
        <f t="shared" si="50"/>
        <v>-10069.200000000003</v>
      </c>
      <c r="G253" s="40">
        <f t="shared" si="51"/>
        <v>65309.200000000004</v>
      </c>
      <c r="H253" s="232">
        <f t="shared" si="52"/>
        <v>-0.15417735939193869</v>
      </c>
      <c r="I253" s="40"/>
      <c r="J253" s="40"/>
    </row>
    <row r="254" spans="2:10" x14ac:dyDescent="0.25">
      <c r="B254" s="193">
        <v>42580</v>
      </c>
      <c r="C254" s="10">
        <v>4500</v>
      </c>
      <c r="D254" s="200">
        <v>16.026499999999999</v>
      </c>
      <c r="E254" s="40">
        <v>13.74</v>
      </c>
      <c r="F254" s="40">
        <f t="shared" ref="F254:F258" si="53">-C254*(D254-E254)</f>
        <v>-10289.249999999993</v>
      </c>
      <c r="G254" s="40">
        <f t="shared" ref="G254:G258" si="54">IF(C254=0, 0,D254*C254)</f>
        <v>72119.25</v>
      </c>
      <c r="H254" s="232">
        <f t="shared" ref="H254:H258" si="55">IF(C254=0, D254, (E254-D254)/D254)</f>
        <v>-0.14266995289052498</v>
      </c>
      <c r="I254" s="40"/>
      <c r="J254" s="40"/>
    </row>
    <row r="255" spans="2:10" x14ac:dyDescent="0.25">
      <c r="B255" s="193">
        <v>42585</v>
      </c>
      <c r="C255" s="10">
        <v>4700</v>
      </c>
      <c r="D255" s="200">
        <v>15.9011</v>
      </c>
      <c r="E255" s="40">
        <v>13.4</v>
      </c>
      <c r="F255" s="40">
        <f t="shared" si="53"/>
        <v>-11755.169999999996</v>
      </c>
      <c r="G255" s="40">
        <f t="shared" si="54"/>
        <v>74735.17</v>
      </c>
      <c r="H255" s="232">
        <f t="shared" si="55"/>
        <v>-0.15729100502480955</v>
      </c>
      <c r="I255" s="40"/>
      <c r="J255" s="40"/>
    </row>
    <row r="256" spans="2:10" x14ac:dyDescent="0.25">
      <c r="B256" s="193">
        <v>42586</v>
      </c>
      <c r="C256" s="10">
        <v>4500</v>
      </c>
      <c r="D256" s="200">
        <v>15.990399999999999</v>
      </c>
      <c r="E256" s="40">
        <v>14.03</v>
      </c>
      <c r="F256" s="40">
        <f t="shared" si="53"/>
        <v>-8821.7999999999993</v>
      </c>
      <c r="G256" s="40">
        <f t="shared" si="54"/>
        <v>71956.800000000003</v>
      </c>
      <c r="H256" s="232">
        <f t="shared" si="55"/>
        <v>-0.12259855913548129</v>
      </c>
      <c r="I256" s="40" t="s">
        <v>280</v>
      </c>
      <c r="J256" s="40"/>
    </row>
    <row r="257" spans="2:10" x14ac:dyDescent="0.25">
      <c r="B257" s="193">
        <v>42587</v>
      </c>
      <c r="C257" s="7">
        <v>4000</v>
      </c>
      <c r="D257" s="79">
        <v>16.158000000000001</v>
      </c>
      <c r="E257" s="40">
        <v>14.52</v>
      </c>
      <c r="F257" s="40">
        <f t="shared" si="53"/>
        <v>-6552.0000000000064</v>
      </c>
      <c r="G257" s="40">
        <f t="shared" si="54"/>
        <v>64632.000000000007</v>
      </c>
      <c r="H257" s="232">
        <f t="shared" si="55"/>
        <v>-0.10137393241737848</v>
      </c>
      <c r="I257" s="40">
        <v>16</v>
      </c>
      <c r="J257" s="40"/>
    </row>
    <row r="258" spans="2:10" x14ac:dyDescent="0.25">
      <c r="B258" s="193">
        <v>42593</v>
      </c>
      <c r="C258" s="10">
        <v>4000</v>
      </c>
      <c r="D258" s="200">
        <v>16.158000000000001</v>
      </c>
      <c r="E258" s="40">
        <v>14.2</v>
      </c>
      <c r="F258" s="40">
        <f t="shared" si="53"/>
        <v>-7832.0000000000082</v>
      </c>
      <c r="G258" s="40">
        <f t="shared" si="54"/>
        <v>64632.000000000007</v>
      </c>
      <c r="H258" s="232">
        <f t="shared" si="55"/>
        <v>-0.12117836365886879</v>
      </c>
      <c r="I258" s="40"/>
      <c r="J258" s="40"/>
    </row>
    <row r="259" spans="2:10" x14ac:dyDescent="0.25">
      <c r="B259" s="193">
        <v>42597</v>
      </c>
      <c r="C259" s="444">
        <v>2000</v>
      </c>
      <c r="D259" s="445">
        <v>17.3687</v>
      </c>
      <c r="E259" s="40">
        <v>15.53</v>
      </c>
      <c r="F259" s="40">
        <f t="shared" ref="F259:F260" si="56">-C259*(D259-E259)</f>
        <v>-3677.4000000000024</v>
      </c>
      <c r="G259" s="40">
        <f t="shared" ref="G259:G260" si="57">IF(C259=0, 0,D259*C259)</f>
        <v>34737.4</v>
      </c>
      <c r="H259" s="232">
        <f t="shared" ref="H259:H260" si="58">IF(C259=0, D259, (E259-D259)/D259)</f>
        <v>-0.10586284523309177</v>
      </c>
      <c r="I259" s="446">
        <v>17</v>
      </c>
      <c r="J259" s="40"/>
    </row>
    <row r="260" spans="2:10" x14ac:dyDescent="0.25">
      <c r="B260" s="193">
        <v>42599</v>
      </c>
      <c r="C260" s="10">
        <v>2000</v>
      </c>
      <c r="D260" s="200">
        <v>17.331299999999999</v>
      </c>
      <c r="E260" s="40">
        <v>15.52</v>
      </c>
      <c r="F260" s="40">
        <f t="shared" si="56"/>
        <v>-3622.5999999999985</v>
      </c>
      <c r="G260" s="40">
        <f t="shared" si="57"/>
        <v>34662.6</v>
      </c>
      <c r="H260" s="232">
        <f t="shared" si="58"/>
        <v>-0.10451033678950797</v>
      </c>
      <c r="I260" s="40"/>
      <c r="J260" s="40"/>
    </row>
    <row r="261" spans="2:10" x14ac:dyDescent="0.25">
      <c r="B261" s="193">
        <v>42600</v>
      </c>
      <c r="C261" s="10">
        <v>2000</v>
      </c>
      <c r="D261" s="200">
        <v>17.331299999999999</v>
      </c>
      <c r="E261" s="40">
        <v>15.77</v>
      </c>
      <c r="F261" s="40">
        <f t="shared" ref="F261" si="59">-C261*(D261-E261)</f>
        <v>-3122.5999999999985</v>
      </c>
      <c r="G261" s="40">
        <f t="shared" ref="G261" si="60">IF(C261=0, 0,D261*C261)</f>
        <v>34662.6</v>
      </c>
      <c r="H261" s="232">
        <f t="shared" ref="H261" si="61">IF(C261=0, D261, (E261-D261)/D261)</f>
        <v>-9.0085567730060601E-2</v>
      </c>
      <c r="I261" s="40"/>
      <c r="J261" s="40"/>
    </row>
    <row r="262" spans="2:10" x14ac:dyDescent="0.25">
      <c r="B262" s="193">
        <v>42601</v>
      </c>
      <c r="C262" s="10">
        <v>2000</v>
      </c>
      <c r="D262" s="200">
        <v>17.331299999999999</v>
      </c>
      <c r="E262" s="40">
        <v>16.25</v>
      </c>
      <c r="F262" s="40">
        <f t="shared" ref="F262" si="62">-C262*(D262-E262)</f>
        <v>-2162.5999999999976</v>
      </c>
      <c r="G262" s="40">
        <f t="shared" ref="G262" si="63">IF(C262=0, 0,D262*C262)</f>
        <v>34662.6</v>
      </c>
      <c r="H262" s="232">
        <f t="shared" ref="H262" si="64">IF(C262=0, D262, (E262-D262)/D262)</f>
        <v>-6.2390011135921651E-2</v>
      </c>
      <c r="I262" s="40"/>
      <c r="J262" s="40"/>
    </row>
    <row r="263" spans="2:10" x14ac:dyDescent="0.25">
      <c r="B263" s="193">
        <v>42604</v>
      </c>
      <c r="C263" s="10">
        <v>2000</v>
      </c>
      <c r="D263" s="200">
        <v>17.331299999999999</v>
      </c>
      <c r="E263" s="40">
        <v>16.190000000000001</v>
      </c>
      <c r="F263" s="40">
        <f t="shared" ref="F263" si="65">-C263*(D263-E263)</f>
        <v>-2282.5999999999949</v>
      </c>
      <c r="G263" s="40">
        <f t="shared" ref="G263" si="66">IF(C263=0, 0,D263*C263)</f>
        <v>34662.6</v>
      </c>
      <c r="H263" s="232">
        <f t="shared" ref="H263" si="67">IF(C263=0, D263, (E263-D263)/D263)</f>
        <v>-6.5851955710188939E-2</v>
      </c>
      <c r="I263" s="40"/>
      <c r="J263" s="40"/>
    </row>
    <row r="264" spans="2:10" x14ac:dyDescent="0.25">
      <c r="B264" s="193">
        <v>42607</v>
      </c>
      <c r="C264" s="10">
        <v>2000</v>
      </c>
      <c r="D264" s="200">
        <v>17.331299999999999</v>
      </c>
      <c r="E264" s="40">
        <v>16.2</v>
      </c>
      <c r="F264" s="40">
        <f t="shared" ref="F264" si="68">-C264*(D264-E264)</f>
        <v>-2262.599999999999</v>
      </c>
      <c r="G264" s="40">
        <f t="shared" ref="G264" si="69">IF(C264=0, 0,D264*C264)</f>
        <v>34662.6</v>
      </c>
      <c r="H264" s="232">
        <f t="shared" ref="H264" si="70">IF(C264=0, D264, (E264-D264)/D264)</f>
        <v>-6.5274964947811168E-2</v>
      </c>
      <c r="I264" s="40"/>
      <c r="J264" s="40"/>
    </row>
    <row r="265" spans="2:10" x14ac:dyDescent="0.25">
      <c r="B265" s="193">
        <v>42609</v>
      </c>
      <c r="C265" s="10">
        <v>2000</v>
      </c>
      <c r="D265" s="200">
        <v>17.331299999999999</v>
      </c>
      <c r="E265" s="40">
        <v>16.91</v>
      </c>
      <c r="F265" s="40">
        <f t="shared" ref="F265" si="71">-C265*(D265-E265)</f>
        <v>-842.59999999999741</v>
      </c>
      <c r="G265" s="40">
        <f t="shared" ref="G265" si="72">IF(C265=0, 0,D265*C265)</f>
        <v>34662.6</v>
      </c>
      <c r="H265" s="232">
        <f t="shared" ref="H265" si="73">IF(C265=0, D265, (E265-D265)/D265)</f>
        <v>-2.4308620818980612E-2</v>
      </c>
      <c r="I265" s="40"/>
      <c r="J265" s="40"/>
    </row>
    <row r="266" spans="2:10" x14ac:dyDescent="0.25">
      <c r="B266" s="193">
        <v>42612</v>
      </c>
      <c r="C266" s="10">
        <v>2000</v>
      </c>
      <c r="D266" s="200">
        <v>17.331299999999999</v>
      </c>
      <c r="E266" s="40">
        <v>16.739999999999998</v>
      </c>
      <c r="F266" s="40">
        <f t="shared" ref="F266" si="74">-C266*(D266-E266)</f>
        <v>-1182.6000000000008</v>
      </c>
      <c r="G266" s="40">
        <f t="shared" ref="G266" si="75">IF(C266=0, 0,D266*C266)</f>
        <v>34662.6</v>
      </c>
      <c r="H266" s="232">
        <f t="shared" ref="H266" si="76">IF(C266=0, D266, (E266-D266)/D266)</f>
        <v>-3.4117463779404916E-2</v>
      </c>
      <c r="I266" s="40"/>
      <c r="J266" s="40"/>
    </row>
    <row r="267" spans="2:10" x14ac:dyDescent="0.25">
      <c r="B267" s="193">
        <v>42615</v>
      </c>
      <c r="C267" s="10">
        <v>2000</v>
      </c>
      <c r="D267" s="200">
        <v>17.331299999999999</v>
      </c>
      <c r="E267" s="40">
        <v>16.7</v>
      </c>
      <c r="F267" s="40">
        <f t="shared" ref="F267:F268" si="77">-C267*(D267-E267)</f>
        <v>-1262.599999999999</v>
      </c>
      <c r="G267" s="40">
        <f t="shared" ref="G267:G268" si="78">IF(C267=0, 0,D267*C267)</f>
        <v>34662.6</v>
      </c>
      <c r="H267" s="232">
        <f t="shared" ref="H267:H268" si="79">IF(C267=0, D267, (E267-D267)/D267)</f>
        <v>-3.6425426828916446E-2</v>
      </c>
      <c r="I267" s="40"/>
      <c r="J267" s="40"/>
    </row>
    <row r="268" spans="2:10" x14ac:dyDescent="0.25">
      <c r="B268" s="193">
        <v>42619</v>
      </c>
      <c r="C268" s="444">
        <v>2000</v>
      </c>
      <c r="D268" s="445">
        <v>17.273900000000001</v>
      </c>
      <c r="E268" s="40">
        <v>17.010000000000002</v>
      </c>
      <c r="F268" s="40">
        <f t="shared" si="77"/>
        <v>-527.79999999999916</v>
      </c>
      <c r="G268" s="40">
        <f t="shared" si="78"/>
        <v>34547.800000000003</v>
      </c>
      <c r="H268" s="232">
        <f t="shared" si="79"/>
        <v>-1.5277383798678906E-2</v>
      </c>
      <c r="I268" s="446">
        <v>17</v>
      </c>
      <c r="J268" s="40"/>
    </row>
    <row r="269" spans="2:10" x14ac:dyDescent="0.25">
      <c r="B269" s="193">
        <v>42620</v>
      </c>
      <c r="C269" s="444">
        <v>2000</v>
      </c>
      <c r="D269" s="445">
        <v>17.234000000000002</v>
      </c>
      <c r="E269" s="40">
        <v>17.16</v>
      </c>
      <c r="F269" s="40">
        <f t="shared" ref="F269:F271" si="80">-C269*(D269-E269)</f>
        <v>-148.00000000000324</v>
      </c>
      <c r="G269" s="40">
        <f t="shared" ref="G269:G271" si="81">IF(C269=0, 0,D269*C269)</f>
        <v>34468</v>
      </c>
      <c r="H269" s="232">
        <f t="shared" ref="H269:H271" si="82">IF(C269=0, D269, (E269-D269)/D269)</f>
        <v>-4.2938377625624706E-3</v>
      </c>
      <c r="I269" s="446">
        <v>17</v>
      </c>
      <c r="J269" s="40"/>
    </row>
    <row r="270" spans="2:10" x14ac:dyDescent="0.25">
      <c r="B270" s="193">
        <v>42621</v>
      </c>
      <c r="C270" s="10">
        <v>1500</v>
      </c>
      <c r="D270" s="200">
        <v>17.168800000000001</v>
      </c>
      <c r="E270" s="40">
        <v>17.45</v>
      </c>
      <c r="F270" s="40">
        <f t="shared" si="80"/>
        <v>421.79999999999751</v>
      </c>
      <c r="G270" s="40">
        <f t="shared" si="81"/>
        <v>25753.200000000001</v>
      </c>
      <c r="H270" s="232">
        <f t="shared" si="82"/>
        <v>1.6378547132006798E-2</v>
      </c>
      <c r="I270" s="40"/>
      <c r="J270" s="40"/>
    </row>
    <row r="271" spans="2:10" x14ac:dyDescent="0.25">
      <c r="B271" s="193">
        <v>42622</v>
      </c>
      <c r="C271" s="444">
        <v>2000</v>
      </c>
      <c r="D271" s="445">
        <v>17.137899999999998</v>
      </c>
      <c r="E271" s="40">
        <v>16.809999999999999</v>
      </c>
      <c r="F271" s="40">
        <f t="shared" si="80"/>
        <v>-655.79999999999927</v>
      </c>
      <c r="G271" s="40">
        <f t="shared" si="81"/>
        <v>34275.799999999996</v>
      </c>
      <c r="H271" s="232">
        <f t="shared" si="82"/>
        <v>-1.9133032635270348E-2</v>
      </c>
      <c r="I271" s="446">
        <v>17</v>
      </c>
      <c r="J271" s="40"/>
    </row>
    <row r="272" spans="2:10" x14ac:dyDescent="0.25">
      <c r="B272" s="193">
        <v>42625</v>
      </c>
      <c r="C272" s="10">
        <v>2000</v>
      </c>
      <c r="D272" s="200">
        <v>17.137899999999998</v>
      </c>
      <c r="E272" s="40">
        <v>17.149999999999999</v>
      </c>
      <c r="F272" s="40">
        <f t="shared" ref="F272:F273" si="83">-C272*(D272-E272)</f>
        <v>24.200000000000443</v>
      </c>
      <c r="G272" s="40">
        <f t="shared" ref="G272:G273" si="84">IF(C272=0, 0,D272*C272)</f>
        <v>34275.799999999996</v>
      </c>
      <c r="H272" s="232">
        <f t="shared" ref="H272:H273" si="85">IF(C272=0, D272, (E272-D272)/D272)</f>
        <v>7.0603749584256077E-4</v>
      </c>
      <c r="I272" s="40"/>
      <c r="J272" s="40"/>
    </row>
    <row r="273" spans="2:10" x14ac:dyDescent="0.25">
      <c r="B273" s="193">
        <v>42626</v>
      </c>
      <c r="C273" s="10">
        <v>2100</v>
      </c>
      <c r="D273" s="200">
        <v>17.1065</v>
      </c>
      <c r="E273" s="40">
        <v>16.75</v>
      </c>
      <c r="F273" s="40">
        <f t="shared" si="83"/>
        <v>-748.650000000001</v>
      </c>
      <c r="G273" s="40">
        <f t="shared" si="84"/>
        <v>35923.65</v>
      </c>
      <c r="H273" s="232">
        <f t="shared" si="85"/>
        <v>-2.0840031566948265E-2</v>
      </c>
      <c r="I273" s="40"/>
      <c r="J273" s="40"/>
    </row>
    <row r="274" spans="2:10" x14ac:dyDescent="0.25">
      <c r="B274" s="193">
        <v>42627</v>
      </c>
      <c r="C274" s="10">
        <v>2100</v>
      </c>
      <c r="D274" s="200">
        <v>17.1065</v>
      </c>
      <c r="E274" s="40">
        <v>16.93</v>
      </c>
      <c r="F274" s="40">
        <f t="shared" ref="F274" si="86">-C274*(D274-E274)</f>
        <v>-370.65000000000163</v>
      </c>
      <c r="G274" s="40">
        <f t="shared" ref="G274" si="87">IF(C274=0, 0,D274*C274)</f>
        <v>35923.65</v>
      </c>
      <c r="H274" s="232">
        <f t="shared" ref="H274" si="88">IF(C274=0, D274, (E274-D274)/D274)</f>
        <v>-1.0317715488264739E-2</v>
      </c>
      <c r="I274" s="40"/>
      <c r="J274" s="40"/>
    </row>
    <row r="275" spans="2:10" x14ac:dyDescent="0.25">
      <c r="B275" s="193">
        <v>42628</v>
      </c>
      <c r="C275" s="10">
        <v>2100</v>
      </c>
      <c r="D275" s="200">
        <v>17.1065</v>
      </c>
      <c r="E275" s="40">
        <v>17.45</v>
      </c>
      <c r="F275" s="40">
        <f t="shared" ref="F275" si="89">-C275*(D275-E275)</f>
        <v>721.34999999999752</v>
      </c>
      <c r="G275" s="40">
        <f t="shared" ref="G275" si="90">IF(C275=0, 0,D275*C275)</f>
        <v>35923.65</v>
      </c>
      <c r="H275" s="232">
        <f t="shared" ref="H275" si="91">IF(C275=0, D275, (E275-D275)/D275)</f>
        <v>2.008008651682102E-2</v>
      </c>
      <c r="I275" s="40"/>
      <c r="J275" s="40"/>
    </row>
    <row r="276" spans="2:10" x14ac:dyDescent="0.25">
      <c r="B276" s="193">
        <v>42629</v>
      </c>
      <c r="C276" s="10">
        <v>2100</v>
      </c>
      <c r="D276" s="200">
        <v>17.1065</v>
      </c>
      <c r="E276" s="40">
        <v>17.48</v>
      </c>
      <c r="F276" s="40">
        <f t="shared" ref="F276" si="92">-C276*(D276-E276)</f>
        <v>784.34999999999991</v>
      </c>
      <c r="G276" s="40">
        <f t="shared" ref="G276" si="93">IF(C276=0, 0,D276*C276)</f>
        <v>35923.65</v>
      </c>
      <c r="H276" s="232">
        <f t="shared" ref="H276" si="94">IF(C276=0, D276, (E276-D276)/D276)</f>
        <v>2.1833805863268343E-2</v>
      </c>
      <c r="I276" s="40"/>
      <c r="J276" s="40"/>
    </row>
    <row r="277" spans="2:10" x14ac:dyDescent="0.25">
      <c r="B277" s="193">
        <v>42632</v>
      </c>
      <c r="C277" s="10">
        <v>2100</v>
      </c>
      <c r="D277" s="200">
        <v>17.106529999999999</v>
      </c>
      <c r="E277" s="40">
        <v>16.95</v>
      </c>
      <c r="F277" s="40">
        <f t="shared" ref="F277:F278" si="95">-C277*(D277-E277)</f>
        <v>-328.71300000000014</v>
      </c>
      <c r="G277" s="40">
        <f t="shared" ref="G277:G278" si="96">IF(C277=0, 0,D277*C277)</f>
        <v>35923.712999999996</v>
      </c>
      <c r="H277" s="232">
        <f t="shared" ref="H277:H278" si="97">IF(C277=0, D277, (E277-D277)/D277)</f>
        <v>-9.150306929576019E-3</v>
      </c>
      <c r="I277" s="40"/>
      <c r="J277" s="40"/>
    </row>
    <row r="278" spans="2:10" x14ac:dyDescent="0.25">
      <c r="B278" s="193">
        <v>42634</v>
      </c>
      <c r="C278" s="10">
        <v>1600</v>
      </c>
      <c r="D278" s="200">
        <v>16.943059999999999</v>
      </c>
      <c r="E278" s="40">
        <v>17.66</v>
      </c>
      <c r="F278" s="40">
        <f t="shared" si="95"/>
        <v>1147.1040000000016</v>
      </c>
      <c r="G278" s="40">
        <f t="shared" si="96"/>
        <v>27108.895999999997</v>
      </c>
      <c r="H278" s="232">
        <f t="shared" si="97"/>
        <v>4.2314670431433346E-2</v>
      </c>
      <c r="I278" s="40"/>
      <c r="J278" s="40"/>
    </row>
    <row r="279" spans="2:10" x14ac:dyDescent="0.25">
      <c r="B279" s="193">
        <v>42635</v>
      </c>
      <c r="C279" s="10">
        <v>1600</v>
      </c>
      <c r="D279" s="200">
        <v>16.943059999999999</v>
      </c>
      <c r="E279" s="40">
        <v>17.59</v>
      </c>
      <c r="F279" s="40">
        <f t="shared" ref="F279" si="98">-C279*(D279-E279)</f>
        <v>1035.1040000000012</v>
      </c>
      <c r="G279" s="40">
        <f t="shared" ref="G279" si="99">IF(C279=0, 0,D279*C279)</f>
        <v>27108.895999999997</v>
      </c>
      <c r="H279" s="232">
        <f t="shared" ref="H279" si="100">IF(C279=0, D279, (E279-D279)/D279)</f>
        <v>3.8183185327797978E-2</v>
      </c>
      <c r="I279" s="40"/>
      <c r="J279" s="40"/>
    </row>
    <row r="280" spans="2:10" x14ac:dyDescent="0.25">
      <c r="B280" s="193">
        <v>42640</v>
      </c>
      <c r="C280" s="10">
        <v>1600</v>
      </c>
      <c r="D280" s="200">
        <v>16.943059999999999</v>
      </c>
      <c r="E280" s="40">
        <v>18</v>
      </c>
      <c r="F280" s="40">
        <f t="shared" ref="F280:F281" si="101">-C280*(D280-E280)</f>
        <v>1691.1040000000014</v>
      </c>
      <c r="G280" s="40">
        <f t="shared" ref="G280:G281" si="102">IF(C280=0, 0,D280*C280)</f>
        <v>27108.895999999997</v>
      </c>
      <c r="H280" s="232">
        <f t="shared" ref="H280:H281" si="103">IF(C280=0, D280, (E280-D280)/D280)</f>
        <v>6.2381883791947909E-2</v>
      </c>
      <c r="I280" s="40"/>
      <c r="J280" s="40"/>
    </row>
    <row r="281" spans="2:10" x14ac:dyDescent="0.25">
      <c r="B281" s="193">
        <v>42641</v>
      </c>
      <c r="C281" s="10">
        <v>1800</v>
      </c>
      <c r="D281" s="200">
        <v>16.979289999999999</v>
      </c>
      <c r="E281" s="40">
        <v>17.440000000000001</v>
      </c>
      <c r="F281" s="40">
        <f t="shared" si="101"/>
        <v>829.27800000000434</v>
      </c>
      <c r="G281" s="40">
        <f t="shared" si="102"/>
        <v>30562.721999999998</v>
      </c>
      <c r="H281" s="232">
        <f t="shared" si="103"/>
        <v>2.71336433973389E-2</v>
      </c>
      <c r="I281" s="40"/>
      <c r="J281" s="40"/>
    </row>
    <row r="282" spans="2:10" x14ac:dyDescent="0.25">
      <c r="B282" s="193">
        <v>42643</v>
      </c>
      <c r="C282" s="10">
        <v>1800</v>
      </c>
      <c r="D282" s="200">
        <v>16.979289999999999</v>
      </c>
      <c r="E282" s="40">
        <v>17.78</v>
      </c>
      <c r="F282" s="40">
        <f t="shared" ref="F282:F283" si="104">-C282*(D282-E282)</f>
        <v>1441.2780000000041</v>
      </c>
      <c r="G282" s="40">
        <f t="shared" ref="G282:G283" si="105">IF(C282=0, 0,D282*C282)</f>
        <v>30562.721999999998</v>
      </c>
      <c r="H282" s="232">
        <f t="shared" ref="H282:H283" si="106">IF(C282=0, D282, (E282-D282)/D282)</f>
        <v>4.7158037821369583E-2</v>
      </c>
      <c r="I282" s="40"/>
      <c r="J282" s="40"/>
    </row>
    <row r="283" spans="2:10" x14ac:dyDescent="0.25">
      <c r="B283" s="193">
        <v>42647</v>
      </c>
      <c r="C283" s="444">
        <v>2000</v>
      </c>
      <c r="D283" s="445">
        <v>16.989360000000001</v>
      </c>
      <c r="E283" s="40">
        <v>17.8</v>
      </c>
      <c r="F283" s="40">
        <f t="shared" si="104"/>
        <v>1621.2799999999988</v>
      </c>
      <c r="G283" s="40">
        <f t="shared" si="105"/>
        <v>33978.720000000001</v>
      </c>
      <c r="H283" s="232">
        <f t="shared" si="106"/>
        <v>4.7714569589437116E-2</v>
      </c>
      <c r="I283" s="549" t="s">
        <v>311</v>
      </c>
      <c r="J283" s="202" t="s">
        <v>309</v>
      </c>
    </row>
    <row r="284" spans="2:10" x14ac:dyDescent="0.25">
      <c r="B284" s="193">
        <v>42648</v>
      </c>
      <c r="C284" s="10">
        <v>2000</v>
      </c>
      <c r="D284" s="200">
        <v>16.989360000000001</v>
      </c>
      <c r="E284" s="40">
        <v>17.7</v>
      </c>
      <c r="F284" s="40">
        <f t="shared" ref="F284:F286" si="107">-C284*(D284-E284)</f>
        <v>1421.2799999999959</v>
      </c>
      <c r="G284" s="40">
        <f t="shared" ref="G284:G286" si="108">IF(C284=0, 0,D284*C284)</f>
        <v>33978.720000000001</v>
      </c>
      <c r="H284" s="232">
        <f t="shared" ref="H284:H286" si="109">IF(C284=0, D284, (E284-D284)/D284)</f>
        <v>4.1828532681631204E-2</v>
      </c>
      <c r="I284" s="40"/>
      <c r="J284" s="40"/>
    </row>
    <row r="285" spans="2:10" x14ac:dyDescent="0.25">
      <c r="B285" s="193">
        <v>42661</v>
      </c>
      <c r="C285" s="10">
        <v>2200</v>
      </c>
      <c r="D285" s="200">
        <v>16.96123</v>
      </c>
      <c r="E285" s="40">
        <v>17.41</v>
      </c>
      <c r="F285" s="40">
        <f t="shared" si="107"/>
        <v>987.2939999999993</v>
      </c>
      <c r="G285" s="40">
        <f t="shared" si="108"/>
        <v>37314.705999999998</v>
      </c>
      <c r="H285" s="232">
        <f t="shared" si="109"/>
        <v>2.6458576412205934E-2</v>
      </c>
      <c r="I285" s="40"/>
      <c r="J285" s="40"/>
    </row>
    <row r="286" spans="2:10" x14ac:dyDescent="0.25">
      <c r="B286" s="193">
        <v>42662</v>
      </c>
      <c r="C286" s="444">
        <v>2000</v>
      </c>
      <c r="D286" s="445">
        <v>16.933399999999999</v>
      </c>
      <c r="E286" s="40">
        <v>17.215</v>
      </c>
      <c r="F286" s="40">
        <f t="shared" si="107"/>
        <v>563.20000000000186</v>
      </c>
      <c r="G286" s="40">
        <f t="shared" si="108"/>
        <v>33866.799999999996</v>
      </c>
      <c r="H286" s="232">
        <f t="shared" si="109"/>
        <v>1.6629855787969397E-2</v>
      </c>
      <c r="I286" s="549">
        <v>16.8</v>
      </c>
      <c r="J286" s="40"/>
    </row>
    <row r="287" spans="2:10" x14ac:dyDescent="0.25">
      <c r="B287" s="193">
        <v>42664</v>
      </c>
      <c r="C287" s="10">
        <v>2000</v>
      </c>
      <c r="D287" s="200">
        <v>16.933399999999999</v>
      </c>
      <c r="E287" s="40">
        <v>16.940000000000001</v>
      </c>
      <c r="F287" s="40">
        <f t="shared" ref="F287:F292" si="110">-C287*(D287-E287)</f>
        <v>13.200000000004763</v>
      </c>
      <c r="G287" s="40">
        <f t="shared" ref="G287:G292" si="111">IF(C287=0, 0,D287*C287)</f>
        <v>33866.799999999996</v>
      </c>
      <c r="H287" s="232">
        <f t="shared" ref="H287:H292" si="112">IF(C287=0, D287, (E287-D287)/D287)</f>
        <v>3.8976224503067206E-4</v>
      </c>
      <c r="I287" s="40"/>
      <c r="J287" s="40"/>
    </row>
    <row r="288" spans="2:10" x14ac:dyDescent="0.25">
      <c r="B288" s="193">
        <v>42668</v>
      </c>
      <c r="C288" s="10">
        <v>1800</v>
      </c>
      <c r="D288" s="200">
        <v>16.864930000000001</v>
      </c>
      <c r="E288" s="40">
        <v>17.54</v>
      </c>
      <c r="F288" s="40">
        <f t="shared" si="110"/>
        <v>1215.1259999999966</v>
      </c>
      <c r="G288" s="40">
        <f t="shared" si="111"/>
        <v>30356.874000000003</v>
      </c>
      <c r="H288" s="232">
        <f t="shared" si="112"/>
        <v>4.0028034507110198E-2</v>
      </c>
      <c r="I288" s="40"/>
      <c r="J288" s="40"/>
    </row>
    <row r="289" spans="2:10" x14ac:dyDescent="0.25">
      <c r="B289" s="193">
        <v>42669</v>
      </c>
      <c r="C289" s="10">
        <v>1000</v>
      </c>
      <c r="D289" s="200">
        <v>16.149180000000001</v>
      </c>
      <c r="E289" s="40">
        <v>17.64</v>
      </c>
      <c r="F289" s="40">
        <f t="shared" si="110"/>
        <v>1490.8199999999993</v>
      </c>
      <c r="G289" s="40">
        <f t="shared" si="111"/>
        <v>16149.18</v>
      </c>
      <c r="H289" s="232">
        <f t="shared" si="112"/>
        <v>9.2315523141113007E-2</v>
      </c>
      <c r="I289" s="40"/>
      <c r="J289" s="40"/>
    </row>
    <row r="290" spans="2:10" x14ac:dyDescent="0.25">
      <c r="B290" s="193">
        <v>42670</v>
      </c>
      <c r="C290" s="10">
        <v>1800</v>
      </c>
      <c r="D290" s="200">
        <v>16.753990000000002</v>
      </c>
      <c r="E290" s="40">
        <v>17.53</v>
      </c>
      <c r="F290" s="40">
        <f t="shared" si="110"/>
        <v>1396.8179999999988</v>
      </c>
      <c r="G290" s="40">
        <f t="shared" si="111"/>
        <v>30157.182000000004</v>
      </c>
      <c r="H290" s="232">
        <f t="shared" si="112"/>
        <v>4.6317921880101358E-2</v>
      </c>
      <c r="I290" s="40"/>
      <c r="J290" s="40"/>
    </row>
    <row r="291" spans="2:10" x14ac:dyDescent="0.25">
      <c r="B291" s="193">
        <v>42670</v>
      </c>
      <c r="C291" s="444">
        <v>2000</v>
      </c>
      <c r="D291" s="445">
        <v>16.820589999999999</v>
      </c>
      <c r="E291" s="40">
        <v>17.53</v>
      </c>
      <c r="F291" s="40">
        <f t="shared" si="110"/>
        <v>1418.8200000000038</v>
      </c>
      <c r="G291" s="40">
        <f t="shared" si="111"/>
        <v>33641.18</v>
      </c>
      <c r="H291" s="232">
        <f t="shared" si="112"/>
        <v>4.2175096117318234E-2</v>
      </c>
      <c r="I291" s="549">
        <v>16.8</v>
      </c>
      <c r="J291" s="40"/>
    </row>
    <row r="292" spans="2:10" x14ac:dyDescent="0.25">
      <c r="B292" s="193">
        <v>42671</v>
      </c>
      <c r="C292" s="444">
        <v>2000</v>
      </c>
      <c r="D292" s="445">
        <v>16.752666999999999</v>
      </c>
      <c r="E292" s="40">
        <v>17.2</v>
      </c>
      <c r="F292" s="40">
        <f t="shared" si="110"/>
        <v>894.66600000000085</v>
      </c>
      <c r="G292" s="40">
        <f t="shared" si="111"/>
        <v>33505.333999999995</v>
      </c>
      <c r="H292" s="232">
        <f t="shared" si="112"/>
        <v>2.6702196133905155E-2</v>
      </c>
      <c r="I292" s="549" t="s">
        <v>322</v>
      </c>
      <c r="J292" s="40"/>
    </row>
    <row r="293" spans="2:10" x14ac:dyDescent="0.25">
      <c r="B293" s="193">
        <v>42672</v>
      </c>
      <c r="C293" s="10">
        <v>2000</v>
      </c>
      <c r="D293" s="200">
        <v>16.752666999999999</v>
      </c>
      <c r="E293" s="40">
        <v>17.16</v>
      </c>
      <c r="F293" s="40">
        <f t="shared" ref="F293:F294" si="113">-C293*(D293-E293)</f>
        <v>814.66600000000255</v>
      </c>
      <c r="G293" s="40">
        <f t="shared" ref="G293:G294" si="114">IF(C293=0, 0,D293*C293)</f>
        <v>33505.333999999995</v>
      </c>
      <c r="H293" s="232">
        <f t="shared" ref="H293:H294" si="115">IF(C293=0, D293, (E293-D293)/D293)</f>
        <v>2.4314516608012402E-2</v>
      </c>
      <c r="I293" s="202" t="s">
        <v>322</v>
      </c>
      <c r="J293" s="40"/>
    </row>
    <row r="294" spans="2:10" x14ac:dyDescent="0.25">
      <c r="B294" s="193">
        <v>42675</v>
      </c>
      <c r="C294" s="444">
        <v>2000</v>
      </c>
      <c r="D294" s="445">
        <v>16.742699999999999</v>
      </c>
      <c r="E294" s="40">
        <v>17.2</v>
      </c>
      <c r="F294" s="40">
        <f t="shared" si="113"/>
        <v>914.60000000000014</v>
      </c>
      <c r="G294" s="40">
        <f t="shared" si="114"/>
        <v>33485.4</v>
      </c>
      <c r="H294" s="232">
        <f t="shared" si="115"/>
        <v>2.731339628614262E-2</v>
      </c>
      <c r="I294" s="549" t="s">
        <v>322</v>
      </c>
      <c r="J294" s="40"/>
    </row>
    <row r="295" spans="2:10" x14ac:dyDescent="0.25">
      <c r="B295" s="193">
        <v>42676</v>
      </c>
      <c r="C295" s="10">
        <v>2000</v>
      </c>
      <c r="D295" s="200">
        <v>16.742699999999999</v>
      </c>
      <c r="E295" s="40">
        <v>16.675000000000001</v>
      </c>
      <c r="F295" s="40">
        <f t="shared" ref="F295:F306" si="116">-C295*(D295-E295)</f>
        <v>-135.39999999999708</v>
      </c>
      <c r="G295" s="40">
        <f t="shared" ref="G295:G306" si="117">IF(C295=0, 0,D295*C295)</f>
        <v>33485.4</v>
      </c>
      <c r="H295" s="232">
        <f t="shared" ref="H295:H306" si="118">IF(C295=0, D295, (E295-D295)/D295)</f>
        <v>-4.0435533098006019E-3</v>
      </c>
      <c r="I295" s="40"/>
      <c r="J295" s="40"/>
    </row>
    <row r="296" spans="2:10" x14ac:dyDescent="0.25">
      <c r="B296" s="193">
        <v>42678</v>
      </c>
      <c r="C296" s="444">
        <v>2000</v>
      </c>
      <c r="D296" s="445">
        <v>16.7227</v>
      </c>
      <c r="E296" s="40">
        <v>16.68</v>
      </c>
      <c r="F296" s="40">
        <f t="shared" si="116"/>
        <v>-85.39999999999992</v>
      </c>
      <c r="G296" s="40">
        <f t="shared" si="117"/>
        <v>33445.4</v>
      </c>
      <c r="H296" s="232">
        <f t="shared" si="118"/>
        <v>-2.5534154173668102E-3</v>
      </c>
      <c r="I296" s="549" t="s">
        <v>322</v>
      </c>
      <c r="J296" s="40"/>
    </row>
    <row r="297" spans="2:10" x14ac:dyDescent="0.25">
      <c r="B297" s="193">
        <v>42701</v>
      </c>
      <c r="C297" s="10">
        <v>1800</v>
      </c>
      <c r="D297" s="200">
        <v>16.627528999999999</v>
      </c>
      <c r="E297" s="40">
        <v>20.13</v>
      </c>
      <c r="F297" s="40">
        <f t="shared" si="116"/>
        <v>6304.4477999999999</v>
      </c>
      <c r="G297" s="40">
        <f t="shared" si="117"/>
        <v>29929.552199999998</v>
      </c>
      <c r="H297" s="232">
        <f t="shared" si="118"/>
        <v>0.21064290430646671</v>
      </c>
      <c r="I297" s="40"/>
      <c r="J297" s="40"/>
    </row>
    <row r="298" spans="2:10" x14ac:dyDescent="0.25">
      <c r="B298" s="193">
        <v>42702</v>
      </c>
      <c r="C298" s="10">
        <v>1650</v>
      </c>
      <c r="D298" s="200">
        <v>16.310980000000001</v>
      </c>
      <c r="E298" s="40">
        <v>20.059999999999999</v>
      </c>
      <c r="F298" s="40">
        <f t="shared" si="116"/>
        <v>6185.8829999999971</v>
      </c>
      <c r="G298" s="40">
        <f t="shared" si="117"/>
        <v>26913.117000000002</v>
      </c>
      <c r="H298" s="232">
        <f t="shared" si="118"/>
        <v>0.22984639794788528</v>
      </c>
      <c r="I298" s="40"/>
      <c r="J298" s="40"/>
    </row>
    <row r="299" spans="2:10" x14ac:dyDescent="0.25">
      <c r="B299" s="193">
        <v>42705</v>
      </c>
      <c r="C299" s="10">
        <v>1800</v>
      </c>
      <c r="D299" s="200">
        <v>16.541699999999999</v>
      </c>
      <c r="E299" s="40">
        <v>18.48</v>
      </c>
      <c r="F299" s="40">
        <f t="shared" si="116"/>
        <v>3488.9400000000032</v>
      </c>
      <c r="G299" s="40">
        <f t="shared" si="117"/>
        <v>29775.059999999998</v>
      </c>
      <c r="H299" s="232">
        <f t="shared" si="118"/>
        <v>0.11717659007236268</v>
      </c>
      <c r="I299" s="40"/>
      <c r="J299" s="40"/>
    </row>
    <row r="300" spans="2:10" x14ac:dyDescent="0.25">
      <c r="B300" s="193">
        <v>42705</v>
      </c>
      <c r="C300" s="444">
        <v>2000</v>
      </c>
      <c r="D300" s="445">
        <v>16.707599999999999</v>
      </c>
      <c r="E300" s="40">
        <v>18.48</v>
      </c>
      <c r="F300" s="40">
        <f t="shared" si="116"/>
        <v>3544.800000000002</v>
      </c>
      <c r="G300" s="40">
        <f t="shared" si="117"/>
        <v>33415.199999999997</v>
      </c>
      <c r="H300" s="232">
        <f t="shared" si="118"/>
        <v>0.10608345902463556</v>
      </c>
      <c r="I300" s="549">
        <v>16.48</v>
      </c>
      <c r="J300" s="40"/>
    </row>
    <row r="301" spans="2:10" x14ac:dyDescent="0.25">
      <c r="B301" s="193">
        <v>42706</v>
      </c>
      <c r="C301" s="10">
        <v>1800</v>
      </c>
      <c r="D301" s="200">
        <v>16.476199999999999</v>
      </c>
      <c r="E301" s="40">
        <v>18.79</v>
      </c>
      <c r="F301" s="40">
        <f t="shared" si="116"/>
        <v>4164.8400000000011</v>
      </c>
      <c r="G301" s="40">
        <f t="shared" si="117"/>
        <v>29657.159999999996</v>
      </c>
      <c r="H301" s="232">
        <f t="shared" si="118"/>
        <v>0.14043286680181113</v>
      </c>
      <c r="I301" s="40"/>
      <c r="J301" s="40"/>
    </row>
    <row r="302" spans="2:10" x14ac:dyDescent="0.25">
      <c r="B302" s="193">
        <v>42710</v>
      </c>
      <c r="C302" s="10">
        <v>1800</v>
      </c>
      <c r="D302" s="200">
        <v>16.450700000000001</v>
      </c>
      <c r="E302" s="40">
        <v>19.059999999999999</v>
      </c>
      <c r="F302" s="40">
        <f t="shared" si="116"/>
        <v>4696.7399999999952</v>
      </c>
      <c r="G302" s="40">
        <f t="shared" si="117"/>
        <v>29611.260000000002</v>
      </c>
      <c r="H302" s="232">
        <f t="shared" si="118"/>
        <v>0.1586133112876654</v>
      </c>
      <c r="I302" s="40"/>
      <c r="J302" s="40"/>
    </row>
    <row r="303" spans="2:10" x14ac:dyDescent="0.25">
      <c r="B303" s="193">
        <v>42711</v>
      </c>
      <c r="C303" s="10">
        <v>1000</v>
      </c>
      <c r="D303" s="200">
        <v>13.444599999999999</v>
      </c>
      <c r="E303" s="40">
        <v>20.440000000000001</v>
      </c>
      <c r="F303" s="40">
        <f t="shared" si="116"/>
        <v>6995.4000000000015</v>
      </c>
      <c r="G303" s="40">
        <f t="shared" si="117"/>
        <v>13444.599999999999</v>
      </c>
      <c r="H303" s="232">
        <f t="shared" si="118"/>
        <v>0.52031298811418725</v>
      </c>
      <c r="I303" s="40"/>
      <c r="J303" s="40"/>
    </row>
    <row r="304" spans="2:10" x14ac:dyDescent="0.25">
      <c r="B304" s="193">
        <v>42716</v>
      </c>
      <c r="C304" s="10">
        <v>1800</v>
      </c>
      <c r="D304" s="200">
        <v>16.229800000000001</v>
      </c>
      <c r="E304" s="40">
        <v>20.02</v>
      </c>
      <c r="F304" s="40">
        <f t="shared" si="116"/>
        <v>6822.3599999999979</v>
      </c>
      <c r="G304" s="40">
        <f t="shared" si="117"/>
        <v>29213.640000000003</v>
      </c>
      <c r="H304" s="232">
        <f t="shared" si="118"/>
        <v>0.2335333768746379</v>
      </c>
      <c r="I304" s="40"/>
      <c r="J304" s="40"/>
    </row>
    <row r="305" spans="2:10" x14ac:dyDescent="0.25">
      <c r="B305" s="193">
        <v>42716</v>
      </c>
      <c r="C305" s="10">
        <v>1650</v>
      </c>
      <c r="D305" s="200">
        <v>15.888</v>
      </c>
      <c r="E305" s="40">
        <v>20.02</v>
      </c>
      <c r="F305" s="40">
        <f t="shared" si="116"/>
        <v>6817.7999999999993</v>
      </c>
      <c r="G305" s="40">
        <f t="shared" si="117"/>
        <v>26215.200000000001</v>
      </c>
      <c r="H305" s="232">
        <f t="shared" si="118"/>
        <v>0.26007049345417926</v>
      </c>
      <c r="I305" s="40"/>
      <c r="J305" s="40"/>
    </row>
    <row r="306" spans="2:10" x14ac:dyDescent="0.25">
      <c r="B306" s="193">
        <v>42717</v>
      </c>
      <c r="C306" s="10">
        <v>1550</v>
      </c>
      <c r="D306" s="200">
        <v>15.6</v>
      </c>
      <c r="E306" s="40">
        <v>20.13</v>
      </c>
      <c r="F306" s="40">
        <f t="shared" si="116"/>
        <v>7021.4999999999991</v>
      </c>
      <c r="G306" s="40">
        <f t="shared" si="117"/>
        <v>24180</v>
      </c>
      <c r="H306" s="232">
        <f t="shared" si="118"/>
        <v>0.29038461538461535</v>
      </c>
      <c r="I306" s="40"/>
      <c r="J306" s="40"/>
    </row>
    <row r="307" spans="2:10" x14ac:dyDescent="0.25">
      <c r="B307" s="193">
        <v>42726</v>
      </c>
      <c r="C307" s="10">
        <v>1550</v>
      </c>
      <c r="D307" s="200">
        <v>15.6</v>
      </c>
      <c r="E307" s="40">
        <v>23.2</v>
      </c>
      <c r="F307" s="40">
        <f t="shared" ref="F307" si="119">-C307*(D307-E307)</f>
        <v>11780</v>
      </c>
      <c r="G307" s="40">
        <f t="shared" ref="G307" si="120">IF(C307=0, 0,D307*C307)</f>
        <v>24180</v>
      </c>
      <c r="H307" s="232">
        <f t="shared" ref="H307" si="121">IF(C307=0, D307, (E307-D307)/D307)</f>
        <v>0.48717948717948717</v>
      </c>
      <c r="I307" s="40"/>
      <c r="J307" s="40"/>
    </row>
    <row r="308" spans="2:10" x14ac:dyDescent="0.25">
      <c r="B308" s="193">
        <v>42733</v>
      </c>
      <c r="C308" s="10">
        <v>1550</v>
      </c>
      <c r="D308" s="200">
        <v>15.6</v>
      </c>
      <c r="E308" s="40">
        <v>22.27</v>
      </c>
      <c r="F308" s="40">
        <f t="shared" ref="F308:F309" si="122">-C308*(D308-E308)</f>
        <v>10338.5</v>
      </c>
      <c r="G308" s="40">
        <f t="shared" ref="G308:G309" si="123">IF(C308=0, 0,D308*C308)</f>
        <v>24180</v>
      </c>
      <c r="H308" s="232">
        <f t="shared" ref="H308:H309" si="124">IF(C308=0, D308, (E308-D308)/D308)</f>
        <v>0.42756410256410254</v>
      </c>
      <c r="I308" s="40"/>
      <c r="J308" s="40"/>
    </row>
    <row r="309" spans="2:10" x14ac:dyDescent="0.25">
      <c r="B309" s="193">
        <v>42738</v>
      </c>
      <c r="C309" s="10">
        <v>1550</v>
      </c>
      <c r="D309" s="200">
        <v>15.548634</v>
      </c>
      <c r="E309" s="40">
        <v>22.55</v>
      </c>
      <c r="F309" s="40">
        <f t="shared" si="122"/>
        <v>10852.117300000002</v>
      </c>
      <c r="G309" s="40">
        <f t="shared" si="123"/>
        <v>24100.382699999998</v>
      </c>
      <c r="H309" s="232">
        <f t="shared" si="124"/>
        <v>0.4502881732247348</v>
      </c>
      <c r="I309" s="40"/>
      <c r="J309" s="40"/>
    </row>
    <row r="310" spans="2:10" x14ac:dyDescent="0.25">
      <c r="B310" s="193"/>
      <c r="C310" s="10"/>
      <c r="D310" s="200"/>
      <c r="E310" s="40"/>
      <c r="F310" s="40"/>
      <c r="G310" s="40"/>
      <c r="H310" s="232"/>
      <c r="I310" s="40"/>
      <c r="J310" s="40"/>
    </row>
    <row r="311" spans="2:10" x14ac:dyDescent="0.25">
      <c r="B311" s="193"/>
      <c r="C311" s="10"/>
      <c r="D311" s="200"/>
      <c r="E311" s="40"/>
      <c r="F311" s="40"/>
      <c r="G311" s="40"/>
      <c r="H311" s="232"/>
      <c r="I311" s="40"/>
      <c r="J311" s="40"/>
    </row>
    <row r="312" spans="2:10" x14ac:dyDescent="0.25">
      <c r="B312" s="193"/>
      <c r="C312" s="10"/>
      <c r="D312" s="200"/>
      <c r="E312" s="40"/>
      <c r="F312" s="40"/>
      <c r="G312" s="40"/>
      <c r="H312" s="232"/>
      <c r="I312" s="40"/>
      <c r="J312" s="40"/>
    </row>
    <row r="313" spans="2:10" x14ac:dyDescent="0.25">
      <c r="B313" s="193"/>
      <c r="C313" s="10"/>
      <c r="D313" s="200"/>
      <c r="E313" s="40"/>
      <c r="F313" s="40"/>
      <c r="G313" s="40"/>
      <c r="H313" s="232"/>
      <c r="I313" s="40"/>
      <c r="J313" s="40"/>
    </row>
    <row r="314" spans="2:10" x14ac:dyDescent="0.25">
      <c r="B314" s="193"/>
      <c r="C314" s="10"/>
      <c r="D314" s="200"/>
      <c r="E314" s="40"/>
      <c r="F314" s="40"/>
      <c r="G314" s="40"/>
      <c r="H314" s="232"/>
      <c r="I314" s="40"/>
      <c r="J314" s="40"/>
    </row>
    <row r="315" spans="2:10" x14ac:dyDescent="0.25">
      <c r="B315" s="193"/>
      <c r="C315" s="10"/>
      <c r="D315" s="200"/>
      <c r="E315" s="40"/>
      <c r="F315" s="40"/>
      <c r="G315" s="40"/>
      <c r="H315" s="232"/>
      <c r="I315" s="40"/>
      <c r="J315" s="40"/>
    </row>
    <row r="316" spans="2:10" x14ac:dyDescent="0.25">
      <c r="B316" s="193"/>
      <c r="C316" s="10"/>
      <c r="D316" s="200"/>
      <c r="E316" s="40"/>
      <c r="F316" s="40"/>
      <c r="G316" s="40"/>
      <c r="H316" s="232"/>
      <c r="I316" s="40"/>
      <c r="J316" s="40"/>
    </row>
    <row r="317" spans="2:10" x14ac:dyDescent="0.25">
      <c r="B317" s="193"/>
      <c r="C317" s="10"/>
      <c r="D317" s="200"/>
      <c r="E317" s="40"/>
      <c r="F317" s="40"/>
      <c r="G317" s="40"/>
      <c r="H317" s="232"/>
      <c r="I317" s="40"/>
      <c r="J317" s="40"/>
    </row>
    <row r="322" spans="1:13" x14ac:dyDescent="0.25">
      <c r="L322" t="s">
        <v>65</v>
      </c>
      <c r="M322" s="2">
        <f>M488+K488-F488</f>
        <v>12175.49700000009</v>
      </c>
    </row>
    <row r="323" spans="1:13" x14ac:dyDescent="0.25">
      <c r="A323" s="32" t="s">
        <v>1</v>
      </c>
      <c r="B323" s="32" t="s">
        <v>2</v>
      </c>
      <c r="C323" s="32" t="s">
        <v>4</v>
      </c>
      <c r="D323" s="32" t="s">
        <v>5</v>
      </c>
      <c r="E323" s="32" t="s">
        <v>94</v>
      </c>
      <c r="F323" s="32" t="s">
        <v>60</v>
      </c>
      <c r="G323" s="32" t="s">
        <v>3</v>
      </c>
      <c r="H323" s="32" t="s">
        <v>6</v>
      </c>
      <c r="I323" s="498" t="s">
        <v>7</v>
      </c>
      <c r="J323" s="498" t="s">
        <v>95</v>
      </c>
      <c r="K323" s="498" t="s">
        <v>61</v>
      </c>
      <c r="L323" s="32" t="s">
        <v>37</v>
      </c>
      <c r="M323" s="32" t="s">
        <v>38</v>
      </c>
    </row>
    <row r="324" spans="1:13" x14ac:dyDescent="0.25">
      <c r="A324" s="265" t="s">
        <v>34</v>
      </c>
      <c r="B324" s="592">
        <v>42166</v>
      </c>
      <c r="C324" s="261">
        <v>5</v>
      </c>
      <c r="D324" s="262">
        <v>26.04</v>
      </c>
      <c r="E324" s="262">
        <v>0</v>
      </c>
      <c r="F324" s="262">
        <f>C324*D324+E324</f>
        <v>130.19999999999999</v>
      </c>
      <c r="G324" s="266">
        <v>42186</v>
      </c>
      <c r="H324" s="261">
        <v>185</v>
      </c>
      <c r="I324" s="262">
        <v>19.75</v>
      </c>
      <c r="J324" s="262">
        <v>7.0000000000000007E-2</v>
      </c>
      <c r="K324" s="262">
        <f t="shared" ref="K324:K382" si="125">H324*I324-J324</f>
        <v>3653.68</v>
      </c>
      <c r="L324" s="261" t="s">
        <v>79</v>
      </c>
      <c r="M324" s="261"/>
    </row>
    <row r="325" spans="1:13" x14ac:dyDescent="0.25">
      <c r="A325" s="268" t="s">
        <v>71</v>
      </c>
      <c r="B325" s="592">
        <v>42167</v>
      </c>
      <c r="C325" s="261">
        <v>10</v>
      </c>
      <c r="D325" s="262">
        <v>25.1</v>
      </c>
      <c r="E325" s="262">
        <v>0</v>
      </c>
      <c r="F325" s="262">
        <f t="shared" ref="F325:F375" si="126">C325*D325+E325</f>
        <v>251</v>
      </c>
      <c r="G325" s="266">
        <v>42207</v>
      </c>
      <c r="H325" s="261">
        <v>20</v>
      </c>
      <c r="I325" s="262">
        <v>19.899999999999999</v>
      </c>
      <c r="J325" s="262">
        <v>0.01</v>
      </c>
      <c r="K325" s="262">
        <f t="shared" si="125"/>
        <v>397.99</v>
      </c>
      <c r="L325" s="261"/>
      <c r="M325" s="261"/>
    </row>
    <row r="326" spans="1:13" x14ac:dyDescent="0.25">
      <c r="A326" s="261"/>
      <c r="B326" s="592">
        <v>42179</v>
      </c>
      <c r="C326" s="261">
        <v>15</v>
      </c>
      <c r="D326" s="262">
        <v>24.51</v>
      </c>
      <c r="E326" s="262">
        <v>0</v>
      </c>
      <c r="F326" s="262">
        <f t="shared" si="126"/>
        <v>367.65000000000003</v>
      </c>
      <c r="G326" s="266">
        <v>42207</v>
      </c>
      <c r="H326" s="261">
        <v>95</v>
      </c>
      <c r="I326" s="262">
        <v>20.02</v>
      </c>
      <c r="J326" s="262">
        <v>0.5</v>
      </c>
      <c r="K326" s="262">
        <f t="shared" si="125"/>
        <v>1901.3999999999999</v>
      </c>
      <c r="L326" s="261"/>
      <c r="M326" s="261"/>
    </row>
    <row r="327" spans="1:13" x14ac:dyDescent="0.25">
      <c r="A327" s="261"/>
      <c r="B327" s="592">
        <v>42180</v>
      </c>
      <c r="C327" s="261">
        <v>100</v>
      </c>
      <c r="D327" s="262">
        <v>23.92</v>
      </c>
      <c r="E327" s="262">
        <v>0</v>
      </c>
      <c r="F327" s="262">
        <f t="shared" si="126"/>
        <v>2392</v>
      </c>
      <c r="G327" s="266">
        <v>42216</v>
      </c>
      <c r="H327" s="261">
        <v>165</v>
      </c>
      <c r="I327" s="262">
        <v>19.899999999999999</v>
      </c>
      <c r="J327" s="262">
        <v>0.06</v>
      </c>
      <c r="K327" s="262">
        <f t="shared" si="125"/>
        <v>3283.4399999999996</v>
      </c>
      <c r="L327" s="261"/>
      <c r="M327" s="261"/>
    </row>
    <row r="328" spans="1:13" x14ac:dyDescent="0.25">
      <c r="A328" s="261"/>
      <c r="B328" s="592">
        <v>42185</v>
      </c>
      <c r="C328" s="261">
        <v>50</v>
      </c>
      <c r="D328" s="262">
        <v>21.21</v>
      </c>
      <c r="E328" s="262">
        <v>0</v>
      </c>
      <c r="F328" s="262">
        <f t="shared" si="126"/>
        <v>1060.5</v>
      </c>
      <c r="G328" s="266">
        <v>42236</v>
      </c>
      <c r="H328" s="261">
        <v>630</v>
      </c>
      <c r="I328" s="262">
        <v>17.199682539682538</v>
      </c>
      <c r="J328" s="262">
        <v>0</v>
      </c>
      <c r="K328" s="262">
        <f t="shared" si="125"/>
        <v>10835.8</v>
      </c>
      <c r="L328" s="261"/>
      <c r="M328" s="261"/>
    </row>
    <row r="329" spans="1:13" x14ac:dyDescent="0.25">
      <c r="A329" s="261"/>
      <c r="B329" s="592">
        <v>42186</v>
      </c>
      <c r="C329" s="261">
        <v>50</v>
      </c>
      <c r="D329" s="262">
        <v>20.5</v>
      </c>
      <c r="E329" s="262">
        <v>0</v>
      </c>
      <c r="F329" s="262">
        <f t="shared" si="126"/>
        <v>1025</v>
      </c>
      <c r="G329" s="266">
        <v>42257</v>
      </c>
      <c r="H329" s="261">
        <v>850</v>
      </c>
      <c r="I329" s="262">
        <v>17.18</v>
      </c>
      <c r="J329" s="262">
        <v>0.27</v>
      </c>
      <c r="K329" s="262">
        <f t="shared" si="125"/>
        <v>14602.73</v>
      </c>
      <c r="L329" s="261"/>
      <c r="M329" s="261"/>
    </row>
    <row r="330" spans="1:13" x14ac:dyDescent="0.25">
      <c r="A330" s="261"/>
      <c r="B330" s="592">
        <v>42186</v>
      </c>
      <c r="C330" s="261">
        <v>170</v>
      </c>
      <c r="D330" s="262">
        <v>19.600000000000001</v>
      </c>
      <c r="E330" s="262">
        <v>0</v>
      </c>
      <c r="F330" s="262">
        <f t="shared" si="126"/>
        <v>3332.0000000000005</v>
      </c>
      <c r="G330" s="266">
        <v>42283</v>
      </c>
      <c r="H330" s="261">
        <v>1580</v>
      </c>
      <c r="I330" s="262">
        <v>15.83</v>
      </c>
      <c r="J330" s="262">
        <v>0.46</v>
      </c>
      <c r="K330" s="262">
        <f t="shared" si="125"/>
        <v>25010.940000000002</v>
      </c>
      <c r="L330" s="261"/>
      <c r="M330" s="261"/>
    </row>
    <row r="331" spans="1:13" x14ac:dyDescent="0.25">
      <c r="A331" s="261"/>
      <c r="B331" s="592">
        <v>42187</v>
      </c>
      <c r="C331" s="261">
        <v>1000</v>
      </c>
      <c r="D331" s="262">
        <v>19.2</v>
      </c>
      <c r="E331" s="262">
        <v>0</v>
      </c>
      <c r="F331" s="262">
        <f t="shared" si="126"/>
        <v>19200</v>
      </c>
      <c r="G331" s="466">
        <v>42285</v>
      </c>
      <c r="H331" s="261">
        <v>1440</v>
      </c>
      <c r="I331" s="262">
        <v>16.75</v>
      </c>
      <c r="J331" s="262">
        <v>0.44</v>
      </c>
      <c r="K331" s="262">
        <f t="shared" si="125"/>
        <v>24119.56</v>
      </c>
      <c r="L331" s="261"/>
      <c r="M331" s="261"/>
    </row>
    <row r="332" spans="1:13" x14ac:dyDescent="0.25">
      <c r="A332" s="261"/>
      <c r="B332" s="592">
        <v>42199</v>
      </c>
      <c r="C332" s="261">
        <v>100</v>
      </c>
      <c r="D332" s="262">
        <v>17.25</v>
      </c>
      <c r="E332" s="262">
        <v>0</v>
      </c>
      <c r="F332" s="262">
        <f t="shared" si="126"/>
        <v>1725</v>
      </c>
      <c r="G332" s="466">
        <v>42291</v>
      </c>
      <c r="H332" s="261">
        <v>410</v>
      </c>
      <c r="I332" s="262">
        <v>18.989999999999998</v>
      </c>
      <c r="J332" s="262">
        <v>0.14000000000000001</v>
      </c>
      <c r="K332" s="262">
        <f t="shared" si="125"/>
        <v>7785.7599999999993</v>
      </c>
      <c r="L332" s="262"/>
      <c r="M332" s="261"/>
    </row>
    <row r="333" spans="1:13" x14ac:dyDescent="0.25">
      <c r="A333" s="261"/>
      <c r="B333" s="592">
        <v>42205</v>
      </c>
      <c r="C333" s="261">
        <v>20</v>
      </c>
      <c r="D333" s="262">
        <v>18.850000000000001</v>
      </c>
      <c r="E333" s="262">
        <v>0</v>
      </c>
      <c r="F333" s="262">
        <f t="shared" si="126"/>
        <v>377</v>
      </c>
      <c r="G333" s="266">
        <v>42296</v>
      </c>
      <c r="H333" s="261">
        <v>2470</v>
      </c>
      <c r="I333" s="262">
        <v>19.100000000000001</v>
      </c>
      <c r="J333" s="262">
        <v>0.87</v>
      </c>
      <c r="K333" s="262">
        <f t="shared" si="125"/>
        <v>47176.13</v>
      </c>
      <c r="L333" s="261"/>
      <c r="M333" s="261"/>
    </row>
    <row r="334" spans="1:13" x14ac:dyDescent="0.25">
      <c r="A334" s="262"/>
      <c r="B334" s="592">
        <v>42208</v>
      </c>
      <c r="C334" s="261">
        <v>80</v>
      </c>
      <c r="D334" s="262">
        <v>18.95</v>
      </c>
      <c r="E334" s="262">
        <v>0</v>
      </c>
      <c r="F334" s="262">
        <f t="shared" si="126"/>
        <v>1516</v>
      </c>
      <c r="G334" s="266">
        <v>42310</v>
      </c>
      <c r="H334" s="261">
        <v>1100</v>
      </c>
      <c r="I334" s="262">
        <v>16.989999999999998</v>
      </c>
      <c r="J334" s="262">
        <v>7.29</v>
      </c>
      <c r="K334" s="262">
        <f t="shared" si="125"/>
        <v>18681.71</v>
      </c>
      <c r="L334" s="261"/>
      <c r="M334" s="261"/>
    </row>
    <row r="335" spans="1:13" x14ac:dyDescent="0.25">
      <c r="A335" s="261"/>
      <c r="B335" s="592">
        <v>42212</v>
      </c>
      <c r="C335" s="261">
        <v>100</v>
      </c>
      <c r="D335" s="262">
        <v>17.95</v>
      </c>
      <c r="E335" s="262">
        <v>0</v>
      </c>
      <c r="F335" s="262">
        <f t="shared" si="126"/>
        <v>1795</v>
      </c>
      <c r="G335" s="658">
        <v>42314</v>
      </c>
      <c r="H335" s="261">
        <v>2200</v>
      </c>
      <c r="I335" s="262">
        <v>17.55</v>
      </c>
      <c r="J335" s="262">
        <v>0.77</v>
      </c>
      <c r="K335" s="262">
        <f t="shared" si="125"/>
        <v>38609.230000000003</v>
      </c>
      <c r="L335" s="261"/>
      <c r="M335" s="261"/>
    </row>
    <row r="336" spans="1:13" x14ac:dyDescent="0.25">
      <c r="A336" s="261"/>
      <c r="B336" s="592">
        <v>42221</v>
      </c>
      <c r="C336" s="261">
        <v>65</v>
      </c>
      <c r="D336" s="262">
        <v>19.100000000000001</v>
      </c>
      <c r="E336" s="262">
        <v>0</v>
      </c>
      <c r="F336" s="262">
        <f t="shared" si="126"/>
        <v>1241.5</v>
      </c>
      <c r="G336" s="658"/>
      <c r="H336" s="261">
        <v>190</v>
      </c>
      <c r="I336" s="262">
        <v>17.55</v>
      </c>
      <c r="J336" s="262">
        <v>0</v>
      </c>
      <c r="K336" s="262">
        <f t="shared" si="125"/>
        <v>3334.5</v>
      </c>
      <c r="L336" s="261"/>
      <c r="M336" s="261"/>
    </row>
    <row r="337" spans="1:13" x14ac:dyDescent="0.25">
      <c r="A337" s="261"/>
      <c r="B337" s="592">
        <v>42221</v>
      </c>
      <c r="C337" s="261">
        <v>300</v>
      </c>
      <c r="D337" s="262">
        <v>18.600000000000001</v>
      </c>
      <c r="E337" s="262">
        <v>0</v>
      </c>
      <c r="F337" s="262">
        <f t="shared" si="126"/>
        <v>5580</v>
      </c>
      <c r="G337" s="266">
        <v>42320</v>
      </c>
      <c r="H337" s="261">
        <v>1000</v>
      </c>
      <c r="I337" s="262">
        <v>16.734999999999999</v>
      </c>
      <c r="J337" s="262">
        <v>0.31</v>
      </c>
      <c r="K337" s="262">
        <f t="shared" si="125"/>
        <v>16734.689999999999</v>
      </c>
      <c r="L337" s="261"/>
      <c r="M337" s="261"/>
    </row>
    <row r="338" spans="1:13" x14ac:dyDescent="0.25">
      <c r="A338" s="261"/>
      <c r="B338" s="592">
        <v>42221</v>
      </c>
      <c r="C338" s="261">
        <v>200</v>
      </c>
      <c r="D338" s="262">
        <v>18.5</v>
      </c>
      <c r="E338" s="262">
        <v>0</v>
      </c>
      <c r="F338" s="262">
        <f t="shared" si="126"/>
        <v>3700</v>
      </c>
      <c r="G338" s="266">
        <v>42328</v>
      </c>
      <c r="H338" s="261">
        <v>940</v>
      </c>
      <c r="I338" s="262">
        <v>15.51</v>
      </c>
      <c r="J338" s="262">
        <v>0.27</v>
      </c>
      <c r="K338" s="262">
        <f t="shared" si="125"/>
        <v>14579.13</v>
      </c>
      <c r="L338" s="261"/>
      <c r="M338" s="261"/>
    </row>
    <row r="339" spans="1:13" x14ac:dyDescent="0.25">
      <c r="A339" s="261"/>
      <c r="B339" s="592">
        <v>42223</v>
      </c>
      <c r="C339" s="261">
        <v>50</v>
      </c>
      <c r="D339" s="262">
        <v>18.75</v>
      </c>
      <c r="E339" s="262">
        <v>0</v>
      </c>
      <c r="F339" s="262">
        <f t="shared" si="126"/>
        <v>937.5</v>
      </c>
      <c r="G339" s="266">
        <v>42335</v>
      </c>
      <c r="H339" s="261">
        <v>940</v>
      </c>
      <c r="I339" s="262">
        <v>15.62</v>
      </c>
      <c r="J339" s="262">
        <v>0.27</v>
      </c>
      <c r="K339" s="262">
        <f t="shared" si="125"/>
        <v>14682.529999999999</v>
      </c>
      <c r="L339" s="261"/>
      <c r="M339" s="261"/>
    </row>
    <row r="340" spans="1:13" x14ac:dyDescent="0.25">
      <c r="A340" s="261"/>
      <c r="B340" s="592">
        <v>42227</v>
      </c>
      <c r="C340" s="261">
        <v>50</v>
      </c>
      <c r="D340" s="262">
        <v>18.45</v>
      </c>
      <c r="E340" s="262">
        <v>0</v>
      </c>
      <c r="F340" s="262">
        <f t="shared" si="126"/>
        <v>922.5</v>
      </c>
      <c r="G340" s="266">
        <v>42341</v>
      </c>
      <c r="H340" s="261">
        <v>350</v>
      </c>
      <c r="I340" s="262">
        <v>16.03</v>
      </c>
      <c r="J340" s="262">
        <v>0.1</v>
      </c>
      <c r="K340" s="262">
        <f t="shared" si="125"/>
        <v>5610.4</v>
      </c>
      <c r="L340" s="261"/>
      <c r="M340" s="261"/>
    </row>
    <row r="341" spans="1:13" x14ac:dyDescent="0.25">
      <c r="A341" s="261"/>
      <c r="B341" s="592">
        <v>42228</v>
      </c>
      <c r="C341" s="261">
        <v>100</v>
      </c>
      <c r="D341" s="262">
        <v>18.45</v>
      </c>
      <c r="E341" s="262">
        <v>0</v>
      </c>
      <c r="F341" s="262">
        <f t="shared" si="126"/>
        <v>1845</v>
      </c>
      <c r="G341" s="266">
        <v>42346</v>
      </c>
      <c r="H341" s="261">
        <v>200</v>
      </c>
      <c r="I341" s="262">
        <v>16.2</v>
      </c>
      <c r="J341" s="262">
        <v>0.06</v>
      </c>
      <c r="K341" s="262">
        <f t="shared" si="125"/>
        <v>3239.94</v>
      </c>
      <c r="L341" s="261"/>
      <c r="M341" s="261"/>
    </row>
    <row r="342" spans="1:13" x14ac:dyDescent="0.25">
      <c r="A342" s="261"/>
      <c r="B342" s="592">
        <v>42228</v>
      </c>
      <c r="C342" s="261">
        <v>200</v>
      </c>
      <c r="D342" s="262">
        <v>18.190000000000001</v>
      </c>
      <c r="E342" s="262">
        <v>0</v>
      </c>
      <c r="F342" s="262">
        <f t="shared" si="126"/>
        <v>3638.0000000000005</v>
      </c>
      <c r="G342" s="266">
        <v>42353</v>
      </c>
      <c r="H342" s="261">
        <v>200</v>
      </c>
      <c r="I342" s="262">
        <v>14.74</v>
      </c>
      <c r="J342" s="262">
        <v>0.05</v>
      </c>
      <c r="K342" s="262">
        <f t="shared" si="125"/>
        <v>2947.95</v>
      </c>
      <c r="L342" s="261"/>
      <c r="M342" s="261"/>
    </row>
    <row r="343" spans="1:13" x14ac:dyDescent="0.25">
      <c r="A343" s="261"/>
      <c r="B343" s="592">
        <v>42228</v>
      </c>
      <c r="C343" s="261">
        <v>200</v>
      </c>
      <c r="D343" s="262">
        <v>18.100000000000001</v>
      </c>
      <c r="E343" s="262">
        <v>0</v>
      </c>
      <c r="F343" s="262">
        <f t="shared" si="126"/>
        <v>3620.0000000000005</v>
      </c>
      <c r="G343" s="266">
        <v>42354</v>
      </c>
      <c r="H343" s="261">
        <v>940</v>
      </c>
      <c r="I343" s="262">
        <v>14.15</v>
      </c>
      <c r="J343" s="262">
        <v>0.24</v>
      </c>
      <c r="K343" s="262">
        <f t="shared" si="125"/>
        <v>13300.76</v>
      </c>
      <c r="L343" s="261"/>
      <c r="M343" s="261"/>
    </row>
    <row r="344" spans="1:13" x14ac:dyDescent="0.25">
      <c r="A344" s="261"/>
      <c r="B344" s="592">
        <v>42229</v>
      </c>
      <c r="C344" s="261">
        <v>100</v>
      </c>
      <c r="D344" s="262">
        <v>18.329999999999998</v>
      </c>
      <c r="E344" s="262">
        <v>0</v>
      </c>
      <c r="F344" s="262">
        <f t="shared" si="126"/>
        <v>1832.9999999999998</v>
      </c>
      <c r="G344" s="266">
        <v>42354</v>
      </c>
      <c r="H344" s="261">
        <v>1140</v>
      </c>
      <c r="I344" s="262">
        <v>14.06</v>
      </c>
      <c r="J344" s="262">
        <v>1.86</v>
      </c>
      <c r="K344" s="262">
        <f t="shared" si="125"/>
        <v>16026.54</v>
      </c>
      <c r="L344" s="261"/>
      <c r="M344" s="261"/>
    </row>
    <row r="345" spans="1:13" x14ac:dyDescent="0.25">
      <c r="A345" s="261"/>
      <c r="B345" s="592">
        <v>42230</v>
      </c>
      <c r="C345" s="261">
        <v>100</v>
      </c>
      <c r="D345" s="262">
        <v>18</v>
      </c>
      <c r="E345" s="262">
        <v>0</v>
      </c>
      <c r="F345" s="262">
        <f t="shared" si="126"/>
        <v>1800</v>
      </c>
      <c r="G345" s="266">
        <v>42355</v>
      </c>
      <c r="H345" s="261">
        <v>1840</v>
      </c>
      <c r="I345" s="262">
        <v>14.55</v>
      </c>
      <c r="J345" s="262">
        <v>0.49</v>
      </c>
      <c r="K345" s="262">
        <f t="shared" si="125"/>
        <v>26771.51</v>
      </c>
      <c r="L345" s="261"/>
      <c r="M345" s="261"/>
    </row>
    <row r="346" spans="1:13" x14ac:dyDescent="0.25">
      <c r="A346" s="261"/>
      <c r="B346" s="592">
        <v>42230</v>
      </c>
      <c r="C346" s="261">
        <v>200</v>
      </c>
      <c r="D346" s="262">
        <v>17.78</v>
      </c>
      <c r="E346" s="262">
        <v>0</v>
      </c>
      <c r="F346" s="262">
        <f t="shared" si="126"/>
        <v>3556</v>
      </c>
      <c r="G346" s="266">
        <v>42361</v>
      </c>
      <c r="H346" s="261">
        <v>1000</v>
      </c>
      <c r="I346" s="262">
        <v>14.39</v>
      </c>
      <c r="J346" s="262">
        <v>0.27</v>
      </c>
      <c r="K346" s="262">
        <f t="shared" si="125"/>
        <v>14389.73</v>
      </c>
      <c r="L346" s="261"/>
      <c r="M346" s="261"/>
    </row>
    <row r="347" spans="1:13" x14ac:dyDescent="0.25">
      <c r="A347" s="261"/>
      <c r="B347" s="592">
        <v>42234</v>
      </c>
      <c r="C347" s="261">
        <v>100</v>
      </c>
      <c r="D347" s="262">
        <v>17.75</v>
      </c>
      <c r="E347" s="262">
        <v>0</v>
      </c>
      <c r="F347" s="262">
        <f t="shared" si="126"/>
        <v>1775</v>
      </c>
      <c r="G347" s="266">
        <v>42361</v>
      </c>
      <c r="H347" s="261">
        <v>500</v>
      </c>
      <c r="I347" s="262">
        <v>14.4</v>
      </c>
      <c r="J347" s="262">
        <v>0.14000000000000001</v>
      </c>
      <c r="K347" s="262">
        <f t="shared" si="125"/>
        <v>7199.86</v>
      </c>
      <c r="L347" s="261"/>
      <c r="M347" s="261"/>
    </row>
    <row r="348" spans="1:13" x14ac:dyDescent="0.25">
      <c r="A348" s="261"/>
      <c r="B348" s="592">
        <v>42235</v>
      </c>
      <c r="C348" s="261">
        <v>100</v>
      </c>
      <c r="D348" s="262">
        <v>17.350000000000001</v>
      </c>
      <c r="E348" s="262">
        <v>0</v>
      </c>
      <c r="F348" s="262">
        <f t="shared" si="126"/>
        <v>1735.0000000000002</v>
      </c>
      <c r="G348" s="266">
        <v>42362</v>
      </c>
      <c r="H348" s="261">
        <v>440</v>
      </c>
      <c r="I348" s="262">
        <v>14.66</v>
      </c>
      <c r="J348" s="262">
        <v>0.12</v>
      </c>
      <c r="K348" s="262">
        <f t="shared" si="125"/>
        <v>6450.28</v>
      </c>
      <c r="L348" s="261"/>
      <c r="M348" s="261"/>
    </row>
    <row r="349" spans="1:13" x14ac:dyDescent="0.25">
      <c r="A349" s="261"/>
      <c r="B349" s="592">
        <v>42235</v>
      </c>
      <c r="C349" s="261">
        <v>100</v>
      </c>
      <c r="D349" s="262">
        <v>17.55</v>
      </c>
      <c r="E349" s="262">
        <v>0</v>
      </c>
      <c r="F349" s="262">
        <f t="shared" si="126"/>
        <v>1755</v>
      </c>
      <c r="G349" s="266">
        <v>42362</v>
      </c>
      <c r="H349" s="261">
        <v>1000</v>
      </c>
      <c r="I349" s="262">
        <v>14.76</v>
      </c>
      <c r="J349" s="262">
        <v>0.27</v>
      </c>
      <c r="K349" s="262">
        <f t="shared" si="125"/>
        <v>14759.73</v>
      </c>
      <c r="L349" s="261"/>
      <c r="M349" s="261"/>
    </row>
    <row r="350" spans="1:13" x14ac:dyDescent="0.25">
      <c r="A350" s="261"/>
      <c r="B350" s="592">
        <v>42235</v>
      </c>
      <c r="C350" s="261">
        <v>100</v>
      </c>
      <c r="D350" s="262">
        <v>17.170000000000002</v>
      </c>
      <c r="E350" s="262">
        <v>0</v>
      </c>
      <c r="F350" s="262">
        <f t="shared" si="126"/>
        <v>1717.0000000000002</v>
      </c>
      <c r="G350" s="266">
        <v>42398</v>
      </c>
      <c r="H350" s="261">
        <v>260</v>
      </c>
      <c r="I350" s="262">
        <v>10.78</v>
      </c>
      <c r="J350" s="262">
        <v>0.05</v>
      </c>
      <c r="K350" s="262">
        <f t="shared" si="125"/>
        <v>2802.7499999999995</v>
      </c>
      <c r="L350" s="261"/>
      <c r="M350" s="261"/>
    </row>
    <row r="351" spans="1:13" x14ac:dyDescent="0.25">
      <c r="A351" s="261"/>
      <c r="B351" s="592">
        <v>42235</v>
      </c>
      <c r="C351" s="261">
        <v>100</v>
      </c>
      <c r="D351" s="262">
        <v>17</v>
      </c>
      <c r="E351" s="262">
        <v>0</v>
      </c>
      <c r="F351" s="262">
        <f t="shared" si="126"/>
        <v>1700</v>
      </c>
      <c r="G351" s="266">
        <v>42418</v>
      </c>
      <c r="H351" s="261">
        <v>500</v>
      </c>
      <c r="I351" s="262">
        <v>10.67</v>
      </c>
      <c r="J351" s="262">
        <v>0.12</v>
      </c>
      <c r="K351" s="262">
        <f t="shared" si="125"/>
        <v>5334.88</v>
      </c>
      <c r="L351" s="261"/>
      <c r="M351" s="261"/>
    </row>
    <row r="352" spans="1:13" x14ac:dyDescent="0.25">
      <c r="A352" s="261"/>
      <c r="B352" s="592">
        <v>42236</v>
      </c>
      <c r="C352" s="261">
        <v>100</v>
      </c>
      <c r="D352" s="262">
        <v>16.559999999999999</v>
      </c>
      <c r="E352" s="262">
        <v>0</v>
      </c>
      <c r="F352" s="262">
        <f t="shared" si="126"/>
        <v>1655.9999999999998</v>
      </c>
      <c r="G352" s="266">
        <v>42418</v>
      </c>
      <c r="H352" s="261">
        <v>760</v>
      </c>
      <c r="I352" s="262">
        <v>10.85</v>
      </c>
      <c r="J352" s="262">
        <v>0.18</v>
      </c>
      <c r="K352" s="262">
        <f t="shared" si="125"/>
        <v>8245.82</v>
      </c>
      <c r="L352" s="261"/>
      <c r="M352" s="261"/>
    </row>
    <row r="353" spans="1:13" x14ac:dyDescent="0.25">
      <c r="A353" s="261"/>
      <c r="B353" s="592">
        <v>42236</v>
      </c>
      <c r="C353" s="261">
        <v>200</v>
      </c>
      <c r="D353" s="262">
        <v>16.21</v>
      </c>
      <c r="E353" s="262">
        <v>0</v>
      </c>
      <c r="F353" s="262">
        <f t="shared" si="126"/>
        <v>3242</v>
      </c>
      <c r="G353" s="266">
        <v>42418</v>
      </c>
      <c r="H353" s="261">
        <v>200</v>
      </c>
      <c r="I353" s="262">
        <v>11.46</v>
      </c>
      <c r="J353" s="262">
        <v>0.21</v>
      </c>
      <c r="K353" s="262">
        <f t="shared" si="125"/>
        <v>2291.79</v>
      </c>
      <c r="L353" s="261"/>
      <c r="M353" s="261"/>
    </row>
    <row r="354" spans="1:13" x14ac:dyDescent="0.25">
      <c r="A354" s="261"/>
      <c r="B354" s="592">
        <v>42236</v>
      </c>
      <c r="C354" s="261">
        <v>100</v>
      </c>
      <c r="D354" s="262">
        <v>16.399999999999999</v>
      </c>
      <c r="E354" s="262">
        <v>0</v>
      </c>
      <c r="F354" s="262">
        <f t="shared" si="126"/>
        <v>1639.9999999999998</v>
      </c>
      <c r="G354" s="266">
        <v>42418</v>
      </c>
      <c r="H354" s="267">
        <v>200</v>
      </c>
      <c r="I354" s="262">
        <v>11.7</v>
      </c>
      <c r="J354" s="262">
        <v>0.05</v>
      </c>
      <c r="K354" s="262">
        <f t="shared" si="125"/>
        <v>2339.9499999999998</v>
      </c>
      <c r="L354" s="261"/>
      <c r="M354" s="261"/>
    </row>
    <row r="355" spans="1:13" x14ac:dyDescent="0.25">
      <c r="A355" s="261"/>
      <c r="B355" s="592">
        <v>42237</v>
      </c>
      <c r="C355" s="261">
        <v>200</v>
      </c>
      <c r="D355" s="262">
        <v>16.32</v>
      </c>
      <c r="E355" s="262">
        <v>0</v>
      </c>
      <c r="F355" s="262">
        <f t="shared" si="126"/>
        <v>3264</v>
      </c>
      <c r="G355" s="266">
        <v>42431</v>
      </c>
      <c r="H355" s="267">
        <v>500</v>
      </c>
      <c r="I355" s="262">
        <v>11.57</v>
      </c>
      <c r="J355" s="262">
        <v>0.13</v>
      </c>
      <c r="K355" s="262">
        <f t="shared" si="125"/>
        <v>5784.87</v>
      </c>
      <c r="L355" s="261"/>
      <c r="M355" s="261"/>
    </row>
    <row r="356" spans="1:13" x14ac:dyDescent="0.25">
      <c r="A356" s="261"/>
      <c r="B356" s="592">
        <v>42237</v>
      </c>
      <c r="C356" s="261">
        <v>100</v>
      </c>
      <c r="D356" s="262">
        <v>16.420000000000002</v>
      </c>
      <c r="E356" s="262">
        <v>0</v>
      </c>
      <c r="F356" s="262">
        <f t="shared" si="126"/>
        <v>1642.0000000000002</v>
      </c>
      <c r="G356" s="266">
        <v>42436</v>
      </c>
      <c r="H356" s="267">
        <v>520</v>
      </c>
      <c r="I356" s="262">
        <v>11.59</v>
      </c>
      <c r="J356" s="262">
        <v>0.13</v>
      </c>
      <c r="K356" s="262">
        <f t="shared" si="125"/>
        <v>6026.67</v>
      </c>
      <c r="L356" s="261"/>
      <c r="M356" s="261"/>
    </row>
    <row r="357" spans="1:13" x14ac:dyDescent="0.25">
      <c r="A357" s="261"/>
      <c r="B357" s="592">
        <v>42240</v>
      </c>
      <c r="C357" s="261">
        <v>200</v>
      </c>
      <c r="D357" s="262">
        <v>16.27</v>
      </c>
      <c r="E357" s="262">
        <v>0</v>
      </c>
      <c r="F357" s="262">
        <f t="shared" si="126"/>
        <v>3254</v>
      </c>
      <c r="G357" s="266">
        <v>42446</v>
      </c>
      <c r="H357" s="267">
        <v>500</v>
      </c>
      <c r="I357" s="262">
        <v>10.95</v>
      </c>
      <c r="J357" s="262">
        <v>0.12</v>
      </c>
      <c r="K357" s="262">
        <f t="shared" si="125"/>
        <v>5474.88</v>
      </c>
      <c r="L357" s="261"/>
      <c r="M357" s="261"/>
    </row>
    <row r="358" spans="1:13" x14ac:dyDescent="0.25">
      <c r="A358" s="261"/>
      <c r="B358" s="592">
        <v>42240</v>
      </c>
      <c r="C358" s="261">
        <v>200</v>
      </c>
      <c r="D358" s="262">
        <v>16.2</v>
      </c>
      <c r="E358" s="262">
        <v>0</v>
      </c>
      <c r="F358" s="262">
        <f t="shared" si="126"/>
        <v>3240</v>
      </c>
      <c r="G358" s="266">
        <v>42447</v>
      </c>
      <c r="H358" s="267">
        <v>2000</v>
      </c>
      <c r="I358" s="262">
        <v>11.12</v>
      </c>
      <c r="J358" s="262">
        <v>0.48</v>
      </c>
      <c r="K358" s="262">
        <f t="shared" si="125"/>
        <v>22239.52</v>
      </c>
      <c r="L358" s="261"/>
      <c r="M358" s="261"/>
    </row>
    <row r="359" spans="1:13" x14ac:dyDescent="0.25">
      <c r="A359" s="261"/>
      <c r="B359" s="592">
        <v>42240</v>
      </c>
      <c r="C359" s="261">
        <v>100</v>
      </c>
      <c r="D359" s="262">
        <v>16.100000000000001</v>
      </c>
      <c r="E359" s="262">
        <v>0</v>
      </c>
      <c r="F359" s="262">
        <f t="shared" si="126"/>
        <v>1610.0000000000002</v>
      </c>
      <c r="G359" s="658">
        <v>42447</v>
      </c>
      <c r="H359" s="267">
        <v>355</v>
      </c>
      <c r="I359" s="262">
        <v>11.13</v>
      </c>
      <c r="J359" s="262">
        <v>0.12</v>
      </c>
      <c r="K359" s="262">
        <f t="shared" si="125"/>
        <v>3951.03</v>
      </c>
      <c r="L359" s="261"/>
      <c r="M359" s="261"/>
    </row>
    <row r="360" spans="1:13" x14ac:dyDescent="0.25">
      <c r="A360" s="261"/>
      <c r="B360" s="592">
        <v>42269</v>
      </c>
      <c r="C360" s="261">
        <v>800</v>
      </c>
      <c r="D360" s="262">
        <v>16.399999999999999</v>
      </c>
      <c r="E360" s="262">
        <v>0</v>
      </c>
      <c r="F360" s="262">
        <f t="shared" si="126"/>
        <v>13119.999999999998</v>
      </c>
      <c r="G360" s="658"/>
      <c r="H360" s="267">
        <v>40</v>
      </c>
      <c r="I360" s="262">
        <v>11.13</v>
      </c>
      <c r="J360" s="262">
        <v>0</v>
      </c>
      <c r="K360" s="262">
        <f t="shared" si="125"/>
        <v>445.20000000000005</v>
      </c>
      <c r="L360" s="261"/>
      <c r="M360" s="261"/>
    </row>
    <row r="361" spans="1:13" x14ac:dyDescent="0.25">
      <c r="A361" s="261"/>
      <c r="B361" s="592">
        <v>42270</v>
      </c>
      <c r="C361" s="261">
        <v>500</v>
      </c>
      <c r="D361" s="262">
        <v>15.8</v>
      </c>
      <c r="E361" s="262">
        <v>0</v>
      </c>
      <c r="F361" s="262">
        <f t="shared" si="126"/>
        <v>7900</v>
      </c>
      <c r="G361" s="658"/>
      <c r="H361" s="267">
        <v>105</v>
      </c>
      <c r="I361" s="262">
        <v>11.13</v>
      </c>
      <c r="J361" s="262">
        <v>0</v>
      </c>
      <c r="K361" s="262">
        <f t="shared" si="125"/>
        <v>1168.6500000000001</v>
      </c>
      <c r="L361" s="261"/>
      <c r="M361" s="261"/>
    </row>
    <row r="362" spans="1:13" x14ac:dyDescent="0.25">
      <c r="A362" s="261"/>
      <c r="B362" s="592">
        <v>42270</v>
      </c>
      <c r="C362" s="261">
        <v>1000</v>
      </c>
      <c r="D362" s="262">
        <v>15.6</v>
      </c>
      <c r="E362" s="262">
        <v>0</v>
      </c>
      <c r="F362" s="262">
        <f t="shared" si="126"/>
        <v>15600</v>
      </c>
      <c r="G362" s="266">
        <v>42450</v>
      </c>
      <c r="H362" s="267">
        <v>1300</v>
      </c>
      <c r="I362" s="262">
        <v>11.59</v>
      </c>
      <c r="J362" s="262">
        <v>0.33</v>
      </c>
      <c r="K362" s="262">
        <f t="shared" si="125"/>
        <v>15066.67</v>
      </c>
      <c r="L362" s="261"/>
      <c r="M362" s="261"/>
    </row>
    <row r="363" spans="1:13" x14ac:dyDescent="0.25">
      <c r="A363" s="261"/>
      <c r="B363" s="592">
        <v>42270</v>
      </c>
      <c r="C363" s="261">
        <v>180</v>
      </c>
      <c r="D363" s="262">
        <v>15.4</v>
      </c>
      <c r="E363" s="262">
        <v>0</v>
      </c>
      <c r="F363" s="262">
        <f t="shared" si="126"/>
        <v>2772</v>
      </c>
      <c r="G363" s="266">
        <v>42461</v>
      </c>
      <c r="H363" s="267">
        <v>100</v>
      </c>
      <c r="I363" s="262">
        <v>10.92</v>
      </c>
      <c r="J363" s="262">
        <v>0.02</v>
      </c>
      <c r="K363" s="262">
        <f t="shared" si="125"/>
        <v>1091.98</v>
      </c>
      <c r="L363" s="261"/>
      <c r="M363" s="261"/>
    </row>
    <row r="364" spans="1:13" x14ac:dyDescent="0.25">
      <c r="A364" s="261"/>
      <c r="B364" s="592">
        <v>42275</v>
      </c>
      <c r="C364" s="261">
        <v>200</v>
      </c>
      <c r="D364" s="262">
        <v>15</v>
      </c>
      <c r="E364" s="262">
        <v>0</v>
      </c>
      <c r="F364" s="262">
        <f t="shared" si="126"/>
        <v>3000</v>
      </c>
      <c r="G364" s="266">
        <v>42468</v>
      </c>
      <c r="H364" s="267">
        <v>500</v>
      </c>
      <c r="I364" s="262">
        <v>10.83</v>
      </c>
      <c r="J364" s="262">
        <v>0.12</v>
      </c>
      <c r="K364" s="262">
        <f t="shared" si="125"/>
        <v>5414.88</v>
      </c>
      <c r="L364" s="261"/>
      <c r="M364" s="261"/>
    </row>
    <row r="365" spans="1:13" x14ac:dyDescent="0.25">
      <c r="A365" s="261"/>
      <c r="B365" s="592">
        <v>42277</v>
      </c>
      <c r="C365" s="261">
        <v>200</v>
      </c>
      <c r="D365" s="262">
        <v>14.75</v>
      </c>
      <c r="E365" s="262">
        <v>0</v>
      </c>
      <c r="F365" s="262">
        <f t="shared" si="126"/>
        <v>2950</v>
      </c>
      <c r="G365" s="266">
        <v>42473</v>
      </c>
      <c r="H365" s="267">
        <v>600</v>
      </c>
      <c r="I365" s="262">
        <v>10.76</v>
      </c>
      <c r="J365" s="262">
        <v>0.14000000000000001</v>
      </c>
      <c r="K365" s="262">
        <f t="shared" si="125"/>
        <v>6455.86</v>
      </c>
      <c r="L365" s="261"/>
      <c r="M365" s="262"/>
    </row>
    <row r="366" spans="1:13" x14ac:dyDescent="0.25">
      <c r="A366" s="261"/>
      <c r="B366" s="592">
        <v>42291</v>
      </c>
      <c r="C366" s="261">
        <v>400</v>
      </c>
      <c r="D366" s="262">
        <v>18.7</v>
      </c>
      <c r="E366" s="262">
        <v>0</v>
      </c>
      <c r="F366" s="262">
        <f t="shared" si="126"/>
        <v>7480</v>
      </c>
      <c r="G366" s="266">
        <v>42486</v>
      </c>
      <c r="H366" s="267">
        <v>500</v>
      </c>
      <c r="I366" s="262">
        <v>11.19</v>
      </c>
      <c r="J366" s="262">
        <v>0.12</v>
      </c>
      <c r="K366" s="262">
        <f t="shared" si="125"/>
        <v>5594.88</v>
      </c>
      <c r="L366" s="261"/>
      <c r="M366" s="261"/>
    </row>
    <row r="367" spans="1:13" x14ac:dyDescent="0.25">
      <c r="A367" s="261"/>
      <c r="B367" s="592">
        <v>42297</v>
      </c>
      <c r="C367" s="261">
        <v>2000</v>
      </c>
      <c r="D367" s="262">
        <v>18.649999999999999</v>
      </c>
      <c r="E367" s="262">
        <v>0</v>
      </c>
      <c r="F367" s="262">
        <f t="shared" si="126"/>
        <v>37300</v>
      </c>
      <c r="G367" s="266">
        <v>42486</v>
      </c>
      <c r="H367" s="267">
        <v>500</v>
      </c>
      <c r="I367" s="262">
        <v>11.56</v>
      </c>
      <c r="J367" s="262">
        <v>0.13</v>
      </c>
      <c r="K367" s="262">
        <f t="shared" si="125"/>
        <v>5779.87</v>
      </c>
      <c r="L367" s="261"/>
      <c r="M367" s="261"/>
    </row>
    <row r="368" spans="1:13" x14ac:dyDescent="0.25">
      <c r="A368" s="261"/>
      <c r="B368" s="592">
        <v>42300</v>
      </c>
      <c r="C368" s="261">
        <v>1000</v>
      </c>
      <c r="D368" s="262">
        <v>17.7</v>
      </c>
      <c r="E368" s="262">
        <v>0</v>
      </c>
      <c r="F368" s="262">
        <f t="shared" si="126"/>
        <v>17700</v>
      </c>
      <c r="G368" s="266">
        <v>42488</v>
      </c>
      <c r="H368" s="267">
        <v>600</v>
      </c>
      <c r="I368" s="262">
        <v>12.19</v>
      </c>
      <c r="J368" s="262">
        <v>0.16</v>
      </c>
      <c r="K368" s="262">
        <f t="shared" si="125"/>
        <v>7313.84</v>
      </c>
      <c r="L368" s="261"/>
      <c r="M368" s="261"/>
    </row>
    <row r="369" spans="1:13" x14ac:dyDescent="0.25">
      <c r="A369" s="261"/>
      <c r="B369" s="592">
        <v>42300</v>
      </c>
      <c r="C369" s="261">
        <v>700</v>
      </c>
      <c r="D369" s="262">
        <v>17.22</v>
      </c>
      <c r="E369" s="262">
        <v>0</v>
      </c>
      <c r="F369" s="262">
        <f t="shared" si="126"/>
        <v>12054</v>
      </c>
      <c r="G369" s="266">
        <v>42488</v>
      </c>
      <c r="H369" s="267">
        <v>600</v>
      </c>
      <c r="I369" s="262">
        <v>12.4</v>
      </c>
      <c r="J369" s="262">
        <v>2.2599999999999998</v>
      </c>
      <c r="K369" s="262">
        <f t="shared" si="125"/>
        <v>7437.74</v>
      </c>
      <c r="L369" s="261"/>
      <c r="M369" s="261"/>
    </row>
    <row r="370" spans="1:13" x14ac:dyDescent="0.25">
      <c r="A370" s="261"/>
      <c r="B370" s="592">
        <v>42300</v>
      </c>
      <c r="C370" s="261">
        <v>1000</v>
      </c>
      <c r="D370" s="262">
        <v>16.999500000000001</v>
      </c>
      <c r="E370" s="262">
        <v>0</v>
      </c>
      <c r="F370" s="262">
        <f t="shared" si="126"/>
        <v>16999.5</v>
      </c>
      <c r="G370" s="266">
        <v>42495</v>
      </c>
      <c r="H370" s="267">
        <v>1000</v>
      </c>
      <c r="I370" s="262">
        <v>10.31</v>
      </c>
      <c r="J370" s="262">
        <v>0.22</v>
      </c>
      <c r="K370" s="262">
        <f t="shared" si="125"/>
        <v>10309.780000000001</v>
      </c>
      <c r="L370" s="261"/>
      <c r="M370" s="261"/>
    </row>
    <row r="371" spans="1:13" x14ac:dyDescent="0.25">
      <c r="A371" s="261"/>
      <c r="B371" s="592">
        <v>42310</v>
      </c>
      <c r="C371" s="261">
        <v>900</v>
      </c>
      <c r="D371" s="262">
        <v>16.89667</v>
      </c>
      <c r="E371" s="262">
        <v>6.95</v>
      </c>
      <c r="F371" s="262">
        <f t="shared" si="126"/>
        <v>15213.953000000001</v>
      </c>
      <c r="G371" s="266">
        <v>42503</v>
      </c>
      <c r="H371" s="267">
        <v>2000</v>
      </c>
      <c r="I371" s="262">
        <v>9.73</v>
      </c>
      <c r="J371" s="262">
        <v>0.42</v>
      </c>
      <c r="K371" s="262">
        <f t="shared" si="125"/>
        <v>19459.580000000002</v>
      </c>
      <c r="L371" s="261"/>
      <c r="M371" s="261"/>
    </row>
    <row r="372" spans="1:13" x14ac:dyDescent="0.25">
      <c r="A372" s="261"/>
      <c r="B372" s="592">
        <v>42311</v>
      </c>
      <c r="C372" s="261">
        <v>200</v>
      </c>
      <c r="D372" s="262">
        <v>16.27</v>
      </c>
      <c r="E372" s="262">
        <v>6.95</v>
      </c>
      <c r="F372" s="262">
        <f t="shared" si="126"/>
        <v>3260.95</v>
      </c>
      <c r="G372" s="266">
        <v>42503</v>
      </c>
      <c r="H372" s="267">
        <v>2000</v>
      </c>
      <c r="I372" s="262">
        <v>9.76</v>
      </c>
      <c r="J372" s="262">
        <v>0.43</v>
      </c>
      <c r="K372" s="262">
        <f t="shared" si="125"/>
        <v>19519.57</v>
      </c>
      <c r="L372" s="261"/>
      <c r="M372" s="261"/>
    </row>
    <row r="373" spans="1:13" x14ac:dyDescent="0.25">
      <c r="A373" s="261"/>
      <c r="B373" s="660">
        <v>42317</v>
      </c>
      <c r="C373" s="261">
        <v>190</v>
      </c>
      <c r="D373" s="262">
        <v>17.100000000000001</v>
      </c>
      <c r="E373" s="262">
        <v>0</v>
      </c>
      <c r="F373" s="262">
        <f t="shared" si="126"/>
        <v>3249.0000000000005</v>
      </c>
      <c r="G373" s="658">
        <v>42510</v>
      </c>
      <c r="H373" s="267">
        <v>240</v>
      </c>
      <c r="I373" s="262">
        <v>10.75</v>
      </c>
      <c r="J373" s="262">
        <v>0.12</v>
      </c>
      <c r="K373" s="262">
        <f t="shared" si="125"/>
        <v>2579.88</v>
      </c>
      <c r="L373" s="261"/>
      <c r="M373" s="261"/>
    </row>
    <row r="374" spans="1:13" x14ac:dyDescent="0.25">
      <c r="A374" s="261"/>
      <c r="B374" s="660"/>
      <c r="C374" s="261">
        <v>2</v>
      </c>
      <c r="D374" s="262">
        <v>17.100000000000001</v>
      </c>
      <c r="E374" s="262">
        <v>0</v>
      </c>
      <c r="F374" s="262">
        <f t="shared" si="126"/>
        <v>34.200000000000003</v>
      </c>
      <c r="G374" s="658"/>
      <c r="H374" s="267">
        <v>260</v>
      </c>
      <c r="I374" s="262">
        <v>10.75</v>
      </c>
      <c r="J374" s="262">
        <v>0</v>
      </c>
      <c r="K374" s="262">
        <f t="shared" si="125"/>
        <v>2795</v>
      </c>
      <c r="L374" s="261"/>
      <c r="M374" s="261"/>
    </row>
    <row r="375" spans="1:13" x14ac:dyDescent="0.25">
      <c r="A375" s="261"/>
      <c r="B375" s="660">
        <v>42318</v>
      </c>
      <c r="C375" s="261">
        <v>8</v>
      </c>
      <c r="D375" s="262">
        <v>16.989999999999998</v>
      </c>
      <c r="E375" s="262">
        <v>0</v>
      </c>
      <c r="F375" s="262">
        <f t="shared" si="126"/>
        <v>135.91999999999999</v>
      </c>
      <c r="G375" s="266">
        <v>42514</v>
      </c>
      <c r="H375" s="267">
        <v>500</v>
      </c>
      <c r="I375" s="262">
        <v>11.37</v>
      </c>
      <c r="J375" s="262">
        <v>0.12</v>
      </c>
      <c r="K375" s="262">
        <f t="shared" si="125"/>
        <v>5684.88</v>
      </c>
      <c r="L375" s="261"/>
      <c r="M375" s="261"/>
    </row>
    <row r="376" spans="1:13" x14ac:dyDescent="0.25">
      <c r="A376" s="261"/>
      <c r="B376" s="660"/>
      <c r="C376" s="261">
        <v>500</v>
      </c>
      <c r="D376" s="262">
        <v>16.989999999999998</v>
      </c>
      <c r="E376" s="262">
        <v>0</v>
      </c>
      <c r="F376" s="262">
        <f>C376*D376+E376</f>
        <v>8495</v>
      </c>
      <c r="G376" s="266">
        <v>42514</v>
      </c>
      <c r="H376" s="267">
        <v>500</v>
      </c>
      <c r="I376" s="262">
        <v>11.54</v>
      </c>
      <c r="J376" s="262">
        <v>0.13</v>
      </c>
      <c r="K376" s="262">
        <f t="shared" si="125"/>
        <v>5769.87</v>
      </c>
      <c r="L376" s="261"/>
      <c r="M376" s="261"/>
    </row>
    <row r="377" spans="1:13" x14ac:dyDescent="0.25">
      <c r="A377" s="261"/>
      <c r="B377" s="660"/>
      <c r="C377" s="261">
        <v>300</v>
      </c>
      <c r="D377" s="262">
        <v>16.989999999999998</v>
      </c>
      <c r="E377" s="262">
        <v>0</v>
      </c>
      <c r="F377" s="262">
        <f>C377*D377+E377</f>
        <v>5096.9999999999991</v>
      </c>
      <c r="G377" s="266">
        <v>42514</v>
      </c>
      <c r="H377" s="267">
        <v>500</v>
      </c>
      <c r="I377" s="262">
        <v>11.76</v>
      </c>
      <c r="J377" s="262">
        <v>0.13</v>
      </c>
      <c r="K377" s="262">
        <f t="shared" si="125"/>
        <v>5879.87</v>
      </c>
      <c r="L377" s="261"/>
      <c r="M377" s="261"/>
    </row>
    <row r="378" spans="1:13" x14ac:dyDescent="0.25">
      <c r="A378" s="261"/>
      <c r="B378" s="660"/>
      <c r="C378" s="261">
        <v>1000</v>
      </c>
      <c r="D378" s="262">
        <v>16.989999999999998</v>
      </c>
      <c r="E378" s="262">
        <v>0</v>
      </c>
      <c r="F378" s="262">
        <f>C378*D378+E378</f>
        <v>16990</v>
      </c>
      <c r="G378" s="266">
        <v>42515</v>
      </c>
      <c r="H378" s="267">
        <v>500</v>
      </c>
      <c r="I378" s="262">
        <v>11.96</v>
      </c>
      <c r="J378" s="262">
        <v>0.13</v>
      </c>
      <c r="K378" s="262">
        <f t="shared" si="125"/>
        <v>5979.87</v>
      </c>
      <c r="L378" s="261"/>
      <c r="M378" s="261"/>
    </row>
    <row r="379" spans="1:13" x14ac:dyDescent="0.25">
      <c r="A379" s="261"/>
      <c r="B379" s="592">
        <v>42318</v>
      </c>
      <c r="C379" s="261">
        <v>500</v>
      </c>
      <c r="D379" s="262">
        <v>16.59</v>
      </c>
      <c r="E379" s="262">
        <v>0</v>
      </c>
      <c r="F379" s="262">
        <f t="shared" ref="F379:F442" si="127">C379*D379+E379</f>
        <v>8295</v>
      </c>
      <c r="G379" s="266">
        <v>42517</v>
      </c>
      <c r="H379" s="267">
        <v>1000</v>
      </c>
      <c r="I379" s="262">
        <v>12.31</v>
      </c>
      <c r="J379" s="262">
        <v>0.27</v>
      </c>
      <c r="K379" s="262">
        <f t="shared" si="125"/>
        <v>12309.73</v>
      </c>
      <c r="L379" s="261"/>
      <c r="M379" s="261"/>
    </row>
    <row r="380" spans="1:13" x14ac:dyDescent="0.25">
      <c r="A380" s="261"/>
      <c r="B380" s="592">
        <v>42318</v>
      </c>
      <c r="C380" s="261">
        <v>500</v>
      </c>
      <c r="D380" s="262">
        <v>16.489999999999998</v>
      </c>
      <c r="E380" s="262">
        <v>0</v>
      </c>
      <c r="F380" s="262">
        <f t="shared" si="127"/>
        <v>8245</v>
      </c>
      <c r="G380" s="266">
        <v>42517</v>
      </c>
      <c r="H380" s="267">
        <v>1000</v>
      </c>
      <c r="I380" s="262">
        <v>12.33</v>
      </c>
      <c r="J380" s="262">
        <v>0.27</v>
      </c>
      <c r="K380" s="262">
        <f t="shared" si="125"/>
        <v>12329.73</v>
      </c>
      <c r="L380" s="261"/>
      <c r="M380" s="261"/>
    </row>
    <row r="381" spans="1:13" x14ac:dyDescent="0.25">
      <c r="A381" s="261"/>
      <c r="B381" s="592">
        <v>42321</v>
      </c>
      <c r="C381" s="261">
        <v>350</v>
      </c>
      <c r="D381" s="262">
        <v>15.82</v>
      </c>
      <c r="E381" s="262">
        <v>0</v>
      </c>
      <c r="F381" s="262">
        <f t="shared" si="127"/>
        <v>5537</v>
      </c>
      <c r="G381" s="266">
        <v>42521</v>
      </c>
      <c r="H381" s="267">
        <v>500</v>
      </c>
      <c r="I381" s="262">
        <v>12.76</v>
      </c>
      <c r="J381" s="262">
        <v>0.14000000000000001</v>
      </c>
      <c r="K381" s="262">
        <f t="shared" si="125"/>
        <v>6379.86</v>
      </c>
      <c r="L381" s="261"/>
      <c r="M381" s="261"/>
    </row>
    <row r="382" spans="1:13" x14ac:dyDescent="0.25">
      <c r="A382" s="261"/>
      <c r="B382" s="592">
        <v>42327</v>
      </c>
      <c r="C382" s="261">
        <v>500</v>
      </c>
      <c r="D382" s="262">
        <v>14.82</v>
      </c>
      <c r="E382" s="262">
        <v>0</v>
      </c>
      <c r="F382" s="262">
        <f t="shared" si="127"/>
        <v>7410</v>
      </c>
      <c r="G382" s="266">
        <v>42521</v>
      </c>
      <c r="H382" s="267">
        <v>500</v>
      </c>
      <c r="I382" s="262">
        <v>12.76</v>
      </c>
      <c r="J382" s="262">
        <v>0.14000000000000001</v>
      </c>
      <c r="K382" s="262">
        <f t="shared" si="125"/>
        <v>6379.86</v>
      </c>
      <c r="L382" s="261"/>
      <c r="M382" s="261"/>
    </row>
    <row r="383" spans="1:13" x14ac:dyDescent="0.25">
      <c r="A383" s="261"/>
      <c r="B383" s="592">
        <v>42327</v>
      </c>
      <c r="C383" s="261">
        <v>440</v>
      </c>
      <c r="D383" s="262">
        <v>14.68</v>
      </c>
      <c r="E383" s="262">
        <v>0</v>
      </c>
      <c r="F383" s="262">
        <f t="shared" si="127"/>
        <v>6459.2</v>
      </c>
      <c r="G383" s="261"/>
      <c r="H383" s="261"/>
      <c r="I383" s="262"/>
      <c r="J383" s="262"/>
      <c r="K383" s="262"/>
      <c r="L383" s="261"/>
      <c r="M383" s="261"/>
    </row>
    <row r="384" spans="1:13" x14ac:dyDescent="0.25">
      <c r="A384" s="261"/>
      <c r="B384" s="592">
        <v>42333</v>
      </c>
      <c r="C384" s="261">
        <v>940</v>
      </c>
      <c r="D384" s="261">
        <v>15.35</v>
      </c>
      <c r="E384" s="262">
        <v>0</v>
      </c>
      <c r="F384" s="262">
        <f t="shared" si="127"/>
        <v>14429</v>
      </c>
      <c r="G384" s="261"/>
      <c r="H384" s="261"/>
      <c r="I384" s="262"/>
      <c r="J384" s="262"/>
      <c r="K384" s="262"/>
      <c r="L384" s="261"/>
      <c r="M384" s="261"/>
    </row>
    <row r="385" spans="1:13" x14ac:dyDescent="0.25">
      <c r="A385" s="261"/>
      <c r="B385" s="592">
        <v>42340</v>
      </c>
      <c r="C385" s="261">
        <v>350</v>
      </c>
      <c r="D385" s="261">
        <v>15.85</v>
      </c>
      <c r="E385" s="262">
        <v>0</v>
      </c>
      <c r="F385" s="262">
        <f t="shared" si="127"/>
        <v>5547.5</v>
      </c>
      <c r="G385" s="261"/>
      <c r="H385" s="261"/>
      <c r="I385" s="262"/>
      <c r="J385" s="262"/>
      <c r="K385" s="262"/>
      <c r="L385" s="261"/>
      <c r="M385" s="261"/>
    </row>
    <row r="386" spans="1:13" x14ac:dyDescent="0.25">
      <c r="A386" s="261"/>
      <c r="B386" s="592">
        <v>42346</v>
      </c>
      <c r="C386" s="261">
        <v>200</v>
      </c>
      <c r="D386" s="261">
        <v>15.55</v>
      </c>
      <c r="E386" s="262">
        <v>0</v>
      </c>
      <c r="F386" s="262">
        <f t="shared" si="127"/>
        <v>3110</v>
      </c>
      <c r="G386" s="261"/>
      <c r="H386" s="261"/>
      <c r="I386" s="262"/>
      <c r="J386" s="262"/>
      <c r="K386" s="262"/>
      <c r="L386" s="261"/>
      <c r="M386" s="261"/>
    </row>
    <row r="387" spans="1:13" x14ac:dyDescent="0.25">
      <c r="A387" s="261"/>
      <c r="B387" s="592">
        <v>42352</v>
      </c>
      <c r="C387" s="261">
        <v>200</v>
      </c>
      <c r="D387" s="262">
        <v>14.4</v>
      </c>
      <c r="E387" s="262">
        <v>0</v>
      </c>
      <c r="F387" s="262">
        <f t="shared" si="127"/>
        <v>2880</v>
      </c>
      <c r="G387" s="261"/>
      <c r="H387" s="261"/>
      <c r="I387" s="262"/>
      <c r="J387" s="262"/>
      <c r="K387" s="262"/>
      <c r="L387" s="261"/>
      <c r="M387" s="261"/>
    </row>
    <row r="388" spans="1:13" x14ac:dyDescent="0.25">
      <c r="A388" s="261"/>
      <c r="B388" s="592">
        <v>42354</v>
      </c>
      <c r="C388" s="261">
        <v>940</v>
      </c>
      <c r="D388" s="262">
        <v>14.1</v>
      </c>
      <c r="E388" s="262">
        <v>0</v>
      </c>
      <c r="F388" s="262">
        <f t="shared" si="127"/>
        <v>13254</v>
      </c>
      <c r="G388" s="261"/>
      <c r="H388" s="261"/>
      <c r="I388" s="262"/>
      <c r="J388" s="262"/>
      <c r="K388" s="262"/>
      <c r="L388" s="261"/>
      <c r="M388" s="261"/>
    </row>
    <row r="389" spans="1:13" x14ac:dyDescent="0.25">
      <c r="A389" s="261"/>
      <c r="B389" s="592">
        <v>42354</v>
      </c>
      <c r="C389" s="261">
        <v>940</v>
      </c>
      <c r="D389" s="261">
        <v>14.03</v>
      </c>
      <c r="E389" s="262">
        <v>0</v>
      </c>
      <c r="F389" s="262">
        <f t="shared" si="127"/>
        <v>13188.199999999999</v>
      </c>
      <c r="G389" s="261"/>
      <c r="H389" s="261"/>
      <c r="I389" s="262"/>
      <c r="J389" s="262"/>
      <c r="K389" s="262"/>
      <c r="L389" s="261"/>
      <c r="M389" s="261"/>
    </row>
    <row r="390" spans="1:13" x14ac:dyDescent="0.25">
      <c r="A390" s="261"/>
      <c r="B390" s="592">
        <v>42354</v>
      </c>
      <c r="C390" s="261">
        <v>200</v>
      </c>
      <c r="D390" s="261">
        <v>14.01</v>
      </c>
      <c r="E390" s="262">
        <v>0</v>
      </c>
      <c r="F390" s="262">
        <f t="shared" si="127"/>
        <v>2802</v>
      </c>
      <c r="G390" s="261"/>
      <c r="H390" s="261"/>
      <c r="I390" s="262"/>
      <c r="J390" s="262"/>
      <c r="K390" s="262"/>
      <c r="L390" s="261"/>
      <c r="M390" s="261"/>
    </row>
    <row r="391" spans="1:13" x14ac:dyDescent="0.25">
      <c r="A391" s="261"/>
      <c r="B391" s="592">
        <v>42355</v>
      </c>
      <c r="C391" s="261">
        <v>1840</v>
      </c>
      <c r="D391" s="262">
        <v>14.5</v>
      </c>
      <c r="E391" s="262">
        <v>3.4</v>
      </c>
      <c r="F391" s="262">
        <f t="shared" si="127"/>
        <v>26683.4</v>
      </c>
      <c r="G391" s="266"/>
      <c r="H391" s="267"/>
      <c r="I391" s="262"/>
      <c r="J391" s="262"/>
      <c r="K391" s="262"/>
      <c r="L391" s="261"/>
      <c r="M391" s="261"/>
    </row>
    <row r="392" spans="1:13" x14ac:dyDescent="0.25">
      <c r="A392" s="261"/>
      <c r="B392" s="610">
        <v>42361</v>
      </c>
      <c r="C392" s="261">
        <v>1000</v>
      </c>
      <c r="D392" s="262">
        <v>14.33</v>
      </c>
      <c r="E392" s="262">
        <v>0</v>
      </c>
      <c r="F392" s="262">
        <f t="shared" si="127"/>
        <v>14330</v>
      </c>
      <c r="G392" s="266"/>
      <c r="H392" s="267"/>
      <c r="I392" s="262"/>
      <c r="J392" s="262"/>
      <c r="K392" s="262"/>
      <c r="L392" s="261"/>
      <c r="M392" s="261"/>
    </row>
    <row r="393" spans="1:13" x14ac:dyDescent="0.25">
      <c r="A393" s="261"/>
      <c r="B393" s="610"/>
      <c r="C393" s="261">
        <v>500</v>
      </c>
      <c r="D393" s="262">
        <v>14.33</v>
      </c>
      <c r="E393" s="262">
        <v>0</v>
      </c>
      <c r="F393" s="262">
        <f t="shared" si="127"/>
        <v>7165</v>
      </c>
      <c r="G393" s="266"/>
      <c r="H393" s="267"/>
      <c r="I393" s="262"/>
      <c r="J393" s="262"/>
      <c r="K393" s="262"/>
      <c r="L393" s="261"/>
      <c r="M393" s="261"/>
    </row>
    <row r="394" spans="1:13" x14ac:dyDescent="0.25">
      <c r="A394" s="261"/>
      <c r="B394" s="610"/>
      <c r="C394" s="261">
        <v>440</v>
      </c>
      <c r="D394" s="262">
        <v>14.33</v>
      </c>
      <c r="E394" s="262">
        <v>0</v>
      </c>
      <c r="F394" s="262">
        <f t="shared" si="127"/>
        <v>6305.2</v>
      </c>
      <c r="G394" s="261"/>
      <c r="H394" s="267"/>
      <c r="I394" s="262"/>
      <c r="J394" s="262"/>
      <c r="K394" s="262"/>
      <c r="L394" s="261"/>
      <c r="M394" s="261"/>
    </row>
    <row r="395" spans="1:13" x14ac:dyDescent="0.25">
      <c r="A395" s="261"/>
      <c r="B395" s="592">
        <v>42366</v>
      </c>
      <c r="C395" s="261">
        <v>1000</v>
      </c>
      <c r="D395" s="262">
        <v>14.74</v>
      </c>
      <c r="E395" s="262">
        <v>0</v>
      </c>
      <c r="F395" s="262">
        <f t="shared" si="127"/>
        <v>14740</v>
      </c>
      <c r="G395" s="261"/>
      <c r="H395" s="261"/>
      <c r="I395" s="262"/>
      <c r="J395" s="262"/>
      <c r="K395" s="262"/>
      <c r="L395" s="261"/>
      <c r="M395" s="261"/>
    </row>
    <row r="396" spans="1:13" x14ac:dyDescent="0.25">
      <c r="A396" s="261"/>
      <c r="B396" s="592">
        <v>42377</v>
      </c>
      <c r="C396" s="261">
        <v>200</v>
      </c>
      <c r="D396" s="262">
        <v>13.35</v>
      </c>
      <c r="E396" s="262">
        <v>0</v>
      </c>
      <c r="F396" s="262">
        <f t="shared" si="127"/>
        <v>2670</v>
      </c>
      <c r="G396" s="261"/>
      <c r="H396" s="261"/>
      <c r="I396" s="262"/>
      <c r="J396" s="262"/>
      <c r="K396" s="262"/>
      <c r="L396" s="261"/>
      <c r="M396" s="261"/>
    </row>
    <row r="397" spans="1:13" x14ac:dyDescent="0.25">
      <c r="A397" s="261"/>
      <c r="B397" s="592">
        <v>42401</v>
      </c>
      <c r="C397" s="261">
        <v>260</v>
      </c>
      <c r="D397" s="262">
        <v>10.69</v>
      </c>
      <c r="E397" s="262">
        <v>0</v>
      </c>
      <c r="F397" s="262">
        <f t="shared" si="127"/>
        <v>2779.4</v>
      </c>
      <c r="G397" s="261"/>
      <c r="H397" s="261"/>
      <c r="I397" s="262"/>
      <c r="J397" s="262"/>
      <c r="K397" s="262"/>
      <c r="L397" s="261"/>
      <c r="M397" s="261"/>
    </row>
    <row r="398" spans="1:13" x14ac:dyDescent="0.25">
      <c r="A398" s="261"/>
      <c r="B398" s="592">
        <v>42423</v>
      </c>
      <c r="C398" s="261">
        <v>1660</v>
      </c>
      <c r="D398" s="262">
        <v>10.77</v>
      </c>
      <c r="E398" s="262">
        <v>0</v>
      </c>
      <c r="F398" s="262">
        <f t="shared" si="127"/>
        <v>17878.2</v>
      </c>
      <c r="G398" s="261"/>
      <c r="H398" s="261"/>
      <c r="I398" s="262"/>
      <c r="J398" s="262"/>
      <c r="K398" s="262"/>
      <c r="L398" s="261"/>
      <c r="M398" s="262"/>
    </row>
    <row r="399" spans="1:13" x14ac:dyDescent="0.25">
      <c r="A399" s="261"/>
      <c r="B399" s="592">
        <v>42436</v>
      </c>
      <c r="C399" s="261">
        <v>520</v>
      </c>
      <c r="D399" s="262">
        <v>11.1</v>
      </c>
      <c r="E399" s="262">
        <v>0.16</v>
      </c>
      <c r="F399" s="262">
        <f t="shared" si="127"/>
        <v>5772.16</v>
      </c>
      <c r="G399" s="261"/>
      <c r="H399" s="261"/>
      <c r="I399" s="262"/>
      <c r="J399" s="262"/>
      <c r="K399" s="262"/>
      <c r="L399" s="261"/>
      <c r="M399" s="262"/>
    </row>
    <row r="400" spans="1:13" x14ac:dyDescent="0.25">
      <c r="A400" s="261"/>
      <c r="B400" s="610">
        <v>42436</v>
      </c>
      <c r="C400" s="261">
        <v>500</v>
      </c>
      <c r="D400" s="261">
        <v>11.35</v>
      </c>
      <c r="E400" s="262">
        <v>0</v>
      </c>
      <c r="F400" s="262">
        <f t="shared" si="127"/>
        <v>5675</v>
      </c>
      <c r="G400" s="261"/>
      <c r="H400" s="261"/>
      <c r="I400" s="262"/>
      <c r="J400" s="262"/>
      <c r="K400" s="262"/>
      <c r="L400" s="261"/>
      <c r="M400" s="261"/>
    </row>
    <row r="401" spans="1:13" x14ac:dyDescent="0.25">
      <c r="A401" s="261"/>
      <c r="B401" s="610"/>
      <c r="C401" s="261">
        <v>30</v>
      </c>
      <c r="D401" s="261">
        <v>11.35</v>
      </c>
      <c r="E401" s="262">
        <v>0</v>
      </c>
      <c r="F401" s="262">
        <f t="shared" si="127"/>
        <v>340.5</v>
      </c>
      <c r="G401" s="261"/>
      <c r="H401" s="261"/>
      <c r="I401" s="262"/>
      <c r="J401" s="262"/>
      <c r="K401" s="262"/>
      <c r="L401" s="261"/>
      <c r="M401" s="261"/>
    </row>
    <row r="402" spans="1:13" x14ac:dyDescent="0.25">
      <c r="A402" s="261"/>
      <c r="B402" s="610">
        <v>42447</v>
      </c>
      <c r="C402" s="261">
        <v>5</v>
      </c>
      <c r="D402" s="261">
        <v>10.75</v>
      </c>
      <c r="E402" s="262">
        <v>0</v>
      </c>
      <c r="F402" s="262">
        <f t="shared" si="127"/>
        <v>53.75</v>
      </c>
      <c r="G402" s="261"/>
      <c r="H402" s="261"/>
      <c r="I402" s="262"/>
      <c r="J402" s="262"/>
      <c r="K402" s="262"/>
      <c r="L402" s="261"/>
      <c r="M402" s="261"/>
    </row>
    <row r="403" spans="1:13" x14ac:dyDescent="0.25">
      <c r="A403" s="261"/>
      <c r="B403" s="610"/>
      <c r="C403" s="261">
        <v>500</v>
      </c>
      <c r="D403" s="261">
        <v>10.75</v>
      </c>
      <c r="E403" s="262">
        <v>0</v>
      </c>
      <c r="F403" s="262">
        <f t="shared" si="127"/>
        <v>5375</v>
      </c>
      <c r="G403" s="261"/>
      <c r="H403" s="261"/>
      <c r="I403" s="262"/>
      <c r="J403" s="262"/>
      <c r="K403" s="262"/>
      <c r="L403" s="261"/>
      <c r="M403" s="261"/>
    </row>
    <row r="404" spans="1:13" x14ac:dyDescent="0.25">
      <c r="A404" s="261"/>
      <c r="B404" s="610">
        <v>42447</v>
      </c>
      <c r="C404" s="261">
        <v>2000</v>
      </c>
      <c r="D404" s="261">
        <v>11.07</v>
      </c>
      <c r="E404" s="262">
        <v>0</v>
      </c>
      <c r="F404" s="262">
        <f t="shared" si="127"/>
        <v>22140</v>
      </c>
      <c r="G404" s="261"/>
      <c r="H404" s="261"/>
      <c r="I404" s="262"/>
      <c r="J404" s="262"/>
      <c r="K404" s="262"/>
      <c r="L404" s="261"/>
      <c r="M404" s="261"/>
    </row>
    <row r="405" spans="1:13" x14ac:dyDescent="0.25">
      <c r="A405" s="261"/>
      <c r="B405" s="610"/>
      <c r="C405" s="261">
        <v>5</v>
      </c>
      <c r="D405" s="261">
        <v>11.07</v>
      </c>
      <c r="E405" s="262">
        <v>0</v>
      </c>
      <c r="F405" s="262">
        <f t="shared" si="127"/>
        <v>55.35</v>
      </c>
      <c r="G405" s="261"/>
      <c r="H405" s="261"/>
      <c r="I405" s="262"/>
      <c r="J405" s="262"/>
      <c r="K405" s="262"/>
      <c r="L405" s="261"/>
      <c r="M405" s="261"/>
    </row>
    <row r="406" spans="1:13" x14ac:dyDescent="0.25">
      <c r="A406" s="261"/>
      <c r="B406" s="592">
        <v>42447</v>
      </c>
      <c r="C406" s="261">
        <v>355</v>
      </c>
      <c r="D406" s="261">
        <v>11.11</v>
      </c>
      <c r="E406" s="262">
        <v>0</v>
      </c>
      <c r="F406" s="262">
        <f t="shared" si="127"/>
        <v>3944.0499999999997</v>
      </c>
      <c r="G406" s="261"/>
      <c r="H406" s="261"/>
      <c r="I406" s="262"/>
      <c r="J406" s="262"/>
      <c r="K406" s="262"/>
      <c r="L406" s="261"/>
      <c r="M406" s="261"/>
    </row>
    <row r="407" spans="1:13" x14ac:dyDescent="0.25">
      <c r="A407" s="261"/>
      <c r="B407" s="592">
        <v>42450</v>
      </c>
      <c r="C407" s="261">
        <v>100</v>
      </c>
      <c r="D407" s="261">
        <v>11.51</v>
      </c>
      <c r="E407" s="262">
        <v>0</v>
      </c>
      <c r="F407" s="262">
        <f t="shared" si="127"/>
        <v>1151</v>
      </c>
      <c r="G407" s="261"/>
      <c r="H407" s="261"/>
      <c r="I407" s="262"/>
      <c r="J407" s="262"/>
      <c r="K407" s="262"/>
      <c r="L407" s="261"/>
      <c r="M407" s="261"/>
    </row>
    <row r="408" spans="1:13" x14ac:dyDescent="0.25">
      <c r="A408" s="261"/>
      <c r="B408" s="592">
        <v>42451</v>
      </c>
      <c r="C408" s="261">
        <v>1305</v>
      </c>
      <c r="D408" s="262">
        <v>11.4</v>
      </c>
      <c r="E408" s="262">
        <v>-1</v>
      </c>
      <c r="F408" s="262">
        <f t="shared" si="127"/>
        <v>14876</v>
      </c>
      <c r="G408" s="261"/>
      <c r="H408" s="261"/>
      <c r="I408" s="262"/>
      <c r="J408" s="262"/>
      <c r="K408" s="262"/>
      <c r="L408" s="261"/>
      <c r="M408" s="261"/>
    </row>
    <row r="409" spans="1:13" x14ac:dyDescent="0.25">
      <c r="A409" s="261"/>
      <c r="B409" s="592">
        <v>42452</v>
      </c>
      <c r="C409" s="261">
        <v>100</v>
      </c>
      <c r="D409" s="262">
        <v>10.82</v>
      </c>
      <c r="E409" s="262">
        <v>0</v>
      </c>
      <c r="F409" s="262">
        <f t="shared" si="127"/>
        <v>1082</v>
      </c>
      <c r="G409" s="261"/>
      <c r="H409" s="261"/>
      <c r="I409" s="262"/>
      <c r="J409" s="262"/>
      <c r="K409" s="262"/>
      <c r="L409" s="261"/>
      <c r="M409" s="261"/>
    </row>
    <row r="410" spans="1:13" x14ac:dyDescent="0.25">
      <c r="A410" s="261"/>
      <c r="B410" s="592">
        <v>42466</v>
      </c>
      <c r="C410" s="261">
        <v>500</v>
      </c>
      <c r="D410" s="262">
        <v>10.41</v>
      </c>
      <c r="E410" s="262">
        <v>0</v>
      </c>
      <c r="F410" s="262">
        <f t="shared" si="127"/>
        <v>5205</v>
      </c>
      <c r="G410" s="261"/>
      <c r="H410" s="261"/>
      <c r="I410" s="262"/>
      <c r="J410" s="262"/>
      <c r="K410" s="262"/>
      <c r="L410" s="261"/>
      <c r="M410" s="261"/>
    </row>
    <row r="411" spans="1:13" x14ac:dyDescent="0.25">
      <c r="A411" s="261"/>
      <c r="B411" s="592">
        <v>42472</v>
      </c>
      <c r="C411" s="261">
        <v>600</v>
      </c>
      <c r="D411" s="262">
        <v>10.31</v>
      </c>
      <c r="E411" s="262">
        <v>0</v>
      </c>
      <c r="F411" s="262">
        <f t="shared" si="127"/>
        <v>6186</v>
      </c>
      <c r="G411" s="261"/>
      <c r="H411" s="261"/>
      <c r="I411" s="262"/>
      <c r="J411" s="262"/>
      <c r="K411" s="262"/>
      <c r="L411" s="261"/>
      <c r="M411" s="261"/>
    </row>
    <row r="412" spans="1:13" x14ac:dyDescent="0.25">
      <c r="A412" s="261"/>
      <c r="B412" s="592">
        <v>42487</v>
      </c>
      <c r="C412" s="261">
        <v>1000</v>
      </c>
      <c r="D412" s="262">
        <v>11.29</v>
      </c>
      <c r="E412" s="262">
        <v>0</v>
      </c>
      <c r="F412" s="262">
        <f t="shared" si="127"/>
        <v>11290</v>
      </c>
      <c r="G412" s="261"/>
      <c r="H412" s="261"/>
      <c r="I412" s="262"/>
      <c r="J412" s="262"/>
      <c r="K412" s="262"/>
      <c r="L412" s="261"/>
      <c r="M412" s="261"/>
    </row>
    <row r="413" spans="1:13" x14ac:dyDescent="0.25">
      <c r="A413" s="261"/>
      <c r="B413" s="592">
        <v>42488</v>
      </c>
      <c r="C413" s="261">
        <v>1200</v>
      </c>
      <c r="D413" s="262">
        <v>12.2</v>
      </c>
      <c r="E413" s="262">
        <v>0</v>
      </c>
      <c r="F413" s="262">
        <f t="shared" si="127"/>
        <v>14640</v>
      </c>
      <c r="G413" s="261"/>
      <c r="H413" s="261"/>
      <c r="I413" s="262"/>
      <c r="J413" s="262"/>
      <c r="K413" s="262"/>
      <c r="L413" s="261"/>
      <c r="M413" s="261"/>
    </row>
    <row r="414" spans="1:13" x14ac:dyDescent="0.25">
      <c r="A414" s="661" t="s">
        <v>205</v>
      </c>
      <c r="B414" s="592">
        <v>42489</v>
      </c>
      <c r="C414" s="261">
        <v>240</v>
      </c>
      <c r="D414" s="262">
        <v>10.81</v>
      </c>
      <c r="E414" s="262">
        <v>0</v>
      </c>
      <c r="F414" s="262">
        <f t="shared" si="127"/>
        <v>2594.4</v>
      </c>
      <c r="G414" s="261"/>
      <c r="H414" s="261"/>
      <c r="I414" s="262"/>
      <c r="J414" s="262"/>
      <c r="K414" s="262"/>
      <c r="L414" s="261"/>
      <c r="M414" s="261"/>
    </row>
    <row r="415" spans="1:13" x14ac:dyDescent="0.25">
      <c r="A415" s="661"/>
      <c r="B415" s="592">
        <v>42494</v>
      </c>
      <c r="C415" s="261">
        <v>500</v>
      </c>
      <c r="D415" s="262">
        <v>10.130000000000001</v>
      </c>
      <c r="E415" s="262">
        <v>-1</v>
      </c>
      <c r="F415" s="262">
        <f t="shared" si="127"/>
        <v>5064</v>
      </c>
      <c r="G415" s="261"/>
      <c r="H415" s="261"/>
      <c r="I415" s="262"/>
      <c r="J415" s="262"/>
      <c r="K415" s="262"/>
      <c r="L415" s="261"/>
      <c r="M415" s="261"/>
    </row>
    <row r="416" spans="1:13" x14ac:dyDescent="0.25">
      <c r="A416" s="661"/>
      <c r="B416" s="592">
        <v>42494</v>
      </c>
      <c r="C416" s="261">
        <v>500</v>
      </c>
      <c r="D416" s="262">
        <v>9.92</v>
      </c>
      <c r="E416" s="262">
        <v>0</v>
      </c>
      <c r="F416" s="262">
        <f t="shared" si="127"/>
        <v>4960</v>
      </c>
      <c r="G416" s="261"/>
      <c r="H416" s="261"/>
      <c r="I416" s="262"/>
      <c r="J416" s="262"/>
      <c r="K416" s="262"/>
      <c r="L416" s="261"/>
      <c r="M416" s="261"/>
    </row>
    <row r="417" spans="1:13" x14ac:dyDescent="0.25">
      <c r="A417" s="261"/>
      <c r="B417" s="592">
        <v>42502</v>
      </c>
      <c r="C417" s="261">
        <v>1000</v>
      </c>
      <c r="D417" s="262">
        <v>9.86</v>
      </c>
      <c r="E417" s="262">
        <v>0</v>
      </c>
      <c r="F417" s="262">
        <f t="shared" si="127"/>
        <v>9860</v>
      </c>
      <c r="G417" s="261"/>
      <c r="H417" s="261"/>
      <c r="I417" s="262"/>
      <c r="J417" s="262"/>
      <c r="K417" s="262"/>
      <c r="L417" s="261"/>
      <c r="M417" s="261"/>
    </row>
    <row r="418" spans="1:13" x14ac:dyDescent="0.25">
      <c r="A418" s="261"/>
      <c r="B418" s="592">
        <v>42502</v>
      </c>
      <c r="C418" s="261">
        <v>1000</v>
      </c>
      <c r="D418" s="262">
        <v>9.68</v>
      </c>
      <c r="E418" s="262">
        <v>0</v>
      </c>
      <c r="F418" s="262">
        <f t="shared" si="127"/>
        <v>9680</v>
      </c>
      <c r="G418" s="261"/>
      <c r="H418" s="261"/>
      <c r="I418" s="262"/>
      <c r="J418" s="262"/>
      <c r="K418" s="262"/>
      <c r="L418" s="261"/>
      <c r="M418" s="261"/>
    </row>
    <row r="419" spans="1:13" x14ac:dyDescent="0.25">
      <c r="A419" s="261"/>
      <c r="B419" s="592">
        <v>42502</v>
      </c>
      <c r="C419" s="261">
        <v>1000</v>
      </c>
      <c r="D419" s="262">
        <v>9.5</v>
      </c>
      <c r="E419" s="262">
        <v>0</v>
      </c>
      <c r="F419" s="262">
        <f t="shared" si="127"/>
        <v>9500</v>
      </c>
      <c r="G419" s="261"/>
      <c r="H419" s="261"/>
      <c r="I419" s="262"/>
      <c r="J419" s="262"/>
      <c r="K419" s="262"/>
      <c r="L419" s="261"/>
      <c r="M419" s="261"/>
    </row>
    <row r="420" spans="1:13" x14ac:dyDescent="0.25">
      <c r="A420" s="261"/>
      <c r="B420" s="592">
        <v>42503</v>
      </c>
      <c r="C420" s="261">
        <v>1000</v>
      </c>
      <c r="D420" s="262">
        <v>9.6999999999999993</v>
      </c>
      <c r="E420" s="262">
        <v>9.9</v>
      </c>
      <c r="F420" s="262">
        <f t="shared" si="127"/>
        <v>9709.9</v>
      </c>
      <c r="G420" s="261"/>
      <c r="H420" s="261"/>
      <c r="I420" s="262"/>
      <c r="J420" s="262"/>
      <c r="K420" s="262"/>
      <c r="L420" s="261"/>
      <c r="M420" s="261"/>
    </row>
    <row r="421" spans="1:13" x14ac:dyDescent="0.25">
      <c r="A421" s="261"/>
      <c r="B421" s="592">
        <v>42514</v>
      </c>
      <c r="C421" s="261">
        <v>500</v>
      </c>
      <c r="D421" s="262">
        <v>11.22</v>
      </c>
      <c r="E421" s="262">
        <v>-2.5</v>
      </c>
      <c r="F421" s="262">
        <f t="shared" si="127"/>
        <v>5607.5</v>
      </c>
      <c r="G421" s="261"/>
      <c r="H421" s="261"/>
      <c r="I421" s="262"/>
      <c r="J421" s="262"/>
      <c r="K421" s="262"/>
      <c r="L421" s="261"/>
      <c r="M421" s="261"/>
    </row>
    <row r="422" spans="1:13" x14ac:dyDescent="0.25">
      <c r="A422" s="261"/>
      <c r="B422" s="592">
        <v>42515</v>
      </c>
      <c r="C422" s="261">
        <v>500</v>
      </c>
      <c r="D422" s="262">
        <v>11.62</v>
      </c>
      <c r="E422" s="262">
        <v>0</v>
      </c>
      <c r="F422" s="262">
        <f t="shared" si="127"/>
        <v>5810</v>
      </c>
      <c r="G422" s="261"/>
      <c r="H422" s="261"/>
      <c r="I422" s="262"/>
      <c r="J422" s="262"/>
      <c r="K422" s="262"/>
      <c r="L422" s="261"/>
      <c r="M422" s="261"/>
    </row>
    <row r="423" spans="1:13" x14ac:dyDescent="0.25">
      <c r="A423" s="261"/>
      <c r="B423" s="592">
        <v>42517</v>
      </c>
      <c r="C423" s="261">
        <v>1000</v>
      </c>
      <c r="D423" s="262">
        <v>12.25</v>
      </c>
      <c r="E423" s="262">
        <v>0</v>
      </c>
      <c r="F423" s="262">
        <f t="shared" si="127"/>
        <v>12250</v>
      </c>
      <c r="G423" s="261"/>
      <c r="H423" s="261"/>
      <c r="I423" s="262"/>
      <c r="J423" s="262"/>
      <c r="K423" s="262"/>
      <c r="L423" s="261"/>
      <c r="M423" s="261"/>
    </row>
    <row r="424" spans="1:13" x14ac:dyDescent="0.25">
      <c r="A424" s="261"/>
      <c r="B424" s="592">
        <v>42517</v>
      </c>
      <c r="C424" s="261">
        <v>1000</v>
      </c>
      <c r="D424" s="262">
        <v>12.3</v>
      </c>
      <c r="E424" s="262">
        <v>0</v>
      </c>
      <c r="F424" s="262">
        <f t="shared" si="127"/>
        <v>12300</v>
      </c>
      <c r="G424" s="261"/>
      <c r="H424" s="261"/>
      <c r="I424" s="262"/>
      <c r="J424" s="262"/>
      <c r="K424" s="262"/>
      <c r="L424" s="261"/>
      <c r="M424" s="261"/>
    </row>
    <row r="425" spans="1:13" x14ac:dyDescent="0.25">
      <c r="A425" s="261"/>
      <c r="B425" s="592">
        <v>42521</v>
      </c>
      <c r="C425" s="261">
        <v>500</v>
      </c>
      <c r="D425" s="262">
        <v>12.61</v>
      </c>
      <c r="E425" s="262">
        <v>0</v>
      </c>
      <c r="F425" s="262">
        <f t="shared" si="127"/>
        <v>6305</v>
      </c>
      <c r="G425" s="261"/>
      <c r="H425" s="261"/>
      <c r="I425" s="262"/>
      <c r="J425" s="262"/>
      <c r="K425" s="262"/>
      <c r="L425" s="261"/>
      <c r="M425" s="261"/>
    </row>
    <row r="426" spans="1:13" x14ac:dyDescent="0.25">
      <c r="A426" s="261"/>
      <c r="B426" s="592">
        <v>42521</v>
      </c>
      <c r="C426" s="261">
        <v>500</v>
      </c>
      <c r="D426" s="262">
        <v>12.72</v>
      </c>
      <c r="E426" s="262">
        <v>0</v>
      </c>
      <c r="F426" s="262">
        <f t="shared" si="127"/>
        <v>6360</v>
      </c>
      <c r="G426" s="266">
        <v>42522</v>
      </c>
      <c r="H426" s="267">
        <v>500</v>
      </c>
      <c r="I426" s="262">
        <v>12.72</v>
      </c>
      <c r="J426" s="262">
        <v>0.14000000000000001</v>
      </c>
      <c r="K426" s="262">
        <f>H426*I426-J426</f>
        <v>6359.86</v>
      </c>
      <c r="L426" s="261"/>
      <c r="M426" s="261"/>
    </row>
    <row r="427" spans="1:13" x14ac:dyDescent="0.25">
      <c r="A427" s="261"/>
      <c r="B427" s="592">
        <v>42522</v>
      </c>
      <c r="C427" s="261">
        <v>500</v>
      </c>
      <c r="D427" s="262">
        <v>12.6</v>
      </c>
      <c r="E427" s="262">
        <v>0</v>
      </c>
      <c r="F427" s="262">
        <f t="shared" si="127"/>
        <v>6300</v>
      </c>
      <c r="G427" s="266">
        <v>42522</v>
      </c>
      <c r="H427" s="267">
        <v>500</v>
      </c>
      <c r="I427" s="262">
        <v>12.96</v>
      </c>
      <c r="J427" s="262">
        <v>0.14000000000000001</v>
      </c>
      <c r="K427" s="262">
        <f>H427*I427-J427</f>
        <v>6479.86</v>
      </c>
      <c r="L427" s="261"/>
      <c r="M427" s="261"/>
    </row>
    <row r="428" spans="1:13" x14ac:dyDescent="0.25">
      <c r="A428" s="261"/>
      <c r="B428" s="592">
        <v>42524</v>
      </c>
      <c r="C428" s="261">
        <v>625</v>
      </c>
      <c r="D428" s="262">
        <v>12.69</v>
      </c>
      <c r="E428" s="262">
        <v>0</v>
      </c>
      <c r="F428" s="262">
        <f t="shared" si="127"/>
        <v>7931.25</v>
      </c>
      <c r="G428" s="266">
        <v>42522</v>
      </c>
      <c r="H428" s="267">
        <v>125</v>
      </c>
      <c r="I428" s="262">
        <v>13.12</v>
      </c>
      <c r="J428" s="262">
        <v>0.04</v>
      </c>
      <c r="K428" s="262">
        <f>H428*I428-J428</f>
        <v>1639.96</v>
      </c>
      <c r="L428" s="261"/>
      <c r="M428" s="261"/>
    </row>
    <row r="429" spans="1:13" x14ac:dyDescent="0.25">
      <c r="A429" s="261"/>
      <c r="B429" s="592">
        <v>42524</v>
      </c>
      <c r="C429" s="261">
        <v>625</v>
      </c>
      <c r="D429" s="262">
        <v>12.8</v>
      </c>
      <c r="E429" s="262">
        <v>0</v>
      </c>
      <c r="F429" s="262">
        <f t="shared" si="127"/>
        <v>8000</v>
      </c>
      <c r="G429" s="266">
        <v>42524</v>
      </c>
      <c r="H429" s="267">
        <v>625</v>
      </c>
      <c r="I429" s="262">
        <v>12.85</v>
      </c>
      <c r="J429" s="262">
        <v>0.18</v>
      </c>
      <c r="K429" s="262">
        <f>H429*I429-J429</f>
        <v>8031.07</v>
      </c>
      <c r="L429" s="261"/>
      <c r="M429" s="261"/>
    </row>
    <row r="430" spans="1:13" x14ac:dyDescent="0.25">
      <c r="A430" s="261"/>
      <c r="B430" s="592">
        <v>42530</v>
      </c>
      <c r="C430" s="261">
        <v>500</v>
      </c>
      <c r="D430" s="262">
        <v>12.25</v>
      </c>
      <c r="E430" s="262">
        <v>0</v>
      </c>
      <c r="F430" s="262">
        <f t="shared" si="127"/>
        <v>6125</v>
      </c>
      <c r="G430" s="266">
        <v>42530</v>
      </c>
      <c r="H430" s="267">
        <v>500</v>
      </c>
      <c r="I430" s="262">
        <v>12.61</v>
      </c>
      <c r="J430" s="262">
        <v>0.14000000000000001</v>
      </c>
      <c r="K430" s="262">
        <f>H430*I430-J430</f>
        <v>6304.86</v>
      </c>
      <c r="L430" s="261"/>
      <c r="M430" s="261"/>
    </row>
    <row r="431" spans="1:13" x14ac:dyDescent="0.25">
      <c r="A431" s="261"/>
      <c r="B431" s="592">
        <v>42531</v>
      </c>
      <c r="C431" s="261">
        <v>760</v>
      </c>
      <c r="D431" s="262">
        <v>12.19</v>
      </c>
      <c r="E431" s="262">
        <v>0</v>
      </c>
      <c r="F431" s="262">
        <f t="shared" si="127"/>
        <v>9264.4</v>
      </c>
      <c r="G431" s="261"/>
      <c r="H431" s="261"/>
      <c r="I431" s="262"/>
      <c r="J431" s="262"/>
      <c r="K431" s="262"/>
      <c r="L431" s="261"/>
      <c r="M431" s="261"/>
    </row>
    <row r="432" spans="1:13" x14ac:dyDescent="0.25">
      <c r="A432" s="261"/>
      <c r="B432" s="592">
        <v>42537</v>
      </c>
      <c r="C432" s="261">
        <v>500</v>
      </c>
      <c r="D432" s="262">
        <v>11.71</v>
      </c>
      <c r="E432" s="262">
        <v>0</v>
      </c>
      <c r="F432" s="262">
        <f t="shared" si="127"/>
        <v>5855</v>
      </c>
      <c r="G432" s="266">
        <v>42537</v>
      </c>
      <c r="H432" s="267">
        <v>500</v>
      </c>
      <c r="I432" s="262">
        <v>11.95</v>
      </c>
      <c r="J432" s="262">
        <v>0.13</v>
      </c>
      <c r="K432" s="262">
        <f t="shared" ref="K432:K438" si="128">H432*I432-J432</f>
        <v>5974.87</v>
      </c>
      <c r="L432" s="261"/>
      <c r="M432" s="261"/>
    </row>
    <row r="433" spans="1:13" x14ac:dyDescent="0.25">
      <c r="A433" s="261"/>
      <c r="B433" s="592">
        <v>42541</v>
      </c>
      <c r="C433" s="261">
        <v>500</v>
      </c>
      <c r="D433" s="262">
        <v>12.4</v>
      </c>
      <c r="E433" s="262">
        <v>0</v>
      </c>
      <c r="F433" s="262">
        <f t="shared" si="127"/>
        <v>6200</v>
      </c>
      <c r="G433" s="266">
        <v>42541</v>
      </c>
      <c r="H433" s="267">
        <v>760</v>
      </c>
      <c r="I433" s="262">
        <v>12.63</v>
      </c>
      <c r="J433" s="262">
        <v>0.21</v>
      </c>
      <c r="K433" s="262">
        <f t="shared" si="128"/>
        <v>9598.590000000002</v>
      </c>
      <c r="L433" s="261"/>
      <c r="M433" s="261"/>
    </row>
    <row r="434" spans="1:13" x14ac:dyDescent="0.25">
      <c r="A434" s="261"/>
      <c r="B434" s="592">
        <v>42541</v>
      </c>
      <c r="C434" s="261">
        <v>100</v>
      </c>
      <c r="D434" s="262">
        <v>12.32</v>
      </c>
      <c r="E434" s="262">
        <v>0</v>
      </c>
      <c r="F434" s="262">
        <f t="shared" si="127"/>
        <v>1232</v>
      </c>
      <c r="G434" s="466">
        <v>42542</v>
      </c>
      <c r="H434" s="267">
        <v>600</v>
      </c>
      <c r="I434" s="262">
        <v>12.79</v>
      </c>
      <c r="J434" s="262">
        <v>0.17</v>
      </c>
      <c r="K434" s="262">
        <f t="shared" si="128"/>
        <v>7673.829999999999</v>
      </c>
      <c r="L434" s="261"/>
      <c r="M434" s="261"/>
    </row>
    <row r="435" spans="1:13" x14ac:dyDescent="0.25">
      <c r="A435" s="261"/>
      <c r="B435" s="592">
        <v>42545</v>
      </c>
      <c r="C435" s="261">
        <v>500</v>
      </c>
      <c r="D435" s="262">
        <v>13.52</v>
      </c>
      <c r="E435" s="262">
        <v>0</v>
      </c>
      <c r="F435" s="262">
        <f t="shared" si="127"/>
        <v>6760</v>
      </c>
      <c r="G435" s="266">
        <v>42544</v>
      </c>
      <c r="H435" s="267">
        <v>400</v>
      </c>
      <c r="I435" s="262">
        <v>13.42</v>
      </c>
      <c r="J435" s="262">
        <v>0.12</v>
      </c>
      <c r="K435" s="262">
        <f t="shared" si="128"/>
        <v>5367.88</v>
      </c>
      <c r="L435" s="261"/>
      <c r="M435" s="261"/>
    </row>
    <row r="436" spans="1:13" x14ac:dyDescent="0.25">
      <c r="A436" s="261"/>
      <c r="B436" s="592">
        <v>42545</v>
      </c>
      <c r="C436" s="261">
        <v>500</v>
      </c>
      <c r="D436" s="262">
        <v>13.46</v>
      </c>
      <c r="E436" s="262">
        <v>0</v>
      </c>
      <c r="F436" s="262">
        <f t="shared" si="127"/>
        <v>6730</v>
      </c>
      <c r="G436" s="266">
        <v>42544</v>
      </c>
      <c r="H436" s="267">
        <v>600</v>
      </c>
      <c r="I436" s="262">
        <v>13.78</v>
      </c>
      <c r="J436" s="262">
        <v>0.18</v>
      </c>
      <c r="K436" s="262">
        <f t="shared" si="128"/>
        <v>8267.82</v>
      </c>
      <c r="L436" s="261"/>
      <c r="M436" s="261"/>
    </row>
    <row r="437" spans="1:13" x14ac:dyDescent="0.25">
      <c r="A437" s="261"/>
      <c r="B437" s="592">
        <v>42545</v>
      </c>
      <c r="C437" s="261">
        <v>500</v>
      </c>
      <c r="D437" s="262">
        <v>13.32</v>
      </c>
      <c r="E437" s="262">
        <v>0</v>
      </c>
      <c r="F437" s="262">
        <f t="shared" si="127"/>
        <v>6660</v>
      </c>
      <c r="G437" s="266">
        <v>42544</v>
      </c>
      <c r="H437" s="267">
        <v>500</v>
      </c>
      <c r="I437" s="262">
        <v>14.05</v>
      </c>
      <c r="J437" s="262">
        <v>0.15</v>
      </c>
      <c r="K437" s="262">
        <f t="shared" si="128"/>
        <v>7024.85</v>
      </c>
      <c r="L437" s="261"/>
      <c r="M437" s="261"/>
    </row>
    <row r="438" spans="1:13" x14ac:dyDescent="0.25">
      <c r="A438" s="261"/>
      <c r="B438" s="592">
        <v>42548</v>
      </c>
      <c r="C438" s="261">
        <v>760</v>
      </c>
      <c r="D438" s="262">
        <v>12.81</v>
      </c>
      <c r="E438" s="262">
        <v>-3.8</v>
      </c>
      <c r="F438" s="262">
        <f t="shared" si="127"/>
        <v>9731.8000000000011</v>
      </c>
      <c r="G438" s="266">
        <v>42549</v>
      </c>
      <c r="H438" s="267">
        <v>760</v>
      </c>
      <c r="I438" s="262">
        <v>12.97</v>
      </c>
      <c r="J438" s="262">
        <v>0.21</v>
      </c>
      <c r="K438" s="262">
        <f t="shared" si="128"/>
        <v>9856.9900000000016</v>
      </c>
      <c r="L438" s="261"/>
      <c r="M438" s="261"/>
    </row>
    <row r="439" spans="1:13" x14ac:dyDescent="0.25">
      <c r="A439" s="261"/>
      <c r="B439" s="592">
        <v>42548</v>
      </c>
      <c r="C439" s="261">
        <v>500</v>
      </c>
      <c r="D439" s="262">
        <v>12.58</v>
      </c>
      <c r="E439" s="262">
        <v>0</v>
      </c>
      <c r="F439" s="262">
        <f t="shared" si="127"/>
        <v>6290</v>
      </c>
      <c r="G439" s="266">
        <v>42551</v>
      </c>
      <c r="H439" s="267">
        <v>500</v>
      </c>
      <c r="I439" s="262">
        <v>13.75</v>
      </c>
      <c r="J439" s="262">
        <v>7.1</v>
      </c>
      <c r="K439" s="262">
        <f>H439*I439-J439</f>
        <v>6867.9</v>
      </c>
      <c r="L439" s="261"/>
      <c r="M439" s="261"/>
    </row>
    <row r="440" spans="1:13" x14ac:dyDescent="0.25">
      <c r="A440" s="261"/>
      <c r="B440" s="592">
        <v>42551</v>
      </c>
      <c r="C440" s="261">
        <v>500</v>
      </c>
      <c r="D440" s="262">
        <v>12.42</v>
      </c>
      <c r="E440" s="262">
        <v>6.95</v>
      </c>
      <c r="F440" s="262">
        <f t="shared" si="127"/>
        <v>6216.95</v>
      </c>
      <c r="G440" s="261"/>
      <c r="H440" s="261"/>
      <c r="I440" s="262"/>
      <c r="J440" s="262"/>
      <c r="K440" s="262"/>
      <c r="L440" s="261"/>
      <c r="M440" s="261"/>
    </row>
    <row r="441" spans="1:13" x14ac:dyDescent="0.25">
      <c r="A441" s="261"/>
      <c r="B441" s="592">
        <v>42556</v>
      </c>
      <c r="C441" s="267">
        <v>500</v>
      </c>
      <c r="D441" s="262">
        <v>11.88</v>
      </c>
      <c r="E441" s="262">
        <v>-2.5</v>
      </c>
      <c r="F441" s="262">
        <f t="shared" si="127"/>
        <v>5937.5</v>
      </c>
      <c r="G441" s="261"/>
      <c r="H441" s="261"/>
      <c r="I441" s="262"/>
      <c r="J441" s="262"/>
      <c r="K441" s="262"/>
      <c r="L441" s="261"/>
      <c r="M441" s="261"/>
    </row>
    <row r="442" spans="1:13" x14ac:dyDescent="0.25">
      <c r="A442" s="261"/>
      <c r="B442" s="592">
        <v>42558</v>
      </c>
      <c r="C442" s="261">
        <v>500</v>
      </c>
      <c r="D442" s="262">
        <v>12.28</v>
      </c>
      <c r="E442" s="262">
        <v>0</v>
      </c>
      <c r="F442" s="262">
        <f t="shared" si="127"/>
        <v>6140</v>
      </c>
      <c r="G442" s="266">
        <v>42558</v>
      </c>
      <c r="H442" s="267">
        <v>1000</v>
      </c>
      <c r="I442" s="262">
        <v>12.48</v>
      </c>
      <c r="J442" s="262">
        <v>0.27</v>
      </c>
      <c r="K442" s="262">
        <f t="shared" ref="K442:K474" si="129">H442*I442-J442</f>
        <v>12479.73</v>
      </c>
      <c r="L442" s="261"/>
      <c r="M442" s="261"/>
    </row>
    <row r="443" spans="1:13" x14ac:dyDescent="0.25">
      <c r="A443" s="261"/>
      <c r="B443" s="592">
        <v>42578</v>
      </c>
      <c r="C443" s="261">
        <v>200</v>
      </c>
      <c r="D443" s="262">
        <v>14.12</v>
      </c>
      <c r="E443" s="262">
        <v>0</v>
      </c>
      <c r="F443" s="262">
        <f t="shared" ref="F443:F470" si="130">C443*D443+E443</f>
        <v>2824</v>
      </c>
      <c r="G443" s="266">
        <v>42576</v>
      </c>
      <c r="H443" s="267">
        <v>500</v>
      </c>
      <c r="I443" s="262">
        <v>13.82</v>
      </c>
      <c r="J443" s="262">
        <v>0.15</v>
      </c>
      <c r="K443" s="262">
        <f t="shared" si="129"/>
        <v>6909.85</v>
      </c>
      <c r="L443" s="261"/>
      <c r="M443" s="261"/>
    </row>
    <row r="444" spans="1:13" x14ac:dyDescent="0.25">
      <c r="A444" s="266"/>
      <c r="B444" s="592">
        <v>42579</v>
      </c>
      <c r="C444" s="261">
        <v>300</v>
      </c>
      <c r="D444" s="262">
        <v>13.82</v>
      </c>
      <c r="E444" s="262">
        <v>0</v>
      </c>
      <c r="F444" s="262">
        <f t="shared" si="130"/>
        <v>4146</v>
      </c>
      <c r="G444" s="266">
        <v>42577</v>
      </c>
      <c r="H444" s="261">
        <v>500</v>
      </c>
      <c r="I444" s="262">
        <v>14.33</v>
      </c>
      <c r="J444" s="262">
        <v>0.16</v>
      </c>
      <c r="K444" s="262">
        <f t="shared" si="129"/>
        <v>7164.84</v>
      </c>
      <c r="L444" s="261"/>
      <c r="M444" s="261"/>
    </row>
    <row r="445" spans="1:13" x14ac:dyDescent="0.25">
      <c r="A445" s="261"/>
      <c r="B445" s="592">
        <v>42579</v>
      </c>
      <c r="C445" s="261">
        <v>300</v>
      </c>
      <c r="D445" s="262">
        <v>13.82</v>
      </c>
      <c r="E445" s="262">
        <v>0</v>
      </c>
      <c r="F445" s="262">
        <f t="shared" si="130"/>
        <v>4146</v>
      </c>
      <c r="G445" s="266">
        <v>42577</v>
      </c>
      <c r="H445" s="261">
        <v>300</v>
      </c>
      <c r="I445" s="262">
        <v>14.58</v>
      </c>
      <c r="J445" s="262">
        <v>0.1</v>
      </c>
      <c r="K445" s="262">
        <f t="shared" si="129"/>
        <v>4373.8999999999996</v>
      </c>
      <c r="L445" s="261"/>
      <c r="M445" s="261"/>
    </row>
    <row r="446" spans="1:13" x14ac:dyDescent="0.25">
      <c r="A446" s="261"/>
      <c r="B446" s="592">
        <v>42580</v>
      </c>
      <c r="C446" s="261">
        <v>500</v>
      </c>
      <c r="D446" s="262">
        <v>13.62</v>
      </c>
      <c r="E446" s="262">
        <v>0</v>
      </c>
      <c r="F446" s="262">
        <f t="shared" si="130"/>
        <v>6810</v>
      </c>
      <c r="G446" s="266">
        <v>42586</v>
      </c>
      <c r="H446" s="261">
        <v>200</v>
      </c>
      <c r="I446" s="262">
        <v>13.89</v>
      </c>
      <c r="J446" s="262">
        <v>-0.54</v>
      </c>
      <c r="K446" s="262">
        <f t="shared" si="129"/>
        <v>2778.54</v>
      </c>
      <c r="L446" s="261"/>
      <c r="M446" s="261"/>
    </row>
    <row r="447" spans="1:13" x14ac:dyDescent="0.25">
      <c r="A447" s="261"/>
      <c r="B447" s="592">
        <v>42584</v>
      </c>
      <c r="C447" s="261">
        <v>200</v>
      </c>
      <c r="D447" s="262">
        <v>13.08</v>
      </c>
      <c r="E447" s="262">
        <v>0</v>
      </c>
      <c r="F447" s="262">
        <f t="shared" si="130"/>
        <v>2616</v>
      </c>
      <c r="G447" s="266">
        <v>42587</v>
      </c>
      <c r="H447" s="261">
        <v>500</v>
      </c>
      <c r="I447" s="262">
        <v>14.65</v>
      </c>
      <c r="J447" s="262">
        <v>0.16</v>
      </c>
      <c r="K447" s="262">
        <f t="shared" si="129"/>
        <v>7324.84</v>
      </c>
      <c r="L447" s="261"/>
      <c r="M447" s="261"/>
    </row>
    <row r="448" spans="1:13" x14ac:dyDescent="0.25">
      <c r="A448" s="261"/>
      <c r="B448" s="592">
        <v>42599</v>
      </c>
      <c r="C448" s="261">
        <v>500</v>
      </c>
      <c r="D448" s="262">
        <v>15.6</v>
      </c>
      <c r="E448" s="262">
        <v>0</v>
      </c>
      <c r="F448" s="262">
        <f t="shared" si="130"/>
        <v>7800</v>
      </c>
      <c r="G448" s="266">
        <v>42593</v>
      </c>
      <c r="H448" s="261">
        <v>500</v>
      </c>
      <c r="I448" s="262">
        <v>14.45</v>
      </c>
      <c r="J448" s="262">
        <v>0.16</v>
      </c>
      <c r="K448" s="262">
        <f t="shared" si="129"/>
        <v>7224.84</v>
      </c>
      <c r="L448" s="261"/>
      <c r="M448" s="657" t="s">
        <v>273</v>
      </c>
    </row>
    <row r="449" spans="1:13" x14ac:dyDescent="0.25">
      <c r="A449" s="261"/>
      <c r="B449" s="592">
        <v>42619</v>
      </c>
      <c r="C449" s="261">
        <v>200</v>
      </c>
      <c r="D449" s="262">
        <v>16.850000000000001</v>
      </c>
      <c r="E449" s="262">
        <v>0</v>
      </c>
      <c r="F449" s="262">
        <f t="shared" si="130"/>
        <v>3370.0000000000005</v>
      </c>
      <c r="G449" s="266">
        <v>42594</v>
      </c>
      <c r="H449" s="261">
        <v>500</v>
      </c>
      <c r="I449" s="262">
        <v>14.88</v>
      </c>
      <c r="J449" s="262">
        <v>0.16</v>
      </c>
      <c r="K449" s="262">
        <f t="shared" si="129"/>
        <v>7439.84</v>
      </c>
      <c r="L449" s="261"/>
      <c r="M449" s="657"/>
    </row>
    <row r="450" spans="1:13" x14ac:dyDescent="0.25">
      <c r="A450" s="261"/>
      <c r="B450" s="592">
        <v>42619</v>
      </c>
      <c r="C450" s="261">
        <v>300</v>
      </c>
      <c r="D450" s="262">
        <v>16.850000000000001</v>
      </c>
      <c r="E450" s="262">
        <v>0</v>
      </c>
      <c r="F450" s="262">
        <f t="shared" si="130"/>
        <v>5055</v>
      </c>
      <c r="G450" s="266">
        <v>42594</v>
      </c>
      <c r="H450" s="261">
        <v>500</v>
      </c>
      <c r="I450" s="262">
        <v>14.98</v>
      </c>
      <c r="J450" s="262">
        <v>0.16</v>
      </c>
      <c r="K450" s="262">
        <f t="shared" si="129"/>
        <v>7489.84</v>
      </c>
      <c r="L450" s="261"/>
      <c r="M450" s="657"/>
    </row>
    <row r="451" spans="1:13" x14ac:dyDescent="0.25">
      <c r="A451" s="261"/>
      <c r="B451" s="592">
        <v>42620</v>
      </c>
      <c r="C451" s="261">
        <v>500</v>
      </c>
      <c r="D451" s="262">
        <v>17.12</v>
      </c>
      <c r="E451" s="262">
        <v>0</v>
      </c>
      <c r="F451" s="262">
        <f t="shared" si="130"/>
        <v>8560</v>
      </c>
      <c r="G451" s="266">
        <v>42597</v>
      </c>
      <c r="H451" s="261">
        <v>500</v>
      </c>
      <c r="I451" s="262">
        <v>15.48</v>
      </c>
      <c r="J451" s="262">
        <v>0.17</v>
      </c>
      <c r="K451" s="262">
        <f t="shared" si="129"/>
        <v>7739.83</v>
      </c>
      <c r="L451" s="261"/>
      <c r="M451" s="657"/>
    </row>
    <row r="452" spans="1:13" x14ac:dyDescent="0.25">
      <c r="A452" s="261"/>
      <c r="B452" s="592">
        <v>42622</v>
      </c>
      <c r="C452" s="261">
        <v>500</v>
      </c>
      <c r="D452" s="262">
        <v>17.05</v>
      </c>
      <c r="E452" s="262">
        <v>-2.5</v>
      </c>
      <c r="F452" s="262">
        <f t="shared" si="130"/>
        <v>8522.5</v>
      </c>
      <c r="G452" s="266">
        <v>42599</v>
      </c>
      <c r="H452" s="261">
        <v>500</v>
      </c>
      <c r="I452" s="262">
        <v>15.75</v>
      </c>
      <c r="J452" s="262">
        <v>0.17</v>
      </c>
      <c r="K452" s="262">
        <f t="shared" si="129"/>
        <v>7874.83</v>
      </c>
      <c r="L452" s="261"/>
      <c r="M452" s="261"/>
    </row>
    <row r="453" spans="1:13" x14ac:dyDescent="0.25">
      <c r="A453" s="261"/>
      <c r="B453" s="592">
        <v>42626</v>
      </c>
      <c r="C453" s="261">
        <v>100</v>
      </c>
      <c r="D453" s="262">
        <v>16.48</v>
      </c>
      <c r="E453" s="262">
        <v>0</v>
      </c>
      <c r="F453" s="262">
        <f t="shared" si="130"/>
        <v>1648</v>
      </c>
      <c r="G453" s="266">
        <v>42619</v>
      </c>
      <c r="H453" s="261">
        <v>500</v>
      </c>
      <c r="I453" s="262">
        <v>17.079999999999998</v>
      </c>
      <c r="J453" s="262">
        <v>0.19</v>
      </c>
      <c r="K453" s="262">
        <f t="shared" si="129"/>
        <v>8539.81</v>
      </c>
      <c r="L453" s="261"/>
      <c r="M453" s="261"/>
    </row>
    <row r="454" spans="1:13" x14ac:dyDescent="0.25">
      <c r="A454" s="261"/>
      <c r="B454" s="592">
        <v>42641</v>
      </c>
      <c r="C454" s="261">
        <v>200</v>
      </c>
      <c r="D454" s="262">
        <v>17.260000000000002</v>
      </c>
      <c r="E454" s="262">
        <v>-0.68</v>
      </c>
      <c r="F454" s="262">
        <f t="shared" si="130"/>
        <v>3451.3200000000006</v>
      </c>
      <c r="G454" s="266">
        <v>42620</v>
      </c>
      <c r="H454" s="261">
        <v>500</v>
      </c>
      <c r="I454" s="262">
        <v>17.28</v>
      </c>
      <c r="J454" s="262">
        <v>0.19</v>
      </c>
      <c r="K454" s="262">
        <f t="shared" si="129"/>
        <v>8639.81</v>
      </c>
      <c r="L454" s="261"/>
      <c r="M454" s="261"/>
    </row>
    <row r="455" spans="1:13" x14ac:dyDescent="0.25">
      <c r="A455" s="261"/>
      <c r="B455" s="592">
        <v>42647</v>
      </c>
      <c r="C455" s="261">
        <v>200</v>
      </c>
      <c r="D455" s="262">
        <v>17.079999999999998</v>
      </c>
      <c r="E455" s="262">
        <v>0</v>
      </c>
      <c r="F455" s="262">
        <f t="shared" si="130"/>
        <v>3415.9999999999995</v>
      </c>
      <c r="G455" s="266">
        <v>42621</v>
      </c>
      <c r="H455" s="261">
        <v>500</v>
      </c>
      <c r="I455" s="262">
        <v>17.43</v>
      </c>
      <c r="J455" s="262">
        <v>0.19</v>
      </c>
      <c r="K455" s="262">
        <f t="shared" si="129"/>
        <v>8714.81</v>
      </c>
      <c r="L455" s="261"/>
      <c r="M455" s="261"/>
    </row>
    <row r="456" spans="1:13" x14ac:dyDescent="0.25">
      <c r="A456" s="261"/>
      <c r="B456" s="592">
        <v>42654</v>
      </c>
      <c r="C456" s="261">
        <v>200</v>
      </c>
      <c r="D456" s="262">
        <v>16.68</v>
      </c>
      <c r="E456" s="262">
        <v>0</v>
      </c>
      <c r="F456" s="262">
        <f t="shared" si="130"/>
        <v>3336</v>
      </c>
      <c r="G456" s="266">
        <v>42634</v>
      </c>
      <c r="H456" s="261">
        <v>500</v>
      </c>
      <c r="I456" s="262">
        <v>17.63</v>
      </c>
      <c r="J456" s="262">
        <v>2.69</v>
      </c>
      <c r="K456" s="262">
        <f t="shared" si="129"/>
        <v>8812.31</v>
      </c>
      <c r="L456" s="261"/>
      <c r="M456" s="261"/>
    </row>
    <row r="457" spans="1:13" x14ac:dyDescent="0.25">
      <c r="A457" s="261"/>
      <c r="B457" s="592">
        <v>42670</v>
      </c>
      <c r="C457" s="261">
        <v>150</v>
      </c>
      <c r="D457" s="262">
        <v>17.510000000000002</v>
      </c>
      <c r="E457" s="262">
        <v>0</v>
      </c>
      <c r="F457" s="262">
        <f t="shared" si="130"/>
        <v>2626.5000000000005</v>
      </c>
      <c r="G457" s="266">
        <v>42662</v>
      </c>
      <c r="H457" s="267">
        <v>200</v>
      </c>
      <c r="I457" s="262">
        <v>17.239999999999998</v>
      </c>
      <c r="J457" s="262">
        <v>0.08</v>
      </c>
      <c r="K457" s="262">
        <f t="shared" si="129"/>
        <v>3447.9199999999996</v>
      </c>
      <c r="L457" s="261"/>
      <c r="M457" s="261"/>
    </row>
    <row r="458" spans="1:13" x14ac:dyDescent="0.25">
      <c r="A458" s="261"/>
      <c r="B458" s="592">
        <v>42670</v>
      </c>
      <c r="C458" s="261">
        <v>200</v>
      </c>
      <c r="D458" s="262">
        <v>17.510000000000002</v>
      </c>
      <c r="E458" s="262">
        <v>0</v>
      </c>
      <c r="F458" s="262">
        <f t="shared" si="130"/>
        <v>3502.0000000000005</v>
      </c>
      <c r="G458" s="266">
        <v>42668</v>
      </c>
      <c r="H458" s="261">
        <v>200</v>
      </c>
      <c r="I458" s="262">
        <v>17.55</v>
      </c>
      <c r="J458" s="262">
        <v>0.08</v>
      </c>
      <c r="K458" s="262">
        <f t="shared" si="129"/>
        <v>3509.92</v>
      </c>
      <c r="L458" s="261"/>
      <c r="M458" s="261"/>
    </row>
    <row r="459" spans="1:13" x14ac:dyDescent="0.25">
      <c r="A459" s="261"/>
      <c r="B459" s="592">
        <v>42670</v>
      </c>
      <c r="C459" s="261">
        <v>450</v>
      </c>
      <c r="D459" s="262">
        <v>17.510000000000002</v>
      </c>
      <c r="E459" s="262">
        <v>0</v>
      </c>
      <c r="F459" s="262">
        <f t="shared" si="130"/>
        <v>7879.5000000000009</v>
      </c>
      <c r="G459" s="266">
        <v>42669</v>
      </c>
      <c r="H459" s="261">
        <v>800</v>
      </c>
      <c r="I459" s="262">
        <v>17.760000000000002</v>
      </c>
      <c r="J459" s="262">
        <v>0.31</v>
      </c>
      <c r="K459" s="262">
        <f t="shared" si="129"/>
        <v>14207.690000000002</v>
      </c>
      <c r="L459" s="261"/>
      <c r="M459" s="261"/>
    </row>
    <row r="460" spans="1:13" x14ac:dyDescent="0.25">
      <c r="A460" s="261"/>
      <c r="B460" s="592">
        <v>42670</v>
      </c>
      <c r="C460" s="261">
        <v>200</v>
      </c>
      <c r="D460" s="262">
        <v>17.420000000000002</v>
      </c>
      <c r="E460" s="262">
        <v>0</v>
      </c>
      <c r="F460" s="262">
        <f t="shared" si="130"/>
        <v>3484.0000000000005</v>
      </c>
      <c r="G460" s="266">
        <v>42671</v>
      </c>
      <c r="H460" s="261">
        <v>400</v>
      </c>
      <c r="I460" s="262">
        <v>17.64</v>
      </c>
      <c r="J460" s="262">
        <v>0.15</v>
      </c>
      <c r="K460" s="262">
        <f t="shared" si="129"/>
        <v>7055.85</v>
      </c>
      <c r="L460" s="261"/>
      <c r="M460" s="261"/>
    </row>
    <row r="461" spans="1:13" x14ac:dyDescent="0.25">
      <c r="A461" s="261"/>
      <c r="B461" s="592">
        <v>42671</v>
      </c>
      <c r="C461" s="261">
        <v>400</v>
      </c>
      <c r="D461" s="262">
        <v>17.3</v>
      </c>
      <c r="E461" s="262">
        <v>0</v>
      </c>
      <c r="F461" s="262">
        <f t="shared" si="130"/>
        <v>6920</v>
      </c>
      <c r="G461" s="266">
        <v>42675</v>
      </c>
      <c r="H461" s="261">
        <v>200</v>
      </c>
      <c r="I461" s="262">
        <v>16.989999999999998</v>
      </c>
      <c r="J461" s="262">
        <v>7.0000000000000007E-2</v>
      </c>
      <c r="K461" s="262">
        <f t="shared" si="129"/>
        <v>3397.9299999999994</v>
      </c>
      <c r="L461" s="261"/>
      <c r="M461" s="261"/>
    </row>
    <row r="462" spans="1:13" x14ac:dyDescent="0.25">
      <c r="A462" s="261"/>
      <c r="B462" s="592">
        <v>42675</v>
      </c>
      <c r="C462" s="261">
        <v>200</v>
      </c>
      <c r="D462" s="262">
        <v>16.89</v>
      </c>
      <c r="E462" s="262">
        <v>0</v>
      </c>
      <c r="F462" s="262">
        <f t="shared" si="130"/>
        <v>3378</v>
      </c>
      <c r="G462" s="266">
        <v>42678</v>
      </c>
      <c r="H462" s="261">
        <v>200</v>
      </c>
      <c r="I462" s="262">
        <v>17</v>
      </c>
      <c r="J462" s="262">
        <v>7.0000000000000007E-2</v>
      </c>
      <c r="K462" s="262">
        <f t="shared" si="129"/>
        <v>3399.93</v>
      </c>
      <c r="L462" s="261"/>
      <c r="M462" s="261"/>
    </row>
    <row r="463" spans="1:13" x14ac:dyDescent="0.25">
      <c r="A463" s="261"/>
      <c r="B463" s="592">
        <v>42678</v>
      </c>
      <c r="C463" s="261">
        <v>200</v>
      </c>
      <c r="D463" s="262">
        <v>16.8</v>
      </c>
      <c r="E463" s="262">
        <v>0</v>
      </c>
      <c r="F463" s="262">
        <f t="shared" si="130"/>
        <v>3360</v>
      </c>
      <c r="G463" s="266">
        <v>42685</v>
      </c>
      <c r="H463" s="261">
        <v>200</v>
      </c>
      <c r="I463" s="262">
        <v>17.579999999999998</v>
      </c>
      <c r="J463" s="262">
        <v>0.08</v>
      </c>
      <c r="K463" s="262">
        <f t="shared" si="129"/>
        <v>3515.9199999999996</v>
      </c>
      <c r="L463" s="261"/>
      <c r="M463" s="261"/>
    </row>
    <row r="464" spans="1:13" x14ac:dyDescent="0.25">
      <c r="A464" s="261"/>
      <c r="B464" s="592">
        <v>42705</v>
      </c>
      <c r="C464" s="261">
        <v>150</v>
      </c>
      <c r="D464" s="262">
        <v>19.079999999999998</v>
      </c>
      <c r="E464" s="262">
        <v>0</v>
      </c>
      <c r="F464" s="262">
        <f t="shared" si="130"/>
        <v>2861.9999999999995</v>
      </c>
      <c r="G464" s="266">
        <v>42702</v>
      </c>
      <c r="H464" s="261">
        <v>150</v>
      </c>
      <c r="I464" s="262">
        <v>20.11</v>
      </c>
      <c r="J464" s="262">
        <v>7.0000000000000007E-2</v>
      </c>
      <c r="K464" s="262">
        <f t="shared" si="129"/>
        <v>3016.43</v>
      </c>
      <c r="L464" s="261"/>
      <c r="M464" s="261"/>
    </row>
    <row r="465" spans="1:13" x14ac:dyDescent="0.25">
      <c r="A465" s="261"/>
      <c r="B465" s="592">
        <v>42705</v>
      </c>
      <c r="C465" s="261">
        <v>200</v>
      </c>
      <c r="D465" s="262">
        <v>18.2</v>
      </c>
      <c r="E465" s="262">
        <v>0</v>
      </c>
      <c r="F465" s="262">
        <f t="shared" si="130"/>
        <v>3640</v>
      </c>
      <c r="G465" s="266">
        <v>42706</v>
      </c>
      <c r="H465" s="261">
        <v>200</v>
      </c>
      <c r="I465" s="262">
        <v>18.79</v>
      </c>
      <c r="J465" s="262">
        <v>0.08</v>
      </c>
      <c r="K465" s="262">
        <f t="shared" si="129"/>
        <v>3757.92</v>
      </c>
      <c r="L465" s="261"/>
      <c r="M465" s="261"/>
    </row>
    <row r="466" spans="1:13" x14ac:dyDescent="0.25">
      <c r="A466" s="261"/>
      <c r="B466" s="592"/>
      <c r="C466" s="261"/>
      <c r="D466" s="262"/>
      <c r="E466" s="262"/>
      <c r="F466" s="262">
        <f t="shared" si="130"/>
        <v>0</v>
      </c>
      <c r="G466" s="266">
        <v>42710</v>
      </c>
      <c r="H466" s="261">
        <v>200</v>
      </c>
      <c r="I466" s="262">
        <v>18.98</v>
      </c>
      <c r="J466" s="262">
        <v>0.08</v>
      </c>
      <c r="K466" s="262">
        <f t="shared" si="129"/>
        <v>3795.92</v>
      </c>
      <c r="L466" s="261"/>
      <c r="M466" s="261"/>
    </row>
    <row r="467" spans="1:13" x14ac:dyDescent="0.25">
      <c r="A467" s="261"/>
      <c r="B467" s="592"/>
      <c r="C467" s="261"/>
      <c r="D467" s="262"/>
      <c r="E467" s="262"/>
      <c r="F467" s="262">
        <f t="shared" si="130"/>
        <v>0</v>
      </c>
      <c r="G467" s="659" t="s">
        <v>344</v>
      </c>
      <c r="H467" s="261">
        <v>100</v>
      </c>
      <c r="I467" s="262">
        <v>19.68</v>
      </c>
      <c r="J467" s="262">
        <v>0.04</v>
      </c>
      <c r="K467" s="262">
        <f t="shared" si="129"/>
        <v>1967.96</v>
      </c>
      <c r="L467" s="261"/>
      <c r="M467" s="261"/>
    </row>
    <row r="468" spans="1:13" x14ac:dyDescent="0.25">
      <c r="A468" s="261"/>
      <c r="B468" s="592"/>
      <c r="C468" s="261"/>
      <c r="D468" s="262"/>
      <c r="E468" s="262"/>
      <c r="F468" s="262">
        <f t="shared" si="130"/>
        <v>0</v>
      </c>
      <c r="G468" s="659"/>
      <c r="H468" s="261">
        <v>200</v>
      </c>
      <c r="I468" s="262">
        <v>19.88</v>
      </c>
      <c r="J468" s="262">
        <v>0.09</v>
      </c>
      <c r="K468" s="262">
        <f t="shared" si="129"/>
        <v>3975.91</v>
      </c>
      <c r="L468" s="261"/>
      <c r="M468" s="261"/>
    </row>
    <row r="469" spans="1:13" x14ac:dyDescent="0.25">
      <c r="A469" s="261"/>
      <c r="B469" s="592"/>
      <c r="C469" s="261"/>
      <c r="D469" s="262"/>
      <c r="E469" s="262"/>
      <c r="F469" s="262">
        <f t="shared" si="130"/>
        <v>0</v>
      </c>
      <c r="G469" s="659"/>
      <c r="H469" s="261">
        <v>200</v>
      </c>
      <c r="I469" s="262">
        <v>20.32</v>
      </c>
      <c r="J469" s="262">
        <v>0.09</v>
      </c>
      <c r="K469" s="262">
        <f t="shared" si="129"/>
        <v>4063.91</v>
      </c>
      <c r="L469" s="261"/>
      <c r="M469" s="261"/>
    </row>
    <row r="470" spans="1:13" x14ac:dyDescent="0.25">
      <c r="A470" s="261"/>
      <c r="B470" s="592"/>
      <c r="C470" s="261"/>
      <c r="D470" s="262"/>
      <c r="E470" s="262"/>
      <c r="F470" s="262">
        <f t="shared" si="130"/>
        <v>0</v>
      </c>
      <c r="G470" s="659"/>
      <c r="H470" s="261">
        <v>300</v>
      </c>
      <c r="I470" s="262">
        <v>20.53</v>
      </c>
      <c r="J470" s="262">
        <v>0.13</v>
      </c>
      <c r="K470" s="262">
        <f t="shared" si="129"/>
        <v>6158.87</v>
      </c>
      <c r="L470" s="261"/>
      <c r="M470" s="261"/>
    </row>
    <row r="471" spans="1:13" x14ac:dyDescent="0.25">
      <c r="A471" s="261"/>
      <c r="B471" s="592"/>
      <c r="C471" s="261"/>
      <c r="D471" s="262"/>
      <c r="E471" s="262"/>
      <c r="F471" s="262"/>
      <c r="G471" s="266">
        <v>42716</v>
      </c>
      <c r="H471" s="261">
        <v>200</v>
      </c>
      <c r="I471" s="262">
        <v>19.899999999999999</v>
      </c>
      <c r="J471" s="262">
        <v>0.09</v>
      </c>
      <c r="K471" s="262">
        <f t="shared" si="129"/>
        <v>3979.9099999999994</v>
      </c>
      <c r="L471" s="261"/>
      <c r="M471" s="261"/>
    </row>
    <row r="472" spans="1:13" x14ac:dyDescent="0.25">
      <c r="A472" s="261"/>
      <c r="B472" s="592"/>
      <c r="C472" s="261"/>
      <c r="D472" s="261"/>
      <c r="E472" s="261"/>
      <c r="F472" s="261"/>
      <c r="G472" s="266">
        <v>42716</v>
      </c>
      <c r="H472" s="261">
        <v>150</v>
      </c>
      <c r="I472" s="262">
        <v>19.989999999999998</v>
      </c>
      <c r="J472" s="262">
        <v>7.0000000000000007E-2</v>
      </c>
      <c r="K472" s="262">
        <f t="shared" si="129"/>
        <v>2998.4299999999994</v>
      </c>
      <c r="L472" s="261"/>
      <c r="M472" s="261"/>
    </row>
    <row r="473" spans="1:13" x14ac:dyDescent="0.25">
      <c r="A473" s="261"/>
      <c r="B473" s="592"/>
      <c r="C473" s="261"/>
      <c r="D473" s="261"/>
      <c r="E473" s="261"/>
      <c r="F473" s="261"/>
      <c r="G473" s="266">
        <v>42717</v>
      </c>
      <c r="H473" s="261">
        <v>100</v>
      </c>
      <c r="I473" s="262">
        <v>20.350000000000001</v>
      </c>
      <c r="J473" s="262">
        <v>0.04</v>
      </c>
      <c r="K473" s="262">
        <f t="shared" si="129"/>
        <v>2034.9600000000003</v>
      </c>
      <c r="L473" s="261"/>
      <c r="M473" s="261"/>
    </row>
    <row r="474" spans="1:13" x14ac:dyDescent="0.25">
      <c r="A474" s="261"/>
      <c r="B474" s="592"/>
      <c r="C474" s="261"/>
      <c r="D474" s="261"/>
      <c r="E474" s="261"/>
      <c r="F474" s="261"/>
      <c r="G474" s="266">
        <v>42738</v>
      </c>
      <c r="H474" s="261">
        <v>350</v>
      </c>
      <c r="I474" s="262">
        <v>22.58</v>
      </c>
      <c r="J474" s="262">
        <v>0.55000000000000004</v>
      </c>
      <c r="K474" s="262">
        <f t="shared" si="129"/>
        <v>7902.4499999999989</v>
      </c>
      <c r="L474" s="261"/>
      <c r="M474" s="261"/>
    </row>
    <row r="475" spans="1:13" x14ac:dyDescent="0.25">
      <c r="A475" s="261"/>
      <c r="B475" s="592"/>
      <c r="C475" s="261"/>
      <c r="D475" s="261"/>
      <c r="E475" s="261"/>
      <c r="F475" s="261"/>
      <c r="G475" s="261"/>
      <c r="H475" s="261"/>
      <c r="I475" s="262"/>
      <c r="J475" s="262"/>
      <c r="K475" s="262"/>
      <c r="L475" s="261"/>
      <c r="M475" s="261"/>
    </row>
    <row r="476" spans="1:13" x14ac:dyDescent="0.25">
      <c r="A476" s="261"/>
      <c r="B476" s="592">
        <v>42710</v>
      </c>
      <c r="C476" s="261">
        <v>200</v>
      </c>
      <c r="D476" s="262">
        <v>18.75</v>
      </c>
      <c r="E476" s="262">
        <v>0</v>
      </c>
      <c r="F476" s="262">
        <f t="shared" ref="F476:F479" si="131">C476*D476+E476</f>
        <v>3750</v>
      </c>
      <c r="G476" s="592">
        <v>42759</v>
      </c>
      <c r="H476" s="261">
        <v>200</v>
      </c>
      <c r="I476" s="262">
        <v>22.97</v>
      </c>
      <c r="J476" s="262">
        <v>0.1</v>
      </c>
      <c r="K476" s="262">
        <f>H476*I476-J476</f>
        <v>4593.8999999999996</v>
      </c>
      <c r="L476" s="261"/>
      <c r="M476" s="261"/>
    </row>
    <row r="477" spans="1:13" x14ac:dyDescent="0.25">
      <c r="A477" s="261"/>
      <c r="B477" s="592">
        <v>42716</v>
      </c>
      <c r="C477" s="261">
        <v>200</v>
      </c>
      <c r="D477" s="262">
        <v>20.100000000000001</v>
      </c>
      <c r="E477" s="262">
        <v>-1</v>
      </c>
      <c r="F477" s="262">
        <f t="shared" si="131"/>
        <v>4019.0000000000005</v>
      </c>
      <c r="G477" s="592">
        <v>42760</v>
      </c>
      <c r="H477" s="267">
        <v>600</v>
      </c>
      <c r="I477" s="262">
        <v>23.78</v>
      </c>
      <c r="J477" s="262">
        <v>0.31</v>
      </c>
      <c r="K477" s="262">
        <f>H477*I477-J477</f>
        <v>14267.69</v>
      </c>
      <c r="L477" s="261"/>
      <c r="M477" s="261"/>
    </row>
    <row r="478" spans="1:13" x14ac:dyDescent="0.25">
      <c r="A478" s="261"/>
      <c r="B478" s="592">
        <v>42716</v>
      </c>
      <c r="C478" s="261">
        <v>200</v>
      </c>
      <c r="D478" s="262">
        <v>19.850000000000001</v>
      </c>
      <c r="E478" s="262">
        <v>0</v>
      </c>
      <c r="F478" s="262">
        <f t="shared" si="131"/>
        <v>3970.0000000000005</v>
      </c>
      <c r="G478" s="592">
        <v>42762</v>
      </c>
      <c r="H478" s="267">
        <v>400</v>
      </c>
      <c r="I478" s="262">
        <v>23.98</v>
      </c>
      <c r="J478" s="262">
        <v>0.21</v>
      </c>
      <c r="K478" s="262">
        <f>H478*I478-J478</f>
        <v>9591.7900000000009</v>
      </c>
      <c r="L478" s="261"/>
      <c r="M478" s="261"/>
    </row>
    <row r="479" spans="1:13" x14ac:dyDescent="0.25">
      <c r="A479" s="261"/>
      <c r="B479" s="592">
        <v>42716</v>
      </c>
      <c r="C479" s="261">
        <v>600</v>
      </c>
      <c r="D479" s="262">
        <v>19.600000000000001</v>
      </c>
      <c r="E479" s="262">
        <v>0</v>
      </c>
      <c r="F479" s="262">
        <f t="shared" si="131"/>
        <v>11760</v>
      </c>
      <c r="G479" s="266"/>
      <c r="H479" s="261"/>
      <c r="I479" s="262"/>
      <c r="J479" s="262"/>
      <c r="K479" s="262"/>
      <c r="L479" s="261"/>
      <c r="M479" s="261"/>
    </row>
    <row r="480" spans="1:13" x14ac:dyDescent="0.25">
      <c r="A480" s="261"/>
      <c r="B480" s="592"/>
      <c r="C480" s="261"/>
      <c r="D480" s="261"/>
      <c r="E480" s="261"/>
      <c r="F480" s="261"/>
      <c r="G480" s="261"/>
      <c r="H480" s="261"/>
      <c r="I480" s="262"/>
      <c r="J480" s="262"/>
      <c r="K480" s="262"/>
      <c r="L480" s="261"/>
      <c r="M480" s="261"/>
    </row>
    <row r="481" spans="1:13" x14ac:dyDescent="0.25">
      <c r="A481" s="261"/>
      <c r="B481" s="592"/>
      <c r="C481" s="261"/>
      <c r="D481" s="261"/>
      <c r="E481" s="261"/>
      <c r="F481" s="261"/>
      <c r="G481" s="261"/>
      <c r="H481" s="261"/>
      <c r="I481" s="262"/>
      <c r="J481" s="262"/>
      <c r="K481" s="262"/>
      <c r="L481" s="261"/>
      <c r="M481" s="261"/>
    </row>
    <row r="482" spans="1:13" x14ac:dyDescent="0.25">
      <c r="A482" s="261"/>
      <c r="B482" s="592"/>
      <c r="C482" s="261"/>
      <c r="D482" s="261"/>
      <c r="E482" s="261"/>
      <c r="F482" s="261"/>
      <c r="G482" s="261"/>
      <c r="H482" s="261"/>
      <c r="I482" s="262"/>
      <c r="J482" s="262"/>
      <c r="K482" s="262"/>
      <c r="L482" s="261"/>
      <c r="M482" s="261"/>
    </row>
    <row r="483" spans="1:13" x14ac:dyDescent="0.25">
      <c r="A483" s="261"/>
      <c r="B483" s="592"/>
      <c r="C483" s="261"/>
      <c r="D483" s="261"/>
      <c r="E483" s="261"/>
      <c r="F483" s="261"/>
      <c r="G483" s="261"/>
      <c r="H483" s="261"/>
      <c r="I483" s="262"/>
      <c r="J483" s="262"/>
      <c r="K483" s="262"/>
      <c r="L483" s="261"/>
      <c r="M483" s="261"/>
    </row>
    <row r="484" spans="1:13" x14ac:dyDescent="0.25">
      <c r="A484" s="261"/>
      <c r="B484" s="592"/>
      <c r="C484" s="261"/>
      <c r="D484" s="261"/>
      <c r="E484" s="261"/>
      <c r="F484" s="261"/>
      <c r="G484" s="261"/>
      <c r="H484" s="261"/>
      <c r="I484" s="262"/>
      <c r="J484" s="262"/>
      <c r="K484" s="262"/>
      <c r="L484" s="261"/>
      <c r="M484" s="261"/>
    </row>
    <row r="485" spans="1:13" x14ac:dyDescent="0.25">
      <c r="A485" s="261"/>
      <c r="B485" s="592"/>
      <c r="C485" s="261"/>
      <c r="D485" s="261"/>
      <c r="E485" s="261"/>
      <c r="F485" s="261"/>
      <c r="G485" s="261"/>
      <c r="H485" s="261"/>
      <c r="I485" s="262"/>
      <c r="J485" s="262"/>
      <c r="K485" s="262"/>
      <c r="L485" s="261"/>
      <c r="M485" s="261"/>
    </row>
    <row r="486" spans="1:13" x14ac:dyDescent="0.25">
      <c r="A486" s="261"/>
      <c r="B486" s="592"/>
      <c r="C486" s="261"/>
      <c r="D486" s="261"/>
      <c r="E486" s="261"/>
      <c r="F486" s="261"/>
      <c r="G486" s="261"/>
      <c r="H486" s="261"/>
      <c r="I486" s="262"/>
      <c r="J486" s="262"/>
      <c r="K486" s="262"/>
      <c r="L486" s="261"/>
      <c r="M486" s="261"/>
    </row>
    <row r="487" spans="1:13" x14ac:dyDescent="0.25">
      <c r="A487" s="261"/>
      <c r="B487" s="592"/>
      <c r="C487" s="261"/>
      <c r="D487" s="261"/>
      <c r="E487" s="261"/>
      <c r="F487" s="261"/>
      <c r="G487" s="261"/>
      <c r="H487" s="261"/>
      <c r="I487" s="262"/>
      <c r="J487" s="262"/>
      <c r="K487" s="262"/>
      <c r="L487" s="261"/>
      <c r="M487" s="261"/>
    </row>
    <row r="488" spans="1:13" x14ac:dyDescent="0.25">
      <c r="A488" s="32" t="s">
        <v>81</v>
      </c>
      <c r="B488" s="14"/>
      <c r="C488" s="14">
        <f>SUM(C324:C487)</f>
        <v>62885</v>
      </c>
      <c r="D488" s="14"/>
      <c r="E488" s="14"/>
      <c r="F488" s="18">
        <f>SUM(F324:F487)</f>
        <v>893146.80300000007</v>
      </c>
      <c r="G488" s="14"/>
      <c r="H488" s="14">
        <f>SUM(H324:H487)</f>
        <v>62885</v>
      </c>
      <c r="I488" s="18"/>
      <c r="J488" s="18"/>
      <c r="K488" s="18">
        <f>SUM(K324:K487)</f>
        <v>905322.30000000016</v>
      </c>
      <c r="L488" s="18"/>
      <c r="M488" s="18">
        <f>SUM(M324:M487)</f>
        <v>0</v>
      </c>
    </row>
    <row r="489" spans="1:13" ht="15.75" thickBot="1" x14ac:dyDescent="0.3">
      <c r="A489" s="467" t="s">
        <v>198</v>
      </c>
      <c r="B489" s="468"/>
      <c r="C489" s="469">
        <f>SumByColor($A$23,C324:C487)</f>
        <v>0</v>
      </c>
      <c r="D489" s="469"/>
      <c r="E489" s="469"/>
      <c r="F489" s="470">
        <f>SumByColor($A$23,F324:F487)</f>
        <v>0</v>
      </c>
      <c r="G489" s="469"/>
      <c r="H489" s="469">
        <f>SumByColor($A$23,H324:H487)</f>
        <v>0</v>
      </c>
      <c r="I489" s="469"/>
      <c r="J489" s="469"/>
      <c r="K489" s="470">
        <f>SumByColor($A$23,K324:K487)</f>
        <v>0</v>
      </c>
      <c r="L489" s="469"/>
      <c r="M489" s="470">
        <f>SumByColor($A$23,M324:M487)</f>
        <v>0</v>
      </c>
    </row>
  </sheetData>
  <mergeCells count="15">
    <mergeCell ref="G467:G470"/>
    <mergeCell ref="B373:B374"/>
    <mergeCell ref="G373:G374"/>
    <mergeCell ref="B375:B378"/>
    <mergeCell ref="A414:A416"/>
    <mergeCell ref="M448:M451"/>
    <mergeCell ref="B53:B56"/>
    <mergeCell ref="G335:G336"/>
    <mergeCell ref="G359:G361"/>
    <mergeCell ref="O44:P44"/>
    <mergeCell ref="G13:G14"/>
    <mergeCell ref="B51:B52"/>
    <mergeCell ref="G51:G52"/>
    <mergeCell ref="G145:G148"/>
    <mergeCell ref="M126:M129"/>
  </mergeCells>
  <conditionalFormatting sqref="P16:P28">
    <cfRule type="colorScale" priority="5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5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1:AE1048576">
    <cfRule type="iconSet" priority="53">
      <iconSet iconSet="3Arrows">
        <cfvo type="percent" val="0"/>
        <cfvo type="num" val="0"/>
        <cfvo type="num" val="0"/>
      </iconSet>
    </cfRule>
  </conditionalFormatting>
  <conditionalFormatting sqref="F162:F292 H182:H292 H294:H317 F294:F317">
    <cfRule type="expression" dxfId="563" priority="51">
      <formula>F162&gt;0</formula>
    </cfRule>
    <cfRule type="expression" dxfId="562" priority="52">
      <formula>F162&lt;0</formula>
    </cfRule>
  </conditionalFormatting>
  <conditionalFormatting sqref="H162:H173">
    <cfRule type="expression" dxfId="561" priority="43">
      <formula>H162&gt;0</formula>
    </cfRule>
    <cfRule type="expression" dxfId="560" priority="44">
      <formula>H162&lt;0</formula>
    </cfRule>
  </conditionalFormatting>
  <conditionalFormatting sqref="H174">
    <cfRule type="expression" dxfId="559" priority="33">
      <formula>H174&gt;0</formula>
    </cfRule>
    <cfRule type="expression" dxfId="558" priority="34">
      <formula>H174&lt;0</formula>
    </cfRule>
  </conditionalFormatting>
  <conditionalFormatting sqref="H175">
    <cfRule type="expression" dxfId="557" priority="29">
      <formula>H175&gt;0</formula>
    </cfRule>
    <cfRule type="expression" dxfId="556" priority="30">
      <formula>H175&lt;0</formula>
    </cfRule>
  </conditionalFormatting>
  <conditionalFormatting sqref="H176:H181">
    <cfRule type="expression" dxfId="555" priority="25">
      <formula>H176&gt;0</formula>
    </cfRule>
    <cfRule type="expression" dxfId="554" priority="26">
      <formula>H176&lt;0</formula>
    </cfRule>
  </conditionalFormatting>
  <conditionalFormatting sqref="Q8">
    <cfRule type="expression" dxfId="553" priority="9">
      <formula>Q8&gt;0</formula>
    </cfRule>
    <cfRule type="expression" dxfId="552" priority="10">
      <formula>Q8&lt;0</formula>
    </cfRule>
  </conditionalFormatting>
  <conditionalFormatting sqref="Q7">
    <cfRule type="expression" dxfId="551" priority="11">
      <formula>Q7&gt;0</formula>
    </cfRule>
    <cfRule type="expression" dxfId="550" priority="12">
      <formula>Q7&lt;0</formula>
    </cfRule>
  </conditionalFormatting>
  <conditionalFormatting sqref="F293 H293">
    <cfRule type="expression" dxfId="549" priority="7">
      <formula>F293&gt;0</formula>
    </cfRule>
    <cfRule type="expression" dxfId="548" priority="8">
      <formula>F293&lt;0</formula>
    </cfRule>
  </conditionalFormatting>
  <conditionalFormatting sqref="F30:F39">
    <cfRule type="expression" dxfId="547" priority="5">
      <formula>F30&gt;0</formula>
    </cfRule>
    <cfRule type="expression" dxfId="546" priority="6">
      <formula>F30&lt;0</formula>
    </cfRule>
  </conditionalFormatting>
  <conditionalFormatting sqref="H30:H39">
    <cfRule type="expression" dxfId="545" priority="3">
      <formula>H30&gt;0</formula>
    </cfRule>
    <cfRule type="expression" dxfId="544" priority="4">
      <formula>H30&lt;0</formula>
    </cfRule>
  </conditionalFormatting>
  <conditionalFormatting sqref="Q10">
    <cfRule type="expression" dxfId="543" priority="1">
      <formula>Q10&gt;0</formula>
    </cfRule>
    <cfRule type="expression" dxfId="542" priority="2">
      <formula>Q10&lt;0</formula>
    </cfRule>
  </conditionalFormatting>
  <hyperlinks>
    <hyperlink ref="A3" location="ACTIVE!A1" display="Back"/>
    <hyperlink ref="A325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2"/>
    <col min="18" max="18" width="7.28515625" style="34" customWidth="1"/>
    <col min="19" max="19" width="8.85546875" style="86" customWidth="1"/>
    <col min="20" max="20" width="18.5703125" customWidth="1"/>
    <col min="21" max="21" width="32.85546875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6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3"/>
      <c r="S1" s="84" t="s">
        <v>70</v>
      </c>
      <c r="W1" s="93" t="s">
        <v>114</v>
      </c>
      <c r="X1" s="102" t="s">
        <v>115</v>
      </c>
      <c r="Y1" s="102" t="s">
        <v>116</v>
      </c>
      <c r="Z1" s="102" t="s">
        <v>117</v>
      </c>
      <c r="AA1" s="102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174</v>
      </c>
      <c r="B2" s="74"/>
      <c r="C2" s="4"/>
      <c r="D2" s="3"/>
      <c r="E2" s="3"/>
      <c r="F2" s="3"/>
      <c r="G2" s="120"/>
      <c r="H2" s="393"/>
      <c r="I2" s="75"/>
      <c r="J2" s="75"/>
      <c r="K2" s="17"/>
      <c r="L2" s="74"/>
      <c r="M2" s="75"/>
      <c r="O2" s="11" t="s">
        <v>57</v>
      </c>
      <c r="Q2">
        <f>C18-H18</f>
        <v>0</v>
      </c>
      <c r="S2" s="114"/>
      <c r="T2" s="17"/>
      <c r="U2" s="17"/>
      <c r="V2" s="17"/>
      <c r="W2" s="99">
        <v>42768</v>
      </c>
      <c r="X2" s="103">
        <v>55.48</v>
      </c>
      <c r="Y2" s="103">
        <v>55.78</v>
      </c>
      <c r="Z2" s="103">
        <v>52.3</v>
      </c>
      <c r="AA2" s="103">
        <v>53.35</v>
      </c>
      <c r="AB2" s="101">
        <v>8051000</v>
      </c>
      <c r="AC2" s="100">
        <v>53.35</v>
      </c>
      <c r="AD2" s="2">
        <f>Y2-Z2</f>
        <v>3.480000000000004</v>
      </c>
      <c r="AE2" s="138">
        <f>AC2/AC3-1</f>
        <v>-5.5752212389380551E-2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4"/>
      <c r="J3" s="4"/>
      <c r="K3" s="17"/>
      <c r="L3" s="74"/>
      <c r="M3" s="4"/>
      <c r="O3" s="11" t="s">
        <v>58</v>
      </c>
      <c r="Q3" s="2">
        <f>IF(Q2=0, Q4, (F18-K18-M18)/Q2)</f>
        <v>53.01</v>
      </c>
      <c r="S3" s="115"/>
      <c r="T3" s="17"/>
      <c r="U3" s="17"/>
      <c r="V3" s="17"/>
      <c r="W3" s="99">
        <v>42767</v>
      </c>
      <c r="X3" s="103">
        <v>56.73</v>
      </c>
      <c r="Y3" s="103">
        <v>57.12</v>
      </c>
      <c r="Z3" s="103">
        <v>56.01</v>
      </c>
      <c r="AA3" s="103">
        <v>56.5</v>
      </c>
      <c r="AB3" s="101">
        <v>2990600</v>
      </c>
      <c r="AC3" s="100">
        <v>56.5</v>
      </c>
      <c r="AD3" s="2">
        <f t="shared" ref="AD3:AD66" si="0">Y3-Z3</f>
        <v>1.1099999999999994</v>
      </c>
      <c r="AE3" s="138">
        <f t="shared" ref="AE3:AE66" si="1">AC3/AC4-1</f>
        <v>-1.7667844522968323E-3</v>
      </c>
    </row>
    <row r="4" spans="1:31" x14ac:dyDescent="0.25">
      <c r="B4" s="74"/>
      <c r="C4" s="4"/>
      <c r="D4" s="3"/>
      <c r="E4" s="3"/>
      <c r="F4" s="3"/>
      <c r="G4" s="74"/>
      <c r="H4" s="185"/>
      <c r="I4" s="4"/>
      <c r="J4" s="3"/>
      <c r="K4" s="75"/>
      <c r="L4" s="4"/>
      <c r="M4" s="4"/>
      <c r="O4" s="11" t="s">
        <v>66</v>
      </c>
      <c r="Q4" s="55">
        <v>53.01</v>
      </c>
      <c r="R4" s="526">
        <v>-6.4000000000000003E-3</v>
      </c>
      <c r="W4" s="99">
        <v>42766</v>
      </c>
      <c r="X4" s="103">
        <v>56.83</v>
      </c>
      <c r="Y4" s="103">
        <v>57.36</v>
      </c>
      <c r="Z4" s="103">
        <v>56.21</v>
      </c>
      <c r="AA4" s="103">
        <v>56.6</v>
      </c>
      <c r="AB4" s="101">
        <v>3738500</v>
      </c>
      <c r="AC4" s="100">
        <v>56.6</v>
      </c>
      <c r="AD4" s="2">
        <f t="shared" si="0"/>
        <v>1.1499999999999986</v>
      </c>
      <c r="AE4" s="138">
        <f t="shared" si="1"/>
        <v>-5.0975566883458834E-3</v>
      </c>
    </row>
    <row r="5" spans="1:31" x14ac:dyDescent="0.25">
      <c r="B5" s="74"/>
      <c r="C5" s="4"/>
      <c r="D5" s="3"/>
      <c r="E5" s="3"/>
      <c r="F5" s="3"/>
      <c r="G5" s="74"/>
      <c r="H5" s="185"/>
      <c r="I5" s="4"/>
      <c r="J5" s="3"/>
      <c r="K5" s="75"/>
      <c r="L5" s="4"/>
      <c r="M5" s="4"/>
      <c r="O5" s="11" t="s">
        <v>67</v>
      </c>
      <c r="Q5" s="3">
        <f>Q4*Q2</f>
        <v>0</v>
      </c>
      <c r="S5" s="85"/>
      <c r="W5" s="99">
        <v>42765</v>
      </c>
      <c r="X5" s="103">
        <v>57.02</v>
      </c>
      <c r="Y5" s="103">
        <v>57.02</v>
      </c>
      <c r="Z5" s="103">
        <v>56.31</v>
      </c>
      <c r="AA5" s="103">
        <v>56.89</v>
      </c>
      <c r="AB5" s="101">
        <v>2267000</v>
      </c>
      <c r="AC5" s="100">
        <v>56.89</v>
      </c>
      <c r="AD5" s="2">
        <f t="shared" si="0"/>
        <v>0.71000000000000085</v>
      </c>
      <c r="AE5" s="138">
        <f t="shared" si="1"/>
        <v>-7.8479246599233443E-3</v>
      </c>
    </row>
    <row r="6" spans="1:31" x14ac:dyDescent="0.25">
      <c r="O6" s="11" t="s">
        <v>64</v>
      </c>
      <c r="Q6" s="2">
        <f>Q3*Q2</f>
        <v>0</v>
      </c>
      <c r="S6" s="85"/>
      <c r="W6" s="99">
        <v>42762</v>
      </c>
      <c r="X6" s="103">
        <v>57.73</v>
      </c>
      <c r="Y6" s="103">
        <v>57.84</v>
      </c>
      <c r="Z6" s="103">
        <v>57.19</v>
      </c>
      <c r="AA6" s="103">
        <v>57.34</v>
      </c>
      <c r="AB6" s="101">
        <v>2044300</v>
      </c>
      <c r="AC6" s="100">
        <v>57.34</v>
      </c>
      <c r="AD6" s="2">
        <f t="shared" si="0"/>
        <v>0.65000000000000568</v>
      </c>
      <c r="AE6" s="138">
        <f t="shared" si="1"/>
        <v>-2.9560076508432509E-3</v>
      </c>
    </row>
    <row r="7" spans="1:31" x14ac:dyDescent="0.25">
      <c r="O7" s="11" t="s">
        <v>181</v>
      </c>
      <c r="Q7" s="2">
        <f>Q10+Q8</f>
        <v>119.92000000000053</v>
      </c>
      <c r="R7">
        <v>0</v>
      </c>
      <c r="W7" s="99">
        <v>42761</v>
      </c>
      <c r="X7" s="103">
        <v>58.61</v>
      </c>
      <c r="Y7" s="103">
        <v>58.86</v>
      </c>
      <c r="Z7" s="103">
        <v>57.37</v>
      </c>
      <c r="AA7" s="103">
        <v>57.51</v>
      </c>
      <c r="AB7" s="101">
        <v>3648000</v>
      </c>
      <c r="AC7" s="100">
        <v>57.51</v>
      </c>
      <c r="AD7" s="2">
        <f t="shared" si="0"/>
        <v>1.490000000000002</v>
      </c>
      <c r="AE7" s="138">
        <f t="shared" si="1"/>
        <v>-8.277289187791026E-3</v>
      </c>
    </row>
    <row r="8" spans="1:31" x14ac:dyDescent="0.25">
      <c r="O8" s="11" t="s">
        <v>184</v>
      </c>
      <c r="P8" s="34"/>
      <c r="Q8" s="2">
        <f>K18+M18-F18+Q2*Q4</f>
        <v>0</v>
      </c>
      <c r="S8" s="121"/>
      <c r="W8" s="99">
        <v>42760</v>
      </c>
      <c r="X8" s="103">
        <v>56.48</v>
      </c>
      <c r="Y8" s="103">
        <v>58.26</v>
      </c>
      <c r="Z8" s="103">
        <v>56.46</v>
      </c>
      <c r="AA8" s="103">
        <v>57.99</v>
      </c>
      <c r="AB8" s="101">
        <v>5186300</v>
      </c>
      <c r="AC8" s="100">
        <v>57.99</v>
      </c>
      <c r="AD8" s="2">
        <f t="shared" si="0"/>
        <v>1.7999999999999972</v>
      </c>
      <c r="AE8" s="138">
        <f t="shared" si="1"/>
        <v>3.7388193202146702E-2</v>
      </c>
    </row>
    <row r="9" spans="1:31" x14ac:dyDescent="0.25">
      <c r="O9" s="11" t="s">
        <v>214</v>
      </c>
      <c r="Q9" s="138">
        <f>IF(Q2=0, 0, Q8/Q6)</f>
        <v>0</v>
      </c>
      <c r="W9" s="99">
        <v>42759</v>
      </c>
      <c r="X9" s="103">
        <v>54.51</v>
      </c>
      <c r="Y9" s="103">
        <v>56.01</v>
      </c>
      <c r="Z9" s="103">
        <v>54.48</v>
      </c>
      <c r="AA9" s="103">
        <v>55.9</v>
      </c>
      <c r="AB9" s="101">
        <v>3814300</v>
      </c>
      <c r="AC9" s="100">
        <v>55.9</v>
      </c>
      <c r="AD9" s="2">
        <f t="shared" si="0"/>
        <v>1.5300000000000011</v>
      </c>
      <c r="AE9" s="138">
        <f t="shared" si="1"/>
        <v>2.9276376357945111E-2</v>
      </c>
    </row>
    <row r="10" spans="1:31" x14ac:dyDescent="0.25">
      <c r="O10" s="11" t="s">
        <v>213</v>
      </c>
      <c r="P10" s="34"/>
      <c r="Q10" s="2">
        <f>M30</f>
        <v>119.92000000000053</v>
      </c>
      <c r="W10" s="99">
        <v>42758</v>
      </c>
      <c r="X10" s="103">
        <v>53.77</v>
      </c>
      <c r="Y10" s="103">
        <v>54.36</v>
      </c>
      <c r="Z10" s="103">
        <v>53.65</v>
      </c>
      <c r="AA10" s="103">
        <v>54.31</v>
      </c>
      <c r="AB10" s="101">
        <v>2393900</v>
      </c>
      <c r="AC10" s="100">
        <v>54.31</v>
      </c>
      <c r="AD10" s="2">
        <f t="shared" si="0"/>
        <v>0.71000000000000085</v>
      </c>
      <c r="AE10" s="138">
        <f t="shared" si="1"/>
        <v>1.1547774259638821E-2</v>
      </c>
    </row>
    <row r="11" spans="1:31" x14ac:dyDescent="0.25">
      <c r="O11" s="11" t="s">
        <v>178</v>
      </c>
      <c r="P11" s="34"/>
      <c r="Q11" s="138">
        <f>VALUE(TRIM(CLEAN(MID(U58, FIND("(", U58)+1, 5))))</f>
        <v>3.2500000000000001E-2</v>
      </c>
      <c r="W11" s="99">
        <v>42755</v>
      </c>
      <c r="X11" s="103">
        <v>53.75</v>
      </c>
      <c r="Y11" s="103">
        <v>53.96</v>
      </c>
      <c r="Z11" s="103">
        <v>53.13</v>
      </c>
      <c r="AA11" s="103">
        <v>53.69</v>
      </c>
      <c r="AB11" s="101">
        <v>3053700</v>
      </c>
      <c r="AC11" s="100">
        <v>53.69</v>
      </c>
      <c r="AD11" s="2">
        <f t="shared" si="0"/>
        <v>0.82999999999999829</v>
      </c>
      <c r="AE11" s="138">
        <f t="shared" si="1"/>
        <v>1.9172361427486573E-2</v>
      </c>
    </row>
    <row r="12" spans="1:31" x14ac:dyDescent="0.25">
      <c r="W12" s="99">
        <v>42754</v>
      </c>
      <c r="X12" s="103">
        <v>53.14</v>
      </c>
      <c r="Y12" s="103">
        <v>53.15</v>
      </c>
      <c r="Z12" s="103">
        <v>52.41</v>
      </c>
      <c r="AA12" s="103">
        <v>52.68</v>
      </c>
      <c r="AB12" s="101">
        <v>1934700</v>
      </c>
      <c r="AC12" s="100">
        <v>52.68</v>
      </c>
      <c r="AD12" s="2">
        <f t="shared" si="0"/>
        <v>0.74000000000000199</v>
      </c>
      <c r="AE12" s="138">
        <f t="shared" si="1"/>
        <v>-6.600037714501239E-3</v>
      </c>
    </row>
    <row r="13" spans="1:31" x14ac:dyDescent="0.25">
      <c r="W13" s="99">
        <v>42753</v>
      </c>
      <c r="X13" s="103">
        <v>53.15</v>
      </c>
      <c r="Y13" s="103">
        <v>53.2</v>
      </c>
      <c r="Z13" s="103">
        <v>52.66</v>
      </c>
      <c r="AA13" s="103">
        <v>53.03</v>
      </c>
      <c r="AB13" s="101">
        <v>2223600</v>
      </c>
      <c r="AC13" s="100">
        <v>53.03</v>
      </c>
      <c r="AD13" s="2">
        <f t="shared" si="0"/>
        <v>0.54000000000000625</v>
      </c>
      <c r="AE13" s="138">
        <f t="shared" si="1"/>
        <v>7.5485940743535984E-4</v>
      </c>
    </row>
    <row r="14" spans="1:31" x14ac:dyDescent="0.25">
      <c r="W14" s="99">
        <v>42752</v>
      </c>
      <c r="X14" s="103">
        <v>53.35</v>
      </c>
      <c r="Y14" s="103">
        <v>53.5</v>
      </c>
      <c r="Z14" s="103">
        <v>52.77</v>
      </c>
      <c r="AA14" s="103">
        <v>52.99</v>
      </c>
      <c r="AB14" s="101">
        <v>1799000</v>
      </c>
      <c r="AC14" s="100">
        <v>52.99</v>
      </c>
      <c r="AD14" s="2">
        <f t="shared" si="0"/>
        <v>0.72999999999999687</v>
      </c>
      <c r="AE14" s="138">
        <f t="shared" si="1"/>
        <v>-1.0457516339869244E-2</v>
      </c>
    </row>
    <row r="15" spans="1:31" x14ac:dyDescent="0.25">
      <c r="W15" s="99">
        <v>42748</v>
      </c>
      <c r="X15" s="103">
        <v>53.68</v>
      </c>
      <c r="Y15" s="103">
        <v>54.08</v>
      </c>
      <c r="Z15" s="103">
        <v>53.44</v>
      </c>
      <c r="AA15" s="103">
        <v>53.55</v>
      </c>
      <c r="AB15" s="101">
        <v>1694500</v>
      </c>
      <c r="AC15" s="100">
        <v>53.55</v>
      </c>
      <c r="AD15" s="2">
        <f t="shared" si="0"/>
        <v>0.64000000000000057</v>
      </c>
      <c r="AE15" s="138">
        <f t="shared" si="1"/>
        <v>-2.2358859698156097E-3</v>
      </c>
    </row>
    <row r="16" spans="1:31" x14ac:dyDescent="0.25">
      <c r="W16" s="99">
        <v>42747</v>
      </c>
      <c r="X16" s="103">
        <v>53.84</v>
      </c>
      <c r="Y16" s="103">
        <v>54.08</v>
      </c>
      <c r="Z16" s="103">
        <v>53.04</v>
      </c>
      <c r="AA16" s="103">
        <v>53.67</v>
      </c>
      <c r="AB16" s="101">
        <v>1915800</v>
      </c>
      <c r="AC16" s="100">
        <v>53.67</v>
      </c>
      <c r="AD16" s="2">
        <f t="shared" si="0"/>
        <v>1.0399999999999991</v>
      </c>
      <c r="AE16" s="138">
        <f t="shared" si="1"/>
        <v>-8.6811968969338071E-3</v>
      </c>
    </row>
    <row r="17" spans="1:31" x14ac:dyDescent="0.25">
      <c r="W17" s="99">
        <v>42746</v>
      </c>
      <c r="X17" s="103">
        <v>53.58</v>
      </c>
      <c r="Y17" s="103">
        <v>54.2</v>
      </c>
      <c r="Z17" s="103">
        <v>53.45</v>
      </c>
      <c r="AA17" s="103">
        <v>54.14</v>
      </c>
      <c r="AB17" s="101">
        <v>1965100</v>
      </c>
      <c r="AC17" s="100">
        <v>54.14</v>
      </c>
      <c r="AD17" s="2">
        <f t="shared" si="0"/>
        <v>0.75</v>
      </c>
      <c r="AE17" s="138">
        <f t="shared" si="1"/>
        <v>6.6939382670136993E-3</v>
      </c>
    </row>
    <row r="18" spans="1:31" x14ac:dyDescent="0.25">
      <c r="A18" s="22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7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9">
        <v>42745</v>
      </c>
      <c r="X18" s="103">
        <v>53.7</v>
      </c>
      <c r="Y18" s="103">
        <v>54.22</v>
      </c>
      <c r="Z18" s="103">
        <v>53.45</v>
      </c>
      <c r="AA18" s="103">
        <v>53.78</v>
      </c>
      <c r="AB18" s="101">
        <v>2748600</v>
      </c>
      <c r="AC18" s="100">
        <v>53.78</v>
      </c>
      <c r="AD18" s="2">
        <f t="shared" si="0"/>
        <v>0.76999999999999602</v>
      </c>
      <c r="AE18" s="138">
        <f t="shared" si="1"/>
        <v>2.9839612085043044E-3</v>
      </c>
    </row>
    <row r="19" spans="1:31" x14ac:dyDescent="0.25">
      <c r="W19" s="99">
        <v>42744</v>
      </c>
      <c r="X19" s="103">
        <v>53.7</v>
      </c>
      <c r="Y19" s="103">
        <v>54.17</v>
      </c>
      <c r="Z19" s="103">
        <v>53.42</v>
      </c>
      <c r="AA19" s="103">
        <v>53.62</v>
      </c>
      <c r="AB19" s="101">
        <v>2987000</v>
      </c>
      <c r="AC19" s="100">
        <v>53.62</v>
      </c>
      <c r="AD19" s="2">
        <f t="shared" si="0"/>
        <v>0.75</v>
      </c>
      <c r="AE19" s="138">
        <f t="shared" si="1"/>
        <v>-1.8615040953090523E-3</v>
      </c>
    </row>
    <row r="20" spans="1:31" x14ac:dyDescent="0.25">
      <c r="W20" s="99">
        <v>42741</v>
      </c>
      <c r="X20" s="103">
        <v>53.56</v>
      </c>
      <c r="Y20" s="103">
        <v>53.93</v>
      </c>
      <c r="Z20" s="103">
        <v>53.26</v>
      </c>
      <c r="AA20" s="103">
        <v>53.72</v>
      </c>
      <c r="AB20" s="101">
        <v>1253500</v>
      </c>
      <c r="AC20" s="100">
        <v>53.72</v>
      </c>
      <c r="AD20" s="2">
        <f t="shared" si="0"/>
        <v>0.67000000000000171</v>
      </c>
      <c r="AE20" s="138">
        <f t="shared" si="1"/>
        <v>2.051855997015517E-3</v>
      </c>
    </row>
    <row r="21" spans="1:31" x14ac:dyDescent="0.25">
      <c r="W21" s="99">
        <v>42740</v>
      </c>
      <c r="X21" s="103">
        <v>53.9</v>
      </c>
      <c r="Y21" s="103">
        <v>54.26</v>
      </c>
      <c r="Z21" s="103">
        <v>53.33</v>
      </c>
      <c r="AA21" s="103">
        <v>53.61</v>
      </c>
      <c r="AB21" s="101">
        <v>2081100</v>
      </c>
      <c r="AC21" s="100">
        <v>53.61</v>
      </c>
      <c r="AD21" s="2">
        <f t="shared" si="0"/>
        <v>0.92999999999999972</v>
      </c>
      <c r="AE21" s="138">
        <f t="shared" si="1"/>
        <v>-8.1406105457908495E-3</v>
      </c>
    </row>
    <row r="22" spans="1:31" x14ac:dyDescent="0.25">
      <c r="B22" s="191" t="s">
        <v>114</v>
      </c>
      <c r="C22" s="191" t="s">
        <v>147</v>
      </c>
      <c r="D22" s="192" t="s">
        <v>146</v>
      </c>
      <c r="E22" s="194" t="s">
        <v>148</v>
      </c>
      <c r="F22" s="194" t="s">
        <v>65</v>
      </c>
      <c r="G22" s="229" t="s">
        <v>152</v>
      </c>
      <c r="H22" s="229" t="s">
        <v>88</v>
      </c>
      <c r="I22" s="229" t="s">
        <v>155</v>
      </c>
      <c r="W22" s="99">
        <v>42739</v>
      </c>
      <c r="X22" s="103">
        <v>53.64</v>
      </c>
      <c r="Y22" s="103">
        <v>54.17</v>
      </c>
      <c r="Z22" s="103">
        <v>53.5</v>
      </c>
      <c r="AA22" s="103">
        <v>54.05</v>
      </c>
      <c r="AB22" s="101">
        <v>2327500</v>
      </c>
      <c r="AC22" s="100">
        <v>54.05</v>
      </c>
      <c r="AD22" s="2">
        <f t="shared" si="0"/>
        <v>0.67000000000000171</v>
      </c>
      <c r="AE22" s="138">
        <f t="shared" si="1"/>
        <v>1.2361865517887205E-2</v>
      </c>
    </row>
    <row r="23" spans="1:31" x14ac:dyDescent="0.25">
      <c r="B23" s="193">
        <v>42376</v>
      </c>
      <c r="C23" s="10">
        <v>100</v>
      </c>
      <c r="D23" s="40">
        <v>36.659999999999997</v>
      </c>
      <c r="E23" s="40">
        <v>36.29</v>
      </c>
      <c r="F23" s="40">
        <f>C23*(E23-D23)</f>
        <v>-36.999999999999744</v>
      </c>
      <c r="G23" s="40">
        <f>D23*C23</f>
        <v>3665.9999999999995</v>
      </c>
      <c r="H23" s="231">
        <f>(E23-D23)/D23</f>
        <v>-1.0092744135297258E-2</v>
      </c>
      <c r="I23" s="40"/>
      <c r="W23" s="99">
        <v>42738</v>
      </c>
      <c r="X23" s="103">
        <v>53.11</v>
      </c>
      <c r="Y23" s="103">
        <v>53.85</v>
      </c>
      <c r="Z23" s="103">
        <v>52.96</v>
      </c>
      <c r="AA23" s="103">
        <v>53.39</v>
      </c>
      <c r="AB23" s="101">
        <v>1927000</v>
      </c>
      <c r="AC23" s="100">
        <v>53.39</v>
      </c>
      <c r="AD23" s="2">
        <f t="shared" si="0"/>
        <v>0.89000000000000057</v>
      </c>
      <c r="AE23" s="138">
        <f t="shared" si="1"/>
        <v>6.2193742932528107E-3</v>
      </c>
    </row>
    <row r="24" spans="1:31" x14ac:dyDescent="0.25">
      <c r="B24" s="193">
        <v>42403</v>
      </c>
      <c r="C24" s="10">
        <v>100</v>
      </c>
      <c r="D24" s="40">
        <v>36.659999999999997</v>
      </c>
      <c r="E24" s="40">
        <v>34.17</v>
      </c>
      <c r="F24" s="40">
        <f>C24*(E24-D24)</f>
        <v>-248.99999999999949</v>
      </c>
      <c r="G24" s="40">
        <f>D24*C24</f>
        <v>3665.9999999999995</v>
      </c>
      <c r="H24" s="231">
        <f>(E24-D24)/D24</f>
        <v>-6.7921440261865654E-2</v>
      </c>
      <c r="I24" s="40"/>
      <c r="W24" s="99">
        <v>42734</v>
      </c>
      <c r="X24" s="103">
        <v>53.44</v>
      </c>
      <c r="Y24" s="103">
        <v>53.5</v>
      </c>
      <c r="Z24" s="103">
        <v>52.67</v>
      </c>
      <c r="AA24" s="103">
        <v>53.06</v>
      </c>
      <c r="AB24" s="101">
        <v>2000400</v>
      </c>
      <c r="AC24" s="100">
        <v>53.06</v>
      </c>
      <c r="AD24" s="2">
        <f t="shared" si="0"/>
        <v>0.82999999999999829</v>
      </c>
      <c r="AE24" s="138">
        <f t="shared" si="1"/>
        <v>-5.8085066516768702E-3</v>
      </c>
    </row>
    <row r="25" spans="1:31" x14ac:dyDescent="0.25">
      <c r="B25" s="193">
        <v>42430</v>
      </c>
      <c r="C25" s="10">
        <v>100</v>
      </c>
      <c r="D25" s="40">
        <v>36.659999999999997</v>
      </c>
      <c r="E25" s="40">
        <v>36.64</v>
      </c>
      <c r="F25" s="40">
        <f>C25*(E25-D25)</f>
        <v>-1.9999999999996021</v>
      </c>
      <c r="G25" s="40">
        <f>D25*C25</f>
        <v>3665.9999999999995</v>
      </c>
      <c r="H25" s="231">
        <f>(E25-D25)/D25</f>
        <v>-5.4555373704299028E-4</v>
      </c>
      <c r="I25" s="40"/>
      <c r="W25" s="99">
        <v>42733</v>
      </c>
      <c r="X25" s="103">
        <v>53.29</v>
      </c>
      <c r="Y25" s="103">
        <v>53.65</v>
      </c>
      <c r="Z25" s="103">
        <v>53.12</v>
      </c>
      <c r="AA25" s="103">
        <v>53.37</v>
      </c>
      <c r="AB25" s="101">
        <v>1380600</v>
      </c>
      <c r="AC25" s="100">
        <v>53.37</v>
      </c>
      <c r="AD25" s="2">
        <f t="shared" si="0"/>
        <v>0.53000000000000114</v>
      </c>
      <c r="AE25" s="138">
        <f t="shared" si="1"/>
        <v>-1.873360809292457E-4</v>
      </c>
    </row>
    <row r="26" spans="1:31" x14ac:dyDescent="0.25">
      <c r="B26" s="193">
        <v>42431</v>
      </c>
      <c r="C26" s="10">
        <v>100</v>
      </c>
      <c r="D26" s="40">
        <v>36.659999999999997</v>
      </c>
      <c r="E26" s="40">
        <v>36.78</v>
      </c>
      <c r="F26" s="40">
        <f>C26*(E26-D26)</f>
        <v>12.000000000000455</v>
      </c>
      <c r="G26" s="40">
        <f>D26*C26</f>
        <v>3665.9999999999995</v>
      </c>
      <c r="H26" s="231">
        <f>(E26-D26)/D26</f>
        <v>3.2733224222587167E-3</v>
      </c>
      <c r="I26" s="40"/>
      <c r="W26" s="99">
        <v>42732</v>
      </c>
      <c r="X26" s="103">
        <v>54.6</v>
      </c>
      <c r="Y26" s="103">
        <v>54.68</v>
      </c>
      <c r="Z26" s="103">
        <v>53.21</v>
      </c>
      <c r="AA26" s="103">
        <v>53.38</v>
      </c>
      <c r="AB26" s="101">
        <v>2884400</v>
      </c>
      <c r="AC26" s="100">
        <v>53.38</v>
      </c>
      <c r="AD26" s="2">
        <f t="shared" si="0"/>
        <v>1.4699999999999989</v>
      </c>
      <c r="AE26" s="138">
        <f t="shared" si="1"/>
        <v>-1.6580692704495137E-2</v>
      </c>
    </row>
    <row r="27" spans="1:31" x14ac:dyDescent="0.25">
      <c r="B27" s="193">
        <v>42432</v>
      </c>
      <c r="C27" s="10">
        <v>0</v>
      </c>
      <c r="D27" s="40"/>
      <c r="E27" s="40"/>
      <c r="F27" s="40">
        <v>75.92</v>
      </c>
      <c r="G27" s="40"/>
      <c r="H27" s="231"/>
      <c r="I27" s="40"/>
      <c r="W27" s="99">
        <v>42731</v>
      </c>
      <c r="X27" s="103">
        <v>54.25</v>
      </c>
      <c r="Y27" s="103">
        <v>54.45</v>
      </c>
      <c r="Z27" s="103">
        <v>54.18</v>
      </c>
      <c r="AA27" s="103">
        <v>54.28</v>
      </c>
      <c r="AB27" s="101">
        <v>1534700</v>
      </c>
      <c r="AC27" s="100">
        <v>54.28</v>
      </c>
      <c r="AD27" s="2">
        <f t="shared" si="0"/>
        <v>0.27000000000000313</v>
      </c>
      <c r="AE27" s="138">
        <f t="shared" si="1"/>
        <v>4.6270590412733625E-3</v>
      </c>
    </row>
    <row r="28" spans="1:31" x14ac:dyDescent="0.25">
      <c r="B28" s="193">
        <v>42445</v>
      </c>
      <c r="C28" s="10">
        <v>0</v>
      </c>
      <c r="D28" s="40"/>
      <c r="E28" s="40"/>
      <c r="F28" s="40">
        <v>119.92</v>
      </c>
      <c r="G28" s="40"/>
      <c r="H28" s="231"/>
      <c r="I28" s="40" t="s">
        <v>186</v>
      </c>
      <c r="W28" s="99">
        <v>42727</v>
      </c>
      <c r="X28" s="103">
        <v>53.74</v>
      </c>
      <c r="Y28" s="103">
        <v>54.06</v>
      </c>
      <c r="Z28" s="103">
        <v>53.65</v>
      </c>
      <c r="AA28" s="103">
        <v>54.03</v>
      </c>
      <c r="AB28" s="101">
        <v>1211900</v>
      </c>
      <c r="AC28" s="100">
        <v>54.03</v>
      </c>
      <c r="AD28" s="2">
        <f t="shared" si="0"/>
        <v>0.41000000000000369</v>
      </c>
      <c r="AE28" s="138">
        <f t="shared" si="1"/>
        <v>4.4617958728387919E-3</v>
      </c>
    </row>
    <row r="29" spans="1:31" x14ac:dyDescent="0.25">
      <c r="B29" s="193"/>
      <c r="C29" s="10"/>
      <c r="D29" s="40"/>
      <c r="E29" s="40"/>
      <c r="F29" s="40"/>
      <c r="G29" s="40"/>
      <c r="H29" s="231"/>
      <c r="I29" s="40"/>
      <c r="W29" s="99">
        <v>42726</v>
      </c>
      <c r="X29" s="103">
        <v>53.95</v>
      </c>
      <c r="Y29" s="103">
        <v>54.09</v>
      </c>
      <c r="Z29" s="103">
        <v>53.42</v>
      </c>
      <c r="AA29" s="103">
        <v>53.79</v>
      </c>
      <c r="AB29" s="101">
        <v>2422600</v>
      </c>
      <c r="AC29" s="100">
        <v>53.79</v>
      </c>
      <c r="AD29" s="2">
        <f t="shared" si="0"/>
        <v>0.67000000000000171</v>
      </c>
      <c r="AE29" s="138">
        <f t="shared" si="1"/>
        <v>-2.9657089898054156E-3</v>
      </c>
    </row>
    <row r="30" spans="1:31" x14ac:dyDescent="0.25">
      <c r="L30" t="s">
        <v>213</v>
      </c>
      <c r="M30" s="2">
        <f>M37+K37-F37</f>
        <v>119.92000000000053</v>
      </c>
      <c r="W30" s="99">
        <v>42725</v>
      </c>
      <c r="X30" s="103">
        <v>54</v>
      </c>
      <c r="Y30" s="103">
        <v>54.31</v>
      </c>
      <c r="Z30" s="103">
        <v>53.81</v>
      </c>
      <c r="AA30" s="103">
        <v>53.95</v>
      </c>
      <c r="AB30" s="101">
        <v>1991200</v>
      </c>
      <c r="AC30" s="100">
        <v>53.95</v>
      </c>
      <c r="AD30" s="2">
        <f t="shared" si="0"/>
        <v>0.5</v>
      </c>
      <c r="AE30" s="138">
        <f t="shared" si="1"/>
        <v>-7.4087794035926358E-4</v>
      </c>
    </row>
    <row r="31" spans="1:31" x14ac:dyDescent="0.25">
      <c r="A31" s="387" t="s">
        <v>1</v>
      </c>
      <c r="B31" s="387" t="s">
        <v>2</v>
      </c>
      <c r="C31" s="387" t="s">
        <v>4</v>
      </c>
      <c r="D31" s="387" t="s">
        <v>5</v>
      </c>
      <c r="E31" s="387" t="s">
        <v>90</v>
      </c>
      <c r="F31" s="387" t="s">
        <v>60</v>
      </c>
      <c r="G31" s="387" t="s">
        <v>3</v>
      </c>
      <c r="H31" s="416" t="s">
        <v>6</v>
      </c>
      <c r="I31" s="387" t="s">
        <v>7</v>
      </c>
      <c r="J31" s="387" t="s">
        <v>89</v>
      </c>
      <c r="K31" s="387" t="s">
        <v>61</v>
      </c>
      <c r="L31" s="387" t="s">
        <v>77</v>
      </c>
      <c r="M31" s="387" t="s">
        <v>38</v>
      </c>
      <c r="W31" s="99">
        <v>42724</v>
      </c>
      <c r="X31" s="103">
        <v>53.75</v>
      </c>
      <c r="Y31" s="103">
        <v>54.15</v>
      </c>
      <c r="Z31" s="103">
        <v>53.68</v>
      </c>
      <c r="AA31" s="103">
        <v>53.99</v>
      </c>
      <c r="AB31" s="101">
        <v>1845300</v>
      </c>
      <c r="AC31" s="100">
        <v>53.99</v>
      </c>
      <c r="AD31" s="2">
        <f t="shared" si="0"/>
        <v>0.46999999999999886</v>
      </c>
      <c r="AE31" s="138">
        <f t="shared" si="1"/>
        <v>5.7749627421759264E-3</v>
      </c>
    </row>
    <row r="32" spans="1:31" x14ac:dyDescent="0.25">
      <c r="A32" s="390" t="s">
        <v>174</v>
      </c>
      <c r="B32" s="380">
        <v>42376</v>
      </c>
      <c r="C32" s="381">
        <v>100</v>
      </c>
      <c r="D32" s="382">
        <v>36.659999999999997</v>
      </c>
      <c r="E32" s="382">
        <v>0</v>
      </c>
      <c r="F32" s="382">
        <f>C32*D32+E32</f>
        <v>3665.9999999999995</v>
      </c>
      <c r="G32" s="417">
        <v>42432</v>
      </c>
      <c r="H32" s="400">
        <v>100</v>
      </c>
      <c r="I32" s="401">
        <v>37.42</v>
      </c>
      <c r="J32" s="401">
        <v>0.08</v>
      </c>
      <c r="K32" s="402">
        <f>I32*H32-J32</f>
        <v>3741.92</v>
      </c>
      <c r="L32" s="380">
        <v>42444</v>
      </c>
      <c r="M32" s="401">
        <v>44</v>
      </c>
      <c r="W32" s="99">
        <v>42723</v>
      </c>
      <c r="X32" s="103">
        <v>53.51</v>
      </c>
      <c r="Y32" s="103">
        <v>53.79</v>
      </c>
      <c r="Z32" s="103">
        <v>53.41</v>
      </c>
      <c r="AA32" s="103">
        <v>53.68</v>
      </c>
      <c r="AB32" s="101">
        <v>2783800</v>
      </c>
      <c r="AC32" s="100">
        <v>53.68</v>
      </c>
      <c r="AD32" s="2">
        <f t="shared" si="0"/>
        <v>0.38000000000000256</v>
      </c>
      <c r="AE32" s="138">
        <f t="shared" si="1"/>
        <v>-1.3023255813953138E-3</v>
      </c>
    </row>
    <row r="33" spans="1:31" x14ac:dyDescent="0.25">
      <c r="A33" s="391" t="s">
        <v>71</v>
      </c>
      <c r="B33" s="380"/>
      <c r="C33" s="381"/>
      <c r="D33" s="382"/>
      <c r="E33" s="382"/>
      <c r="F33" s="382"/>
      <c r="G33" s="380"/>
      <c r="H33" s="385"/>
      <c r="I33" s="381"/>
      <c r="J33" s="381"/>
      <c r="K33" s="402"/>
      <c r="L33" s="380"/>
      <c r="M33" s="381"/>
      <c r="W33" s="99">
        <v>42720</v>
      </c>
      <c r="X33" s="103">
        <v>53.64</v>
      </c>
      <c r="Y33" s="103">
        <v>54.11</v>
      </c>
      <c r="Z33" s="103">
        <v>53.51</v>
      </c>
      <c r="AA33" s="103">
        <v>53.75</v>
      </c>
      <c r="AB33" s="101">
        <v>4413200</v>
      </c>
      <c r="AC33" s="100">
        <v>53.75</v>
      </c>
      <c r="AD33" s="2">
        <f t="shared" si="0"/>
        <v>0.60000000000000142</v>
      </c>
      <c r="AE33" s="138">
        <f t="shared" si="1"/>
        <v>2.7985074626866169E-3</v>
      </c>
    </row>
    <row r="34" spans="1:31" x14ac:dyDescent="0.25">
      <c r="A34" s="381"/>
      <c r="B34" s="380"/>
      <c r="C34" s="381"/>
      <c r="D34" s="382"/>
      <c r="E34" s="382"/>
      <c r="F34" s="382"/>
      <c r="G34" s="380"/>
      <c r="H34" s="385"/>
      <c r="I34" s="381"/>
      <c r="J34" s="382"/>
      <c r="K34" s="401"/>
      <c r="L34" s="381"/>
      <c r="M34" s="381"/>
      <c r="W34" s="99">
        <v>42719</v>
      </c>
      <c r="X34" s="103">
        <v>53.09</v>
      </c>
      <c r="Y34" s="103">
        <v>53.98</v>
      </c>
      <c r="Z34" s="103">
        <v>52.94</v>
      </c>
      <c r="AA34" s="103">
        <v>53.6</v>
      </c>
      <c r="AB34" s="101">
        <v>3092800</v>
      </c>
      <c r="AC34" s="100">
        <v>53.6</v>
      </c>
      <c r="AD34" s="2">
        <f t="shared" si="0"/>
        <v>1.0399999999999991</v>
      </c>
      <c r="AE34" s="138">
        <f t="shared" si="1"/>
        <v>1.2849584278155746E-2</v>
      </c>
    </row>
    <row r="35" spans="1:31" x14ac:dyDescent="0.25">
      <c r="A35" s="381"/>
      <c r="B35" s="380"/>
      <c r="C35" s="381"/>
      <c r="D35" s="382"/>
      <c r="E35" s="382"/>
      <c r="F35" s="382"/>
      <c r="G35" s="380"/>
      <c r="H35" s="385"/>
      <c r="I35" s="381"/>
      <c r="J35" s="382"/>
      <c r="K35" s="401"/>
      <c r="L35" s="381"/>
      <c r="M35" s="381"/>
      <c r="W35" s="99">
        <v>42718</v>
      </c>
      <c r="X35" s="103">
        <v>53.38</v>
      </c>
      <c r="Y35" s="103">
        <v>53.75</v>
      </c>
      <c r="Z35" s="103">
        <v>52.82</v>
      </c>
      <c r="AA35" s="103">
        <v>52.92</v>
      </c>
      <c r="AB35" s="101">
        <v>3179900</v>
      </c>
      <c r="AC35" s="100">
        <v>52.92</v>
      </c>
      <c r="AD35" s="2">
        <f t="shared" si="0"/>
        <v>0.92999999999999972</v>
      </c>
      <c r="AE35" s="138">
        <f t="shared" si="1"/>
        <v>-6.943141302308109E-3</v>
      </c>
    </row>
    <row r="36" spans="1:31" x14ac:dyDescent="0.25">
      <c r="A36" s="381"/>
      <c r="B36" s="381"/>
      <c r="C36" s="381"/>
      <c r="D36" s="381"/>
      <c r="E36" s="381"/>
      <c r="F36" s="381"/>
      <c r="G36" s="381"/>
      <c r="H36" s="385"/>
      <c r="I36" s="381"/>
      <c r="J36" s="381"/>
      <c r="K36" s="381"/>
      <c r="L36" s="381"/>
      <c r="M36" s="381"/>
      <c r="W36" s="99">
        <v>42717</v>
      </c>
      <c r="X36" s="103">
        <v>53.49</v>
      </c>
      <c r="Y36" s="103">
        <v>53.83</v>
      </c>
      <c r="Z36" s="103">
        <v>52.83</v>
      </c>
      <c r="AA36" s="103">
        <v>53.29</v>
      </c>
      <c r="AB36" s="101">
        <v>2469700</v>
      </c>
      <c r="AC36" s="100">
        <v>53.29</v>
      </c>
      <c r="AD36" s="2">
        <f t="shared" si="0"/>
        <v>1</v>
      </c>
      <c r="AE36" s="138">
        <f t="shared" si="1"/>
        <v>-5.7835820895523193E-3</v>
      </c>
    </row>
    <row r="37" spans="1:31" x14ac:dyDescent="0.25">
      <c r="A37" s="22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7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9">
        <v>42716</v>
      </c>
      <c r="X37" s="103">
        <v>53.9</v>
      </c>
      <c r="Y37" s="103">
        <v>54.34</v>
      </c>
      <c r="Z37" s="103">
        <v>53.55</v>
      </c>
      <c r="AA37" s="103">
        <v>53.6</v>
      </c>
      <c r="AB37" s="101">
        <v>2611800</v>
      </c>
      <c r="AC37" s="100">
        <v>53.6</v>
      </c>
      <c r="AD37" s="2">
        <f t="shared" si="0"/>
        <v>0.79000000000000625</v>
      </c>
      <c r="AE37" s="138">
        <f t="shared" si="1"/>
        <v>-4.2727103845439096E-3</v>
      </c>
    </row>
    <row r="38" spans="1:31" x14ac:dyDescent="0.25">
      <c r="A38" s="381"/>
      <c r="B38" s="381"/>
      <c r="C38" s="381"/>
      <c r="D38" s="381"/>
      <c r="E38" s="381"/>
      <c r="F38" s="381"/>
      <c r="G38" s="381"/>
      <c r="H38" s="385"/>
      <c r="I38" s="381"/>
      <c r="J38" s="381"/>
      <c r="K38" s="381"/>
      <c r="L38" s="381"/>
      <c r="M38" s="381"/>
      <c r="W38" s="99">
        <v>42713</v>
      </c>
      <c r="X38" s="103">
        <v>53.54</v>
      </c>
      <c r="Y38" s="103">
        <v>54.12</v>
      </c>
      <c r="Z38" s="103">
        <v>53.39</v>
      </c>
      <c r="AA38" s="103">
        <v>53.83</v>
      </c>
      <c r="AB38" s="101">
        <v>2826600</v>
      </c>
      <c r="AC38" s="100">
        <v>53.83</v>
      </c>
      <c r="AD38" s="2">
        <f t="shared" si="0"/>
        <v>0.72999999999999687</v>
      </c>
      <c r="AE38" s="138">
        <f t="shared" si="1"/>
        <v>3.1680954155794971E-3</v>
      </c>
    </row>
    <row r="39" spans="1:31" x14ac:dyDescent="0.25">
      <c r="W39" s="99">
        <v>42712</v>
      </c>
      <c r="X39" s="103">
        <v>53.45</v>
      </c>
      <c r="Y39" s="103">
        <v>54.07</v>
      </c>
      <c r="Z39" s="103">
        <v>53.11</v>
      </c>
      <c r="AA39" s="103">
        <v>53.66</v>
      </c>
      <c r="AB39" s="101">
        <v>2482600</v>
      </c>
      <c r="AC39" s="100">
        <v>53.66</v>
      </c>
      <c r="AD39" s="2">
        <f t="shared" si="0"/>
        <v>0.96000000000000085</v>
      </c>
      <c r="AE39" s="138">
        <f t="shared" si="1"/>
        <v>6.7542213883677871E-3</v>
      </c>
    </row>
    <row r="40" spans="1:31" ht="20.25" thickBot="1" x14ac:dyDescent="0.35">
      <c r="O40" s="638" t="s">
        <v>78</v>
      </c>
      <c r="P40" s="638"/>
      <c r="W40" s="99">
        <v>42711</v>
      </c>
      <c r="X40" s="103">
        <v>51.87</v>
      </c>
      <c r="Y40" s="103">
        <v>53.34</v>
      </c>
      <c r="Z40" s="103">
        <v>51.87</v>
      </c>
      <c r="AA40" s="103">
        <v>53.3</v>
      </c>
      <c r="AB40" s="101">
        <v>3470600</v>
      </c>
      <c r="AC40" s="100">
        <v>53.3</v>
      </c>
      <c r="AD40" s="2">
        <f t="shared" si="0"/>
        <v>1.470000000000006</v>
      </c>
      <c r="AE40" s="138">
        <f t="shared" si="1"/>
        <v>2.9553795634537305E-2</v>
      </c>
    </row>
    <row r="41" spans="1:31" ht="15.75" thickTop="1" x14ac:dyDescent="0.25">
      <c r="O41" s="83">
        <v>1.1000000000000001</v>
      </c>
      <c r="P41" s="83">
        <f>O41*$Q$4</f>
        <v>58.311</v>
      </c>
      <c r="Q41" s="2"/>
      <c r="W41" s="99">
        <v>42710</v>
      </c>
      <c r="X41" s="103">
        <v>51.25</v>
      </c>
      <c r="Y41" s="103">
        <v>51.8</v>
      </c>
      <c r="Z41" s="103">
        <v>51</v>
      </c>
      <c r="AA41" s="103">
        <v>51.77</v>
      </c>
      <c r="AB41" s="101">
        <v>2424500</v>
      </c>
      <c r="AC41" s="100">
        <v>51.77</v>
      </c>
      <c r="AD41" s="2">
        <f t="shared" si="0"/>
        <v>0.79999999999999716</v>
      </c>
      <c r="AE41" s="138">
        <f t="shared" si="1"/>
        <v>7.002528690916332E-3</v>
      </c>
    </row>
    <row r="42" spans="1:31" ht="20.25" thickBot="1" x14ac:dyDescent="0.35">
      <c r="O42" s="83">
        <v>1.0900000000000001</v>
      </c>
      <c r="P42" s="83">
        <f t="shared" ref="P42:P61" si="2">O42*$Q$4</f>
        <v>57.780900000000003</v>
      </c>
      <c r="Q42" s="2"/>
      <c r="T42" s="91" t="s">
        <v>113</v>
      </c>
      <c r="W42" s="99">
        <v>42709</v>
      </c>
      <c r="X42" s="103">
        <v>50.96</v>
      </c>
      <c r="Y42" s="103">
        <v>51.46</v>
      </c>
      <c r="Z42" s="103">
        <v>50.75</v>
      </c>
      <c r="AA42" s="103">
        <v>51.41</v>
      </c>
      <c r="AB42" s="101">
        <v>3789000</v>
      </c>
      <c r="AC42" s="100">
        <v>51.41</v>
      </c>
      <c r="AD42" s="2">
        <f t="shared" si="0"/>
        <v>0.71000000000000085</v>
      </c>
      <c r="AE42" s="138">
        <f t="shared" si="1"/>
        <v>1.8826793499801653E-2</v>
      </c>
    </row>
    <row r="43" spans="1:31" ht="15.75" thickTop="1" x14ac:dyDescent="0.25">
      <c r="O43" s="83">
        <v>1.08</v>
      </c>
      <c r="P43" s="83">
        <f t="shared" si="2"/>
        <v>57.250799999999998</v>
      </c>
      <c r="Q43" s="2"/>
      <c r="T43" s="97" t="s">
        <v>98</v>
      </c>
      <c r="U43" s="98">
        <v>56.5</v>
      </c>
      <c r="W43" s="99">
        <v>42706</v>
      </c>
      <c r="X43" s="103">
        <v>49.74</v>
      </c>
      <c r="Y43" s="103">
        <v>50.47</v>
      </c>
      <c r="Z43" s="103">
        <v>49.37</v>
      </c>
      <c r="AA43" s="103">
        <v>50.46</v>
      </c>
      <c r="AB43" s="101">
        <v>3453200</v>
      </c>
      <c r="AC43" s="100">
        <v>50.46</v>
      </c>
      <c r="AD43" s="2">
        <f t="shared" si="0"/>
        <v>1.1000000000000014</v>
      </c>
      <c r="AE43" s="138">
        <f t="shared" si="1"/>
        <v>1.467926804745634E-2</v>
      </c>
    </row>
    <row r="44" spans="1:31" x14ac:dyDescent="0.25">
      <c r="O44" s="83">
        <v>1.07</v>
      </c>
      <c r="P44" s="83">
        <f t="shared" si="2"/>
        <v>56.720700000000001</v>
      </c>
      <c r="Q44" s="2"/>
      <c r="T44" s="87" t="s">
        <v>99</v>
      </c>
      <c r="U44" s="88">
        <v>55.48</v>
      </c>
      <c r="W44" s="99">
        <v>42705</v>
      </c>
      <c r="X44" s="103">
        <v>48.94</v>
      </c>
      <c r="Y44" s="103">
        <v>49.75</v>
      </c>
      <c r="Z44" s="103">
        <v>48.9</v>
      </c>
      <c r="AA44" s="103">
        <v>49.73</v>
      </c>
      <c r="AB44" s="101">
        <v>3492500</v>
      </c>
      <c r="AC44" s="100">
        <v>49.73</v>
      </c>
      <c r="AD44" s="2">
        <f t="shared" si="0"/>
        <v>0.85000000000000142</v>
      </c>
      <c r="AE44" s="138">
        <f t="shared" si="1"/>
        <v>2.0730706075533512E-2</v>
      </c>
    </row>
    <row r="45" spans="1:31" x14ac:dyDescent="0.25">
      <c r="O45" s="83">
        <v>1.06</v>
      </c>
      <c r="P45" s="83">
        <f t="shared" si="2"/>
        <v>56.190600000000003</v>
      </c>
      <c r="Q45" s="2"/>
      <c r="T45" s="87" t="s">
        <v>100</v>
      </c>
      <c r="U45" s="88" t="s">
        <v>129</v>
      </c>
      <c r="W45" s="99">
        <v>42704</v>
      </c>
      <c r="X45" s="103">
        <v>48.96</v>
      </c>
      <c r="Y45" s="103">
        <v>48.96</v>
      </c>
      <c r="Z45" s="103">
        <v>48.49</v>
      </c>
      <c r="AA45" s="103">
        <v>48.72</v>
      </c>
      <c r="AB45" s="101">
        <v>2483500</v>
      </c>
      <c r="AC45" s="100">
        <v>48.72</v>
      </c>
      <c r="AD45" s="2">
        <f t="shared" si="0"/>
        <v>0.46999999999999886</v>
      </c>
      <c r="AE45" s="138">
        <f t="shared" si="1"/>
        <v>-2.4570024570025328E-3</v>
      </c>
    </row>
    <row r="46" spans="1:31" x14ac:dyDescent="0.25">
      <c r="O46" s="83">
        <v>1.05</v>
      </c>
      <c r="P46" s="83">
        <f t="shared" si="2"/>
        <v>55.660499999999999</v>
      </c>
      <c r="Q46" s="2"/>
      <c r="T46" s="87" t="s">
        <v>101</v>
      </c>
      <c r="U46" s="88" t="s">
        <v>129</v>
      </c>
      <c r="W46" s="99">
        <v>42703</v>
      </c>
      <c r="X46" s="103">
        <v>48.73</v>
      </c>
      <c r="Y46" s="103">
        <v>49.1</v>
      </c>
      <c r="Z46" s="103">
        <v>48.63</v>
      </c>
      <c r="AA46" s="103">
        <v>48.84</v>
      </c>
      <c r="AB46" s="101">
        <v>2075200</v>
      </c>
      <c r="AC46" s="100">
        <v>48.84</v>
      </c>
      <c r="AD46" s="2">
        <f t="shared" si="0"/>
        <v>0.46999999999999886</v>
      </c>
      <c r="AE46" s="138">
        <f t="shared" si="1"/>
        <v>3.0807147258165024E-3</v>
      </c>
    </row>
    <row r="47" spans="1:31" x14ac:dyDescent="0.25">
      <c r="O47" s="83">
        <v>1.04</v>
      </c>
      <c r="P47" s="83">
        <f t="shared" si="2"/>
        <v>55.130400000000002</v>
      </c>
      <c r="Q47" s="2"/>
      <c r="T47" s="87" t="s">
        <v>102</v>
      </c>
      <c r="U47" s="88">
        <v>56.47</v>
      </c>
      <c r="W47" s="99">
        <v>42702</v>
      </c>
      <c r="X47" s="103">
        <v>48.66</v>
      </c>
      <c r="Y47" s="103">
        <v>48.94</v>
      </c>
      <c r="Z47" s="103">
        <v>48.51</v>
      </c>
      <c r="AA47" s="103">
        <v>48.69</v>
      </c>
      <c r="AB47" s="101">
        <v>1885700</v>
      </c>
      <c r="AC47" s="100">
        <v>48.69</v>
      </c>
      <c r="AD47" s="2">
        <f t="shared" si="0"/>
        <v>0.42999999999999972</v>
      </c>
      <c r="AE47" s="138">
        <f t="shared" si="1"/>
        <v>-3.2753326509724623E-3</v>
      </c>
    </row>
    <row r="48" spans="1:31" x14ac:dyDescent="0.25">
      <c r="O48" s="83">
        <v>1.03</v>
      </c>
      <c r="P48" s="83">
        <f t="shared" si="2"/>
        <v>54.600299999999997</v>
      </c>
      <c r="Q48" s="2"/>
      <c r="T48" s="87" t="s">
        <v>103</v>
      </c>
      <c r="U48" s="88">
        <v>1.73899</v>
      </c>
      <c r="W48" s="99">
        <v>42699</v>
      </c>
      <c r="X48" s="103">
        <v>48.8</v>
      </c>
      <c r="Y48" s="103">
        <v>48.89</v>
      </c>
      <c r="Z48" s="103">
        <v>48.55</v>
      </c>
      <c r="AA48" s="103">
        <v>48.85</v>
      </c>
      <c r="AB48" s="101">
        <v>814400</v>
      </c>
      <c r="AC48" s="100">
        <v>48.85</v>
      </c>
      <c r="AD48" s="2">
        <f t="shared" si="0"/>
        <v>0.34000000000000341</v>
      </c>
      <c r="AE48" s="138">
        <f t="shared" si="1"/>
        <v>2.6683087027914443E-3</v>
      </c>
    </row>
    <row r="49" spans="15:31" x14ac:dyDescent="0.25">
      <c r="O49" s="83">
        <v>1.02</v>
      </c>
      <c r="P49" s="83">
        <f t="shared" si="2"/>
        <v>54.0702</v>
      </c>
      <c r="Q49" s="2"/>
      <c r="T49" s="87" t="s">
        <v>104</v>
      </c>
      <c r="U49" s="89" t="s">
        <v>368</v>
      </c>
      <c r="W49" s="99">
        <v>42697</v>
      </c>
      <c r="X49" s="103">
        <v>48.59</v>
      </c>
      <c r="Y49" s="103">
        <v>48.96</v>
      </c>
      <c r="Z49" s="103">
        <v>48.54</v>
      </c>
      <c r="AA49" s="103">
        <v>48.72</v>
      </c>
      <c r="AB49" s="101">
        <v>1635600</v>
      </c>
      <c r="AC49" s="100">
        <v>48.72</v>
      </c>
      <c r="AD49" s="2">
        <f t="shared" si="0"/>
        <v>0.42000000000000171</v>
      </c>
      <c r="AE49" s="138">
        <f t="shared" si="1"/>
        <v>2.8818443804035088E-3</v>
      </c>
    </row>
    <row r="50" spans="15:31" x14ac:dyDescent="0.25">
      <c r="O50" s="83">
        <v>1.01</v>
      </c>
      <c r="P50" s="83">
        <f t="shared" si="2"/>
        <v>53.540099999999995</v>
      </c>
      <c r="Q50" s="2"/>
      <c r="T50" s="87"/>
      <c r="U50" s="88"/>
      <c r="W50" s="99">
        <v>42696</v>
      </c>
      <c r="X50" s="103">
        <v>48.54</v>
      </c>
      <c r="Y50" s="103">
        <v>48.84</v>
      </c>
      <c r="Z50" s="103">
        <v>48.33</v>
      </c>
      <c r="AA50" s="103">
        <v>48.58</v>
      </c>
      <c r="AB50" s="101">
        <v>2552000</v>
      </c>
      <c r="AC50" s="100">
        <v>48.58</v>
      </c>
      <c r="AD50" s="2">
        <f t="shared" si="0"/>
        <v>0.51000000000000512</v>
      </c>
      <c r="AE50" s="138">
        <f t="shared" si="1"/>
        <v>5.5889049886150843E-3</v>
      </c>
    </row>
    <row r="51" spans="15:31" x14ac:dyDescent="0.25">
      <c r="O51" s="83">
        <v>1</v>
      </c>
      <c r="P51" s="83">
        <f t="shared" si="2"/>
        <v>53.01</v>
      </c>
      <c r="Q51" s="2"/>
      <c r="T51" s="87" t="s">
        <v>105</v>
      </c>
      <c r="U51" s="88" t="s">
        <v>595</v>
      </c>
      <c r="W51" s="99">
        <v>42695</v>
      </c>
      <c r="X51" s="103">
        <v>47.98</v>
      </c>
      <c r="Y51" s="103">
        <v>48.42</v>
      </c>
      <c r="Z51" s="103">
        <v>47.85</v>
      </c>
      <c r="AA51" s="103">
        <v>48.31</v>
      </c>
      <c r="AB51" s="101">
        <v>2373600</v>
      </c>
      <c r="AC51" s="100">
        <v>48.31</v>
      </c>
      <c r="AD51" s="2">
        <f t="shared" si="0"/>
        <v>0.57000000000000028</v>
      </c>
      <c r="AE51" s="138">
        <f t="shared" si="1"/>
        <v>-2.8895768833849811E-3</v>
      </c>
    </row>
    <row r="52" spans="15:31" x14ac:dyDescent="0.25">
      <c r="O52" s="83">
        <v>0.99</v>
      </c>
      <c r="P52" s="83">
        <f t="shared" si="2"/>
        <v>52.479900000000001</v>
      </c>
      <c r="Q52" s="2"/>
      <c r="T52" s="87" t="s">
        <v>106</v>
      </c>
      <c r="U52" s="88" t="s">
        <v>479</v>
      </c>
      <c r="W52" s="99">
        <v>42692</v>
      </c>
      <c r="X52" s="103">
        <v>48.28</v>
      </c>
      <c r="Y52" s="103">
        <v>48.52</v>
      </c>
      <c r="Z52" s="103">
        <v>48.02</v>
      </c>
      <c r="AA52" s="103">
        <v>48.45</v>
      </c>
      <c r="AB52" s="101">
        <v>2302500</v>
      </c>
      <c r="AC52" s="100">
        <v>48.45</v>
      </c>
      <c r="AD52" s="2">
        <f t="shared" si="0"/>
        <v>0.5</v>
      </c>
      <c r="AE52" s="138">
        <f t="shared" si="1"/>
        <v>2.6903973509935231E-3</v>
      </c>
    </row>
    <row r="53" spans="15:31" x14ac:dyDescent="0.25">
      <c r="O53" s="83">
        <v>0.98</v>
      </c>
      <c r="P53" s="83">
        <f t="shared" si="2"/>
        <v>51.949799999999996</v>
      </c>
      <c r="Q53" s="2"/>
      <c r="T53" s="87" t="s">
        <v>107</v>
      </c>
      <c r="U53" s="90">
        <v>8057286</v>
      </c>
      <c r="W53" s="99">
        <v>42691</v>
      </c>
      <c r="X53" s="103">
        <v>48.04</v>
      </c>
      <c r="Y53" s="103">
        <v>49.07</v>
      </c>
      <c r="Z53" s="103">
        <v>47.72</v>
      </c>
      <c r="AA53" s="103">
        <v>48.32</v>
      </c>
      <c r="AB53" s="101">
        <v>3449100</v>
      </c>
      <c r="AC53" s="100">
        <v>48.32</v>
      </c>
      <c r="AD53" s="2">
        <f t="shared" si="0"/>
        <v>1.3500000000000014</v>
      </c>
      <c r="AE53" s="138">
        <f t="shared" si="1"/>
        <v>7.9265748852732631E-3</v>
      </c>
    </row>
    <row r="54" spans="15:31" x14ac:dyDescent="0.25">
      <c r="O54" s="83">
        <v>0.97</v>
      </c>
      <c r="P54" s="83">
        <f t="shared" si="2"/>
        <v>51.419699999999999</v>
      </c>
      <c r="T54" s="87" t="s">
        <v>110</v>
      </c>
      <c r="U54" s="90">
        <v>2750790</v>
      </c>
      <c r="W54" s="99">
        <v>42690</v>
      </c>
      <c r="X54" s="103">
        <v>48.1</v>
      </c>
      <c r="Y54" s="103">
        <v>49.08</v>
      </c>
      <c r="Z54" s="103">
        <v>47.81</v>
      </c>
      <c r="AA54" s="103">
        <v>47.94</v>
      </c>
      <c r="AB54" s="101">
        <v>4935300</v>
      </c>
      <c r="AC54" s="100">
        <v>47.94</v>
      </c>
      <c r="AD54" s="2">
        <f t="shared" si="0"/>
        <v>1.269999999999996</v>
      </c>
      <c r="AE54" s="138">
        <f t="shared" si="1"/>
        <v>3.9790575916229809E-3</v>
      </c>
    </row>
    <row r="55" spans="15:31" x14ac:dyDescent="0.25">
      <c r="O55" s="83">
        <v>0.96</v>
      </c>
      <c r="P55" s="83">
        <f t="shared" si="2"/>
        <v>50.889599999999994</v>
      </c>
      <c r="T55" s="87" t="s">
        <v>108</v>
      </c>
      <c r="U55" s="88" t="s">
        <v>596</v>
      </c>
      <c r="W55" s="99">
        <v>42689</v>
      </c>
      <c r="X55" s="103">
        <v>47.2</v>
      </c>
      <c r="Y55" s="103">
        <v>47.8</v>
      </c>
      <c r="Z55" s="103">
        <v>46.52</v>
      </c>
      <c r="AA55" s="103">
        <v>47.75</v>
      </c>
      <c r="AB55" s="101">
        <v>3831800</v>
      </c>
      <c r="AC55" s="100">
        <v>47.75</v>
      </c>
      <c r="AD55" s="2">
        <f t="shared" si="0"/>
        <v>1.279999999999994</v>
      </c>
      <c r="AE55" s="138">
        <f t="shared" si="1"/>
        <v>1.1438254607074816E-2</v>
      </c>
    </row>
    <row r="56" spans="15:31" x14ac:dyDescent="0.25">
      <c r="O56" s="83">
        <v>0.95</v>
      </c>
      <c r="P56" s="83">
        <f t="shared" si="2"/>
        <v>50.359499999999997</v>
      </c>
      <c r="T56" s="87" t="s">
        <v>111</v>
      </c>
      <c r="U56" s="88">
        <v>25.7</v>
      </c>
      <c r="W56" s="99">
        <v>42688</v>
      </c>
      <c r="X56" s="103">
        <v>45.95</v>
      </c>
      <c r="Y56" s="103">
        <v>47.28</v>
      </c>
      <c r="Z56" s="103">
        <v>45.94</v>
      </c>
      <c r="AA56" s="103">
        <v>47.21</v>
      </c>
      <c r="AB56" s="101">
        <v>3604700</v>
      </c>
      <c r="AC56" s="100">
        <v>47.21</v>
      </c>
      <c r="AD56" s="2">
        <f t="shared" si="0"/>
        <v>1.3400000000000034</v>
      </c>
      <c r="AE56" s="138">
        <f t="shared" si="1"/>
        <v>3.3946561541831066E-2</v>
      </c>
    </row>
    <row r="57" spans="15:31" x14ac:dyDescent="0.25">
      <c r="O57" s="83">
        <v>0.94</v>
      </c>
      <c r="P57" s="83">
        <f t="shared" si="2"/>
        <v>49.829399999999993</v>
      </c>
      <c r="T57" s="87" t="s">
        <v>112</v>
      </c>
      <c r="U57" s="88">
        <v>2.08</v>
      </c>
      <c r="W57" s="99">
        <v>42685</v>
      </c>
      <c r="X57" s="103">
        <v>45.72</v>
      </c>
      <c r="Y57" s="103">
        <v>45.99</v>
      </c>
      <c r="Z57" s="103">
        <v>45.19</v>
      </c>
      <c r="AA57" s="103">
        <v>45.66</v>
      </c>
      <c r="AB57" s="101">
        <v>2100000</v>
      </c>
      <c r="AC57" s="100">
        <v>45.66</v>
      </c>
      <c r="AD57" s="2">
        <f t="shared" si="0"/>
        <v>0.80000000000000426</v>
      </c>
      <c r="AE57" s="138">
        <f t="shared" si="1"/>
        <v>-3.2743942370662138E-3</v>
      </c>
    </row>
    <row r="58" spans="15:31" x14ac:dyDescent="0.25">
      <c r="O58" s="83">
        <v>0.93</v>
      </c>
      <c r="P58" s="83">
        <f t="shared" si="2"/>
        <v>49.299300000000002</v>
      </c>
      <c r="T58" s="87" t="s">
        <v>109</v>
      </c>
      <c r="U58" s="88" t="s">
        <v>512</v>
      </c>
      <c r="W58" s="99">
        <v>42684</v>
      </c>
      <c r="X58" s="103">
        <v>45.42</v>
      </c>
      <c r="Y58" s="103">
        <v>46.29</v>
      </c>
      <c r="Z58" s="103">
        <v>45.36</v>
      </c>
      <c r="AA58" s="103">
        <v>45.81</v>
      </c>
      <c r="AB58" s="101">
        <v>3842900</v>
      </c>
      <c r="AC58" s="100">
        <v>45.81</v>
      </c>
      <c r="AD58" s="2">
        <f t="shared" si="0"/>
        <v>0.92999999999999972</v>
      </c>
      <c r="AE58" s="138" t="e">
        <f t="shared" si="1"/>
        <v>#DIV/0!</v>
      </c>
    </row>
    <row r="59" spans="15:31" x14ac:dyDescent="0.25">
      <c r="O59" s="83">
        <v>0.92</v>
      </c>
      <c r="P59" s="83">
        <f t="shared" si="2"/>
        <v>48.769199999999998</v>
      </c>
      <c r="W59" s="99">
        <v>42684</v>
      </c>
      <c r="X59" s="103" t="s">
        <v>331</v>
      </c>
      <c r="Y59" s="103"/>
      <c r="Z59" s="103"/>
      <c r="AA59" s="103"/>
      <c r="AB59" s="101"/>
      <c r="AC59" s="100"/>
      <c r="AD59" s="2">
        <f t="shared" si="0"/>
        <v>0</v>
      </c>
      <c r="AE59" s="138">
        <f t="shared" si="1"/>
        <v>-1</v>
      </c>
    </row>
    <row r="60" spans="15:31" x14ac:dyDescent="0.25">
      <c r="O60" s="83">
        <v>0.91</v>
      </c>
      <c r="P60" s="83">
        <f t="shared" si="2"/>
        <v>48.239100000000001</v>
      </c>
      <c r="W60" s="99">
        <v>42683</v>
      </c>
      <c r="X60" s="103">
        <v>43.98</v>
      </c>
      <c r="Y60" s="103">
        <v>45.9</v>
      </c>
      <c r="Z60" s="103">
        <v>43.76</v>
      </c>
      <c r="AA60" s="103">
        <v>45.65</v>
      </c>
      <c r="AB60" s="101">
        <v>3703800</v>
      </c>
      <c r="AC60" s="100">
        <v>45.19</v>
      </c>
      <c r="AD60" s="2">
        <f t="shared" si="0"/>
        <v>2.1400000000000006</v>
      </c>
      <c r="AE60" s="138">
        <f t="shared" si="1"/>
        <v>2.0090293453724595E-2</v>
      </c>
    </row>
    <row r="61" spans="15:31" x14ac:dyDescent="0.25">
      <c r="O61" s="83">
        <v>0.9</v>
      </c>
      <c r="P61" s="83">
        <f t="shared" si="2"/>
        <v>47.708999999999996</v>
      </c>
      <c r="W61" s="99">
        <v>42682</v>
      </c>
      <c r="X61" s="103">
        <v>44.36</v>
      </c>
      <c r="Y61" s="103">
        <v>44.83</v>
      </c>
      <c r="Z61" s="103">
        <v>44.03</v>
      </c>
      <c r="AA61" s="103">
        <v>44.75</v>
      </c>
      <c r="AB61" s="101">
        <v>2283500</v>
      </c>
      <c r="AC61" s="100">
        <v>44.3</v>
      </c>
      <c r="AD61" s="2">
        <f t="shared" si="0"/>
        <v>0.79999999999999716</v>
      </c>
      <c r="AE61" s="138">
        <f t="shared" si="1"/>
        <v>6.36074511585627E-3</v>
      </c>
    </row>
    <row r="62" spans="15:31" x14ac:dyDescent="0.25">
      <c r="W62" s="99">
        <v>42681</v>
      </c>
      <c r="X62" s="103">
        <v>44.55</v>
      </c>
      <c r="Y62" s="103">
        <v>44.97</v>
      </c>
      <c r="Z62" s="103">
        <v>44</v>
      </c>
      <c r="AA62" s="103">
        <v>44.47</v>
      </c>
      <c r="AB62" s="101">
        <v>3036300</v>
      </c>
      <c r="AC62" s="100">
        <v>44.02</v>
      </c>
      <c r="AD62" s="2">
        <f t="shared" si="0"/>
        <v>0.96999999999999886</v>
      </c>
      <c r="AE62" s="138">
        <f t="shared" si="1"/>
        <v>1.1256604640477841E-2</v>
      </c>
    </row>
    <row r="63" spans="15:31" x14ac:dyDescent="0.25">
      <c r="W63" s="99">
        <v>42678</v>
      </c>
      <c r="X63" s="103">
        <v>43.73</v>
      </c>
      <c r="Y63" s="103">
        <v>44.47</v>
      </c>
      <c r="Z63" s="103">
        <v>43.62</v>
      </c>
      <c r="AA63" s="103">
        <v>43.98</v>
      </c>
      <c r="AB63" s="101">
        <v>2268300</v>
      </c>
      <c r="AC63" s="100">
        <v>43.53</v>
      </c>
      <c r="AD63" s="2">
        <f t="shared" si="0"/>
        <v>0.85000000000000142</v>
      </c>
      <c r="AE63" s="138">
        <f t="shared" si="1"/>
        <v>8.5727525486563039E-3</v>
      </c>
    </row>
    <row r="64" spans="15:31" x14ac:dyDescent="0.25">
      <c r="W64" s="99">
        <v>42677</v>
      </c>
      <c r="X64" s="103">
        <v>44.26</v>
      </c>
      <c r="Y64" s="103">
        <v>44.42</v>
      </c>
      <c r="Z64" s="103">
        <v>43.55</v>
      </c>
      <c r="AA64" s="103">
        <v>43.6</v>
      </c>
      <c r="AB64" s="101">
        <v>2464500</v>
      </c>
      <c r="AC64" s="100">
        <v>43.16</v>
      </c>
      <c r="AD64" s="2">
        <f t="shared" si="0"/>
        <v>0.87000000000000455</v>
      </c>
      <c r="AE64" s="138">
        <f t="shared" si="1"/>
        <v>-1.3034530070889505E-2</v>
      </c>
    </row>
    <row r="65" spans="23:31" x14ac:dyDescent="0.25">
      <c r="W65" s="99">
        <v>42676</v>
      </c>
      <c r="X65" s="103">
        <v>44.06</v>
      </c>
      <c r="Y65" s="103">
        <v>44.45</v>
      </c>
      <c r="Z65" s="103">
        <v>43.9</v>
      </c>
      <c r="AA65" s="103">
        <v>44.18</v>
      </c>
      <c r="AB65" s="101">
        <v>2687300</v>
      </c>
      <c r="AC65" s="100">
        <v>43.73</v>
      </c>
      <c r="AD65" s="2">
        <f t="shared" si="0"/>
        <v>0.55000000000000426</v>
      </c>
      <c r="AE65" s="138">
        <f t="shared" si="1"/>
        <v>-9.1386794608194766E-4</v>
      </c>
    </row>
    <row r="66" spans="23:31" x14ac:dyDescent="0.25">
      <c r="W66" s="99">
        <v>42675</v>
      </c>
      <c r="X66" s="103">
        <v>45.15</v>
      </c>
      <c r="Y66" s="103">
        <v>45.22</v>
      </c>
      <c r="Z66" s="103">
        <v>43.76</v>
      </c>
      <c r="AA66" s="103">
        <v>44.22</v>
      </c>
      <c r="AB66" s="101">
        <v>3086100</v>
      </c>
      <c r="AC66" s="100">
        <v>43.77</v>
      </c>
      <c r="AD66" s="2">
        <f t="shared" si="0"/>
        <v>1.4600000000000009</v>
      </c>
      <c r="AE66" s="138">
        <f t="shared" si="1"/>
        <v>-1.7949293246578346E-2</v>
      </c>
    </row>
    <row r="67" spans="23:31" x14ac:dyDescent="0.25">
      <c r="W67" s="99">
        <v>42674</v>
      </c>
      <c r="X67" s="103">
        <v>44.88</v>
      </c>
      <c r="Y67" s="103">
        <v>45.39</v>
      </c>
      <c r="Z67" s="103">
        <v>44.87</v>
      </c>
      <c r="AA67" s="103">
        <v>45.03</v>
      </c>
      <c r="AB67" s="101">
        <v>2317100</v>
      </c>
      <c r="AC67" s="100">
        <v>44.57</v>
      </c>
      <c r="AD67" s="2">
        <f>Y67-Z67</f>
        <v>0.52000000000000313</v>
      </c>
      <c r="AE67" s="138" t="e">
        <f>AC67/#REF!-1</f>
        <v>#REF!</v>
      </c>
    </row>
    <row r="68" spans="23:31" x14ac:dyDescent="0.25">
      <c r="W68" s="99">
        <v>42671</v>
      </c>
      <c r="X68" s="103">
        <v>45.19</v>
      </c>
      <c r="Y68" s="103">
        <v>45.52</v>
      </c>
      <c r="Z68" s="103">
        <v>44.71</v>
      </c>
      <c r="AA68" s="103">
        <v>45.01</v>
      </c>
      <c r="AB68" s="101">
        <v>2374500</v>
      </c>
      <c r="AC68" s="100">
        <v>44.55</v>
      </c>
      <c r="AD68" s="2" t="e">
        <f>#REF!-#REF!</f>
        <v>#REF!</v>
      </c>
      <c r="AE68" s="138" t="e">
        <f>#REF!/#REF!-1</f>
        <v>#REF!</v>
      </c>
    </row>
    <row r="69" spans="23:31" x14ac:dyDescent="0.25">
      <c r="W69" s="99" t="s">
        <v>121</v>
      </c>
      <c r="X69" s="103"/>
      <c r="Y69" s="103"/>
      <c r="Z69" s="103"/>
      <c r="AA69" s="103"/>
      <c r="AB69" s="101"/>
      <c r="AC69" s="100"/>
      <c r="AD69" s="2" t="e">
        <f>#REF!-#REF!</f>
        <v>#REF!</v>
      </c>
      <c r="AE69" s="138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541" priority="11">
      <formula>F27&gt;0</formula>
    </cfRule>
    <cfRule type="expression" dxfId="540" priority="12">
      <formula>F27&lt;0</formula>
    </cfRule>
  </conditionalFormatting>
  <conditionalFormatting sqref="H27:H29">
    <cfRule type="expression" dxfId="539" priority="9">
      <formula>H27&gt;0</formula>
    </cfRule>
    <cfRule type="expression" dxfId="538" priority="10">
      <formula>H27&lt;0</formula>
    </cfRule>
  </conditionalFormatting>
  <conditionalFormatting sqref="F23:F26">
    <cfRule type="expression" dxfId="537" priority="7">
      <formula>F23&gt;0</formula>
    </cfRule>
    <cfRule type="expression" dxfId="536" priority="8">
      <formula>F23&lt;0</formula>
    </cfRule>
  </conditionalFormatting>
  <conditionalFormatting sqref="H23:H26">
    <cfRule type="expression" dxfId="535" priority="5">
      <formula>H23&gt;0</formula>
    </cfRule>
    <cfRule type="expression" dxfId="534" priority="6">
      <formula>H23&lt;0</formula>
    </cfRule>
  </conditionalFormatting>
  <conditionalFormatting sqref="Q8">
    <cfRule type="expression" dxfId="533" priority="1">
      <formula>Q8&gt;0</formula>
    </cfRule>
    <cfRule type="expression" dxfId="532" priority="2">
      <formula>Q8&lt;0</formula>
    </cfRule>
  </conditionalFormatting>
  <conditionalFormatting sqref="Q7">
    <cfRule type="expression" dxfId="531" priority="3">
      <formula>Q7&gt;0</formula>
    </cfRule>
    <cfRule type="expression" dxfId="530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2"/>
    <col min="18" max="18" width="17.7109375" style="34" customWidth="1"/>
    <col min="19" max="19" width="13.7109375" style="86" customWidth="1"/>
    <col min="20" max="20" width="13.7109375" customWidth="1"/>
    <col min="21" max="21" width="19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6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3"/>
      <c r="S1" s="84" t="s">
        <v>70</v>
      </c>
      <c r="W1" s="93" t="s">
        <v>114</v>
      </c>
      <c r="X1" s="102" t="s">
        <v>115</v>
      </c>
      <c r="Y1" s="102" t="s">
        <v>116</v>
      </c>
      <c r="Z1" s="102" t="s">
        <v>117</v>
      </c>
      <c r="AA1" s="102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27</v>
      </c>
      <c r="B2" s="74"/>
      <c r="C2" s="4"/>
      <c r="D2" s="3"/>
      <c r="E2" s="3"/>
      <c r="F2" s="3"/>
      <c r="G2" s="120"/>
      <c r="H2" s="393"/>
      <c r="I2" s="75"/>
      <c r="J2" s="75"/>
      <c r="K2" s="17"/>
      <c r="L2" s="74"/>
      <c r="M2" s="75"/>
      <c r="O2" s="11" t="s">
        <v>57</v>
      </c>
      <c r="Q2">
        <f>C18-H18</f>
        <v>0</v>
      </c>
      <c r="S2" s="114"/>
      <c r="T2" s="17"/>
      <c r="U2" s="17"/>
      <c r="V2" s="17"/>
      <c r="W2" s="99">
        <v>42768</v>
      </c>
      <c r="X2" s="103">
        <v>36.26</v>
      </c>
      <c r="Y2" s="103">
        <v>36.700000000000003</v>
      </c>
      <c r="Z2" s="103">
        <v>36.200000000000003</v>
      </c>
      <c r="AA2" s="103">
        <v>36.68</v>
      </c>
      <c r="AB2" s="101">
        <v>31814300</v>
      </c>
      <c r="AC2" s="100">
        <v>36.68</v>
      </c>
      <c r="AD2" s="2">
        <f>Y2-Z2</f>
        <v>0.5</v>
      </c>
      <c r="AE2" s="138">
        <f>AC2/AC3-1</f>
        <v>4.3811610076669449E-3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4"/>
      <c r="J3" s="4"/>
      <c r="K3" s="17"/>
      <c r="L3" s="74"/>
      <c r="M3" s="3"/>
      <c r="O3" s="11" t="s">
        <v>58</v>
      </c>
      <c r="Q3" s="2">
        <f>IF(Q2=0, Q4, (F18-K18-M18)/Q2)</f>
        <v>36.520000000000003</v>
      </c>
      <c r="S3" s="115"/>
      <c r="T3" s="17"/>
      <c r="U3" s="17"/>
      <c r="V3" s="17"/>
      <c r="W3" s="99">
        <v>42767</v>
      </c>
      <c r="X3" s="103">
        <v>36.82</v>
      </c>
      <c r="Y3" s="103">
        <v>36.950000000000003</v>
      </c>
      <c r="Z3" s="103">
        <v>36.020000000000003</v>
      </c>
      <c r="AA3" s="103">
        <v>36.520000000000003</v>
      </c>
      <c r="AB3" s="101">
        <v>28231600</v>
      </c>
      <c r="AC3" s="100">
        <v>36.520000000000003</v>
      </c>
      <c r="AD3" s="2">
        <f t="shared" ref="AD3:AD66" si="0">Y3-Z3</f>
        <v>0.92999999999999972</v>
      </c>
      <c r="AE3" s="138">
        <f t="shared" ref="AE3:AE66" si="1">AC3/AC4-1</f>
        <v>-8.1477457903312844E-3</v>
      </c>
    </row>
    <row r="4" spans="1:31" x14ac:dyDescent="0.25">
      <c r="B4" s="74"/>
      <c r="C4" s="4"/>
      <c r="D4" s="3"/>
      <c r="E4" s="3"/>
      <c r="F4" s="3"/>
      <c r="G4" s="74"/>
      <c r="H4" s="185"/>
      <c r="I4" s="4"/>
      <c r="J4" s="3"/>
      <c r="K4" s="75"/>
      <c r="L4" s="4"/>
      <c r="M4" s="4"/>
      <c r="O4" s="11" t="s">
        <v>66</v>
      </c>
      <c r="Q4" s="55">
        <v>36.520000000000003</v>
      </c>
      <c r="R4" s="526">
        <v>2.7000000000000001E-3</v>
      </c>
      <c r="W4" s="99">
        <v>42766</v>
      </c>
      <c r="X4" s="103">
        <v>37.22</v>
      </c>
      <c r="Y4" s="103">
        <v>37.369999999999997</v>
      </c>
      <c r="Z4" s="103">
        <v>36.64</v>
      </c>
      <c r="AA4" s="103">
        <v>36.82</v>
      </c>
      <c r="AB4" s="101">
        <v>26993900</v>
      </c>
      <c r="AC4" s="100">
        <v>36.82</v>
      </c>
      <c r="AD4" s="2">
        <f t="shared" si="0"/>
        <v>0.72999999999999687</v>
      </c>
      <c r="AE4" s="138">
        <f t="shared" si="1"/>
        <v>-1.6034206306787868E-2</v>
      </c>
    </row>
    <row r="5" spans="1:31" x14ac:dyDescent="0.25">
      <c r="B5" s="74"/>
      <c r="C5" s="4"/>
      <c r="D5" s="3"/>
      <c r="E5" s="3"/>
      <c r="F5" s="3"/>
      <c r="G5" s="74"/>
      <c r="H5" s="185"/>
      <c r="I5" s="4"/>
      <c r="J5" s="3"/>
      <c r="K5" s="75"/>
      <c r="L5" s="4"/>
      <c r="M5" s="4"/>
      <c r="O5" s="11" t="s">
        <v>67</v>
      </c>
      <c r="Q5" s="3">
        <f>Q4*Q2</f>
        <v>0</v>
      </c>
      <c r="S5" s="85"/>
      <c r="W5" s="99">
        <v>42765</v>
      </c>
      <c r="X5" s="103">
        <v>37.74</v>
      </c>
      <c r="Y5" s="103">
        <v>37.840000000000003</v>
      </c>
      <c r="Z5" s="103">
        <v>37.33</v>
      </c>
      <c r="AA5" s="103">
        <v>37.42</v>
      </c>
      <c r="AB5" s="101">
        <v>23762600</v>
      </c>
      <c r="AC5" s="100">
        <v>37.42</v>
      </c>
      <c r="AD5" s="2">
        <f t="shared" si="0"/>
        <v>0.51000000000000512</v>
      </c>
      <c r="AE5" s="138">
        <f t="shared" si="1"/>
        <v>-1.4744602422327446E-2</v>
      </c>
    </row>
    <row r="6" spans="1:31" x14ac:dyDescent="0.25">
      <c r="B6" s="74"/>
      <c r="C6" s="4"/>
      <c r="D6" s="3"/>
      <c r="E6" s="3"/>
      <c r="F6" s="3"/>
      <c r="G6" s="74"/>
      <c r="H6" s="185"/>
      <c r="I6" s="4"/>
      <c r="J6" s="4"/>
      <c r="K6" s="75"/>
      <c r="L6" s="4"/>
      <c r="M6" s="4"/>
      <c r="O6" s="11" t="s">
        <v>64</v>
      </c>
      <c r="Q6" s="2">
        <f>Q3*Q2</f>
        <v>0</v>
      </c>
      <c r="S6" s="85"/>
      <c r="W6" s="99">
        <v>42762</v>
      </c>
      <c r="X6" s="103">
        <v>38</v>
      </c>
      <c r="Y6" s="103">
        <v>38.450000000000003</v>
      </c>
      <c r="Z6" s="103">
        <v>37.81</v>
      </c>
      <c r="AA6" s="103">
        <v>37.979999999999997</v>
      </c>
      <c r="AB6" s="101">
        <v>44208100</v>
      </c>
      <c r="AC6" s="100">
        <v>37.979999999999997</v>
      </c>
      <c r="AD6" s="2">
        <f t="shared" si="0"/>
        <v>0.64000000000000057</v>
      </c>
      <c r="AE6" s="138">
        <f t="shared" si="1"/>
        <v>1.118210862619784E-2</v>
      </c>
    </row>
    <row r="7" spans="1:31" x14ac:dyDescent="0.25">
      <c r="B7" s="74"/>
      <c r="C7" s="4"/>
      <c r="D7" s="3"/>
      <c r="E7" s="3"/>
      <c r="F7" s="3"/>
      <c r="G7" s="74"/>
      <c r="H7" s="185"/>
      <c r="I7" s="4"/>
      <c r="J7" s="4"/>
      <c r="K7" s="75"/>
      <c r="L7" s="4"/>
      <c r="M7" s="4"/>
      <c r="O7" s="11" t="s">
        <v>181</v>
      </c>
      <c r="Q7" s="2">
        <f>Q10+Q8</f>
        <v>1407.5400000000009</v>
      </c>
      <c r="R7">
        <v>0</v>
      </c>
      <c r="W7" s="99">
        <v>42761</v>
      </c>
      <c r="X7" s="103">
        <v>37.82</v>
      </c>
      <c r="Y7" s="103">
        <v>37.92</v>
      </c>
      <c r="Z7" s="103">
        <v>37.42</v>
      </c>
      <c r="AA7" s="103">
        <v>37.56</v>
      </c>
      <c r="AB7" s="101">
        <v>33092300</v>
      </c>
      <c r="AC7" s="100">
        <v>37.56</v>
      </c>
      <c r="AD7" s="2">
        <f t="shared" si="0"/>
        <v>0.5</v>
      </c>
      <c r="AE7" s="138">
        <f t="shared" si="1"/>
        <v>-6.3492063492062156E-3</v>
      </c>
    </row>
    <row r="8" spans="1:31" x14ac:dyDescent="0.25">
      <c r="B8" s="74"/>
      <c r="C8" s="4"/>
      <c r="D8" s="3"/>
      <c r="E8" s="3"/>
      <c r="F8" s="3"/>
      <c r="G8" s="74"/>
      <c r="H8" s="185"/>
      <c r="I8" s="4"/>
      <c r="J8" s="4"/>
      <c r="K8" s="75"/>
      <c r="L8" s="4"/>
      <c r="M8" s="4"/>
      <c r="O8" s="11" t="s">
        <v>184</v>
      </c>
      <c r="P8" s="34"/>
      <c r="Q8" s="2">
        <f>K18+M18-F18+Q2*Q4</f>
        <v>0</v>
      </c>
      <c r="S8" s="121"/>
      <c r="W8" s="99">
        <v>42760</v>
      </c>
      <c r="X8" s="103">
        <v>37.869999999999997</v>
      </c>
      <c r="Y8" s="103">
        <v>38</v>
      </c>
      <c r="Z8" s="103">
        <v>37.520000000000003</v>
      </c>
      <c r="AA8" s="103">
        <v>37.799999999999997</v>
      </c>
      <c r="AB8" s="101">
        <v>32276400</v>
      </c>
      <c r="AC8" s="100">
        <v>37.799999999999997</v>
      </c>
      <c r="AD8" s="2">
        <f t="shared" si="0"/>
        <v>0.47999999999999687</v>
      </c>
      <c r="AE8" s="138">
        <f t="shared" si="1"/>
        <v>4.7846889952152249E-3</v>
      </c>
    </row>
    <row r="9" spans="1:31" x14ac:dyDescent="0.25">
      <c r="B9" s="74"/>
      <c r="C9" s="4"/>
      <c r="D9" s="3"/>
      <c r="E9" s="3"/>
      <c r="F9" s="3"/>
      <c r="G9" s="74"/>
      <c r="H9" s="185"/>
      <c r="I9" s="4"/>
      <c r="J9" s="4"/>
      <c r="K9" s="75"/>
      <c r="L9" s="4"/>
      <c r="M9" s="4"/>
      <c r="O9" s="11" t="s">
        <v>214</v>
      </c>
      <c r="Q9" s="138">
        <f>IF(Q2=0, 0, Q8/Q6)</f>
        <v>0</v>
      </c>
      <c r="W9" s="99">
        <v>42759</v>
      </c>
      <c r="X9" s="103">
        <v>36.840000000000003</v>
      </c>
      <c r="Y9" s="103">
        <v>37.74</v>
      </c>
      <c r="Z9" s="103">
        <v>36.81</v>
      </c>
      <c r="AA9" s="103">
        <v>37.619999999999997</v>
      </c>
      <c r="AB9" s="101">
        <v>34841100</v>
      </c>
      <c r="AC9" s="100">
        <v>37.619999999999997</v>
      </c>
      <c r="AD9" s="2">
        <f t="shared" si="0"/>
        <v>0.92999999999999972</v>
      </c>
      <c r="AE9" s="138">
        <f t="shared" si="1"/>
        <v>2.3116671199347127E-2</v>
      </c>
    </row>
    <row r="10" spans="1:31" x14ac:dyDescent="0.25">
      <c r="B10" s="74"/>
      <c r="C10" s="4"/>
      <c r="D10" s="3"/>
      <c r="E10" s="3"/>
      <c r="F10" s="3"/>
      <c r="G10" s="74"/>
      <c r="H10" s="185"/>
      <c r="I10" s="4"/>
      <c r="J10" s="4"/>
      <c r="K10" s="75"/>
      <c r="L10" s="4"/>
      <c r="M10" s="4"/>
      <c r="O10" s="11" t="s">
        <v>213</v>
      </c>
      <c r="P10" s="34"/>
      <c r="Q10" s="2">
        <f>M33</f>
        <v>1407.5400000000009</v>
      </c>
      <c r="W10" s="99">
        <v>42758</v>
      </c>
      <c r="X10" s="103">
        <v>37.07</v>
      </c>
      <c r="Y10" s="103">
        <v>37.21</v>
      </c>
      <c r="Z10" s="103">
        <v>36.549999999999997</v>
      </c>
      <c r="AA10" s="103">
        <v>36.770000000000003</v>
      </c>
      <c r="AB10" s="101">
        <v>27495100</v>
      </c>
      <c r="AC10" s="100">
        <v>36.770000000000003</v>
      </c>
      <c r="AD10" s="2">
        <f t="shared" si="0"/>
        <v>0.66000000000000369</v>
      </c>
      <c r="AE10" s="138">
        <f t="shared" si="1"/>
        <v>-4.6020573903625683E-3</v>
      </c>
    </row>
    <row r="11" spans="1:31" x14ac:dyDescent="0.25">
      <c r="B11" s="74"/>
      <c r="C11" s="4"/>
      <c r="D11" s="3"/>
      <c r="E11" s="3"/>
      <c r="F11" s="3"/>
      <c r="G11" s="4"/>
      <c r="H11" s="185"/>
      <c r="I11" s="4"/>
      <c r="J11" s="4"/>
      <c r="K11" s="4"/>
      <c r="L11" s="4"/>
      <c r="M11" s="4"/>
      <c r="O11" s="11" t="s">
        <v>178</v>
      </c>
      <c r="P11" s="34"/>
      <c r="Q11" s="138">
        <f>VALUE(TRIM(CLEAN(MID(U58, FIND("(", U58)+1, 5))))</f>
        <v>2.8199999999999999E-2</v>
      </c>
      <c r="W11" s="99">
        <v>42755</v>
      </c>
      <c r="X11" s="103">
        <v>36.76</v>
      </c>
      <c r="Y11" s="103">
        <v>37.03</v>
      </c>
      <c r="Z11" s="103">
        <v>36.58</v>
      </c>
      <c r="AA11" s="103">
        <v>36.94</v>
      </c>
      <c r="AB11" s="101">
        <v>23536700</v>
      </c>
      <c r="AC11" s="100">
        <v>36.94</v>
      </c>
      <c r="AD11" s="2">
        <f t="shared" si="0"/>
        <v>0.45000000000000284</v>
      </c>
      <c r="AE11" s="138">
        <f t="shared" si="1"/>
        <v>1.0117582718074836E-2</v>
      </c>
    </row>
    <row r="12" spans="1:31" x14ac:dyDescent="0.25">
      <c r="B12" s="74"/>
      <c r="C12" s="4"/>
      <c r="D12" s="3"/>
      <c r="E12" s="3"/>
      <c r="F12" s="3"/>
      <c r="G12" s="4"/>
      <c r="H12" s="185"/>
      <c r="I12" s="4"/>
      <c r="J12" s="4"/>
      <c r="K12" s="4"/>
      <c r="L12" s="4"/>
      <c r="M12" s="4"/>
      <c r="W12" s="99">
        <v>42754</v>
      </c>
      <c r="X12" s="103">
        <v>36.51</v>
      </c>
      <c r="Y12" s="103">
        <v>36.909999999999997</v>
      </c>
      <c r="Z12" s="103">
        <v>36.51</v>
      </c>
      <c r="AA12" s="103">
        <v>36.57</v>
      </c>
      <c r="AB12" s="101">
        <v>13600200</v>
      </c>
      <c r="AC12" s="100">
        <v>36.57</v>
      </c>
      <c r="AD12" s="2">
        <f t="shared" si="0"/>
        <v>0.39999999999999858</v>
      </c>
      <c r="AE12" s="138">
        <f t="shared" si="1"/>
        <v>-5.1686615886833431E-3</v>
      </c>
    </row>
    <row r="13" spans="1:31" x14ac:dyDescent="0.25">
      <c r="B13" s="74"/>
      <c r="C13" s="4"/>
      <c r="D13" s="3"/>
      <c r="E13" s="3"/>
      <c r="F13" s="3"/>
      <c r="G13" s="4"/>
      <c r="H13" s="185"/>
      <c r="I13" s="4"/>
      <c r="J13" s="4"/>
      <c r="K13" s="4"/>
      <c r="L13" s="4"/>
      <c r="M13" s="4"/>
      <c r="W13" s="99">
        <v>42753</v>
      </c>
      <c r="X13" s="103">
        <v>36.89</v>
      </c>
      <c r="Y13" s="103">
        <v>37.01</v>
      </c>
      <c r="Z13" s="103">
        <v>36.61</v>
      </c>
      <c r="AA13" s="103">
        <v>36.76</v>
      </c>
      <c r="AB13" s="101">
        <v>15375400</v>
      </c>
      <c r="AC13" s="100">
        <v>36.76</v>
      </c>
      <c r="AD13" s="2">
        <f t="shared" si="0"/>
        <v>0.39999999999999858</v>
      </c>
      <c r="AE13" s="138">
        <f t="shared" si="1"/>
        <v>-1.0869565217390686E-3</v>
      </c>
    </row>
    <row r="14" spans="1:31" x14ac:dyDescent="0.25">
      <c r="B14" s="74"/>
      <c r="C14" s="4"/>
      <c r="D14" s="4"/>
      <c r="E14" s="3"/>
      <c r="F14" s="3"/>
      <c r="G14" s="4"/>
      <c r="H14" s="185"/>
      <c r="I14" s="4"/>
      <c r="J14" s="4"/>
      <c r="K14" s="4"/>
      <c r="L14" s="4"/>
      <c r="M14" s="4"/>
      <c r="W14" s="99">
        <v>42752</v>
      </c>
      <c r="X14" s="103">
        <v>36.67</v>
      </c>
      <c r="Y14" s="103">
        <v>36.83</v>
      </c>
      <c r="Z14" s="103">
        <v>36.590000000000003</v>
      </c>
      <c r="AA14" s="103">
        <v>36.799999999999997</v>
      </c>
      <c r="AB14" s="101">
        <v>20163000</v>
      </c>
      <c r="AC14" s="100">
        <v>36.799999999999997</v>
      </c>
      <c r="AD14" s="2">
        <f t="shared" si="0"/>
        <v>0.23999999999999488</v>
      </c>
      <c r="AE14" s="138">
        <f t="shared" si="1"/>
        <v>2.7181299266110237E-4</v>
      </c>
    </row>
    <row r="15" spans="1:31" x14ac:dyDescent="0.25">
      <c r="B15" s="74"/>
      <c r="C15" s="4"/>
      <c r="D15" s="3"/>
      <c r="E15" s="3"/>
      <c r="F15" s="3"/>
      <c r="G15" s="4"/>
      <c r="H15" s="185"/>
      <c r="I15" s="4"/>
      <c r="J15" s="4"/>
      <c r="K15" s="4"/>
      <c r="L15" s="4"/>
      <c r="M15" s="4"/>
      <c r="W15" s="99">
        <v>42748</v>
      </c>
      <c r="X15" s="103">
        <v>36.71</v>
      </c>
      <c r="Y15" s="103">
        <v>36.86</v>
      </c>
      <c r="Z15" s="103">
        <v>36.619999999999997</v>
      </c>
      <c r="AA15" s="103">
        <v>36.79</v>
      </c>
      <c r="AB15" s="101">
        <v>15064600</v>
      </c>
      <c r="AC15" s="100">
        <v>36.79</v>
      </c>
      <c r="AD15" s="2">
        <f t="shared" si="0"/>
        <v>0.24000000000000199</v>
      </c>
      <c r="AE15" s="138">
        <f t="shared" si="1"/>
        <v>2.1792427131570591E-3</v>
      </c>
    </row>
    <row r="16" spans="1:31" x14ac:dyDescent="0.25">
      <c r="B16" s="4"/>
      <c r="C16" s="4"/>
      <c r="D16" s="4"/>
      <c r="E16" s="4"/>
      <c r="F16" s="4"/>
      <c r="G16" s="4"/>
      <c r="H16" s="185"/>
      <c r="I16" s="4"/>
      <c r="J16" s="4"/>
      <c r="K16" s="4"/>
      <c r="L16" s="4"/>
      <c r="M16" s="4"/>
      <c r="W16" s="99">
        <v>42747</v>
      </c>
      <c r="X16" s="103">
        <v>36.83</v>
      </c>
      <c r="Y16" s="103">
        <v>36.83</v>
      </c>
      <c r="Z16" s="103">
        <v>36.32</v>
      </c>
      <c r="AA16" s="103">
        <v>36.71</v>
      </c>
      <c r="AB16" s="101">
        <v>20310300</v>
      </c>
      <c r="AC16" s="100">
        <v>36.71</v>
      </c>
      <c r="AD16" s="2">
        <f t="shared" si="0"/>
        <v>0.50999999999999801</v>
      </c>
      <c r="AE16" s="138">
        <f t="shared" si="1"/>
        <v>-6.4952638700948029E-3</v>
      </c>
    </row>
    <row r="17" spans="1:31" x14ac:dyDescent="0.25">
      <c r="W17" s="99">
        <v>42746</v>
      </c>
      <c r="X17" s="103">
        <v>36.51</v>
      </c>
      <c r="Y17" s="103">
        <v>37</v>
      </c>
      <c r="Z17" s="103">
        <v>36.51</v>
      </c>
      <c r="AA17" s="103">
        <v>36.950000000000003</v>
      </c>
      <c r="AB17" s="101">
        <v>21293700</v>
      </c>
      <c r="AC17" s="100">
        <v>36.950000000000003</v>
      </c>
      <c r="AD17" s="2">
        <f t="shared" si="0"/>
        <v>0.49000000000000199</v>
      </c>
      <c r="AE17" s="138">
        <f t="shared" si="1"/>
        <v>1.1220580186097617E-2</v>
      </c>
    </row>
    <row r="18" spans="1:31" x14ac:dyDescent="0.25">
      <c r="A18" s="22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7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9">
        <v>42745</v>
      </c>
      <c r="X18" s="103">
        <v>36.549999999999997</v>
      </c>
      <c r="Y18" s="103">
        <v>36.93</v>
      </c>
      <c r="Z18" s="103">
        <v>36.53</v>
      </c>
      <c r="AA18" s="103">
        <v>36.54</v>
      </c>
      <c r="AB18" s="101">
        <v>15897500</v>
      </c>
      <c r="AC18" s="100">
        <v>36.54</v>
      </c>
      <c r="AD18" s="2">
        <f t="shared" si="0"/>
        <v>0.39999999999999858</v>
      </c>
      <c r="AE18" s="138">
        <f t="shared" si="1"/>
        <v>-1.9120458891013214E-3</v>
      </c>
    </row>
    <row r="19" spans="1:31" x14ac:dyDescent="0.25">
      <c r="W19" s="99">
        <v>42744</v>
      </c>
      <c r="X19" s="103">
        <v>36.479999999999997</v>
      </c>
      <c r="Y19" s="103">
        <v>36.89</v>
      </c>
      <c r="Z19" s="103">
        <v>36.479999999999997</v>
      </c>
      <c r="AA19" s="103">
        <v>36.61</v>
      </c>
      <c r="AB19" s="101">
        <v>19449400</v>
      </c>
      <c r="AC19" s="100">
        <v>36.61</v>
      </c>
      <c r="AD19" s="2">
        <f t="shared" si="0"/>
        <v>0.41000000000000369</v>
      </c>
      <c r="AE19" s="138">
        <f t="shared" si="1"/>
        <v>3.5635964912281715E-3</v>
      </c>
    </row>
    <row r="20" spans="1:31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5" t="s">
        <v>65</v>
      </c>
      <c r="G20" s="229" t="s">
        <v>152</v>
      </c>
      <c r="W20" s="99">
        <v>42741</v>
      </c>
      <c r="X20" s="103">
        <v>36.590000000000003</v>
      </c>
      <c r="Y20" s="103">
        <v>36.68</v>
      </c>
      <c r="Z20" s="103">
        <v>36.19</v>
      </c>
      <c r="AA20" s="103">
        <v>36.479999999999997</v>
      </c>
      <c r="AB20" s="101">
        <v>15105100</v>
      </c>
      <c r="AC20" s="100">
        <v>36.479999999999997</v>
      </c>
      <c r="AD20" s="2">
        <f t="shared" si="0"/>
        <v>0.49000000000000199</v>
      </c>
      <c r="AE20" s="138">
        <f t="shared" si="1"/>
        <v>3.5763411279228219E-3</v>
      </c>
    </row>
    <row r="21" spans="1:31" x14ac:dyDescent="0.25">
      <c r="B21" s="193"/>
      <c r="C21" s="10"/>
      <c r="D21" s="40"/>
      <c r="E21" s="40"/>
      <c r="F21" s="40"/>
      <c r="G21" s="40"/>
      <c r="W21" s="99">
        <v>42740</v>
      </c>
      <c r="X21" s="103">
        <v>36.450000000000003</v>
      </c>
      <c r="Y21" s="103">
        <v>36.72</v>
      </c>
      <c r="Z21" s="103">
        <v>36.31</v>
      </c>
      <c r="AA21" s="103">
        <v>36.35</v>
      </c>
      <c r="AB21" s="101">
        <v>13956600</v>
      </c>
      <c r="AC21" s="100">
        <v>36.35</v>
      </c>
      <c r="AD21" s="2">
        <f t="shared" si="0"/>
        <v>0.40999999999999659</v>
      </c>
      <c r="AE21" s="138">
        <f t="shared" si="1"/>
        <v>-1.647898928865521E-3</v>
      </c>
    </row>
    <row r="22" spans="1:31" x14ac:dyDescent="0.25">
      <c r="B22" s="193"/>
      <c r="C22" s="10"/>
      <c r="D22" s="40"/>
      <c r="E22" s="40"/>
      <c r="F22" s="40"/>
      <c r="G22" s="40"/>
      <c r="W22" s="99">
        <v>42739</v>
      </c>
      <c r="X22" s="103">
        <v>36.71</v>
      </c>
      <c r="Y22" s="103">
        <v>36.770000000000003</v>
      </c>
      <c r="Z22" s="103">
        <v>36.340000000000003</v>
      </c>
      <c r="AA22" s="103">
        <v>36.409999999999997</v>
      </c>
      <c r="AB22" s="101">
        <v>15808300</v>
      </c>
      <c r="AC22" s="100">
        <v>36.409999999999997</v>
      </c>
      <c r="AD22" s="2">
        <f t="shared" si="0"/>
        <v>0.42999999999999972</v>
      </c>
      <c r="AE22" s="138">
        <f t="shared" si="1"/>
        <v>-5.1912568306011764E-3</v>
      </c>
    </row>
    <row r="23" spans="1:31" x14ac:dyDescent="0.25">
      <c r="B23" s="10"/>
      <c r="C23" s="10"/>
      <c r="D23" s="40"/>
      <c r="E23" s="40"/>
      <c r="F23" s="40"/>
      <c r="G23" s="40"/>
      <c r="W23" s="99">
        <v>42738</v>
      </c>
      <c r="X23" s="103">
        <v>36.61</v>
      </c>
      <c r="Y23" s="103">
        <v>36.93</v>
      </c>
      <c r="Z23" s="103">
        <v>36.270000000000003</v>
      </c>
      <c r="AA23" s="103">
        <v>36.6</v>
      </c>
      <c r="AB23" s="101">
        <v>20124500</v>
      </c>
      <c r="AC23" s="100">
        <v>36.6</v>
      </c>
      <c r="AD23" s="2">
        <f t="shared" si="0"/>
        <v>0.65999999999999659</v>
      </c>
      <c r="AE23" s="138">
        <f t="shared" si="1"/>
        <v>9.0984284532671378E-3</v>
      </c>
    </row>
    <row r="24" spans="1:31" x14ac:dyDescent="0.25">
      <c r="B24" s="10"/>
      <c r="C24" s="10"/>
      <c r="D24" s="40"/>
      <c r="E24" s="40"/>
      <c r="F24" s="40"/>
      <c r="G24" s="40"/>
      <c r="W24" s="99">
        <v>42734</v>
      </c>
      <c r="X24" s="103">
        <v>36.79</v>
      </c>
      <c r="Y24" s="103">
        <v>36.799999999999997</v>
      </c>
      <c r="Z24" s="103">
        <v>36.200000000000003</v>
      </c>
      <c r="AA24" s="103">
        <v>36.270000000000003</v>
      </c>
      <c r="AB24" s="101">
        <v>17464900</v>
      </c>
      <c r="AC24" s="100">
        <v>36.270000000000003</v>
      </c>
      <c r="AD24" s="2">
        <f t="shared" si="0"/>
        <v>0.59999999999999432</v>
      </c>
      <c r="AE24" s="138">
        <f t="shared" si="1"/>
        <v>-1.0638297872340274E-2</v>
      </c>
    </row>
    <row r="25" spans="1:31" x14ac:dyDescent="0.25">
      <c r="B25" s="10"/>
      <c r="C25" s="10"/>
      <c r="D25" s="40"/>
      <c r="E25" s="40"/>
      <c r="F25" s="40"/>
      <c r="G25" s="40"/>
      <c r="W25" s="99">
        <v>42733</v>
      </c>
      <c r="X25" s="103">
        <v>36.51</v>
      </c>
      <c r="Y25" s="103">
        <v>36.72</v>
      </c>
      <c r="Z25" s="103">
        <v>36.43</v>
      </c>
      <c r="AA25" s="103">
        <v>36.659999999999997</v>
      </c>
      <c r="AB25" s="101">
        <v>8447300</v>
      </c>
      <c r="AC25" s="100">
        <v>36.659999999999997</v>
      </c>
      <c r="AD25" s="2">
        <f t="shared" si="0"/>
        <v>0.28999999999999915</v>
      </c>
      <c r="AE25" s="138">
        <f t="shared" si="1"/>
        <v>8.1900081900054822E-4</v>
      </c>
    </row>
    <row r="26" spans="1:31" x14ac:dyDescent="0.25">
      <c r="B26" s="10"/>
      <c r="C26" s="10"/>
      <c r="D26" s="40"/>
      <c r="E26" s="40"/>
      <c r="F26" s="40"/>
      <c r="G26" s="40"/>
      <c r="W26" s="99">
        <v>42732</v>
      </c>
      <c r="X26" s="103">
        <v>37.1</v>
      </c>
      <c r="Y26" s="103">
        <v>37.200000000000003</v>
      </c>
      <c r="Z26" s="103">
        <v>36.58</v>
      </c>
      <c r="AA26" s="103">
        <v>36.630000000000003</v>
      </c>
      <c r="AB26" s="101">
        <v>12583100</v>
      </c>
      <c r="AC26" s="100">
        <v>36.630000000000003</v>
      </c>
      <c r="AD26" s="2">
        <f t="shared" si="0"/>
        <v>0.62000000000000455</v>
      </c>
      <c r="AE26" s="138">
        <f t="shared" si="1"/>
        <v>-1.1869436201780381E-2</v>
      </c>
    </row>
    <row r="27" spans="1:31" x14ac:dyDescent="0.25">
      <c r="B27" s="10"/>
      <c r="C27" s="10"/>
      <c r="D27" s="40"/>
      <c r="E27" s="40"/>
      <c r="F27" s="40"/>
      <c r="G27" s="40"/>
      <c r="W27" s="99">
        <v>42731</v>
      </c>
      <c r="X27" s="103">
        <v>36.909999999999997</v>
      </c>
      <c r="Y27" s="103">
        <v>37.33</v>
      </c>
      <c r="Z27" s="103">
        <v>36.909999999999997</v>
      </c>
      <c r="AA27" s="103">
        <v>37.07</v>
      </c>
      <c r="AB27" s="101">
        <v>8995700</v>
      </c>
      <c r="AC27" s="100">
        <v>37.07</v>
      </c>
      <c r="AD27" s="2">
        <f t="shared" si="0"/>
        <v>0.42000000000000171</v>
      </c>
      <c r="AE27" s="138">
        <f t="shared" si="1"/>
        <v>2.7048958615094598E-3</v>
      </c>
    </row>
    <row r="28" spans="1:31" x14ac:dyDescent="0.25">
      <c r="B28" s="10"/>
      <c r="C28" s="10"/>
      <c r="D28" s="40"/>
      <c r="E28" s="40"/>
      <c r="F28" s="40"/>
      <c r="G28" s="40"/>
      <c r="W28" s="99">
        <v>42727</v>
      </c>
      <c r="X28" s="103">
        <v>36.93</v>
      </c>
      <c r="Y28" s="103">
        <v>36.979999999999997</v>
      </c>
      <c r="Z28" s="103">
        <v>36.770000000000003</v>
      </c>
      <c r="AA28" s="103">
        <v>36.97</v>
      </c>
      <c r="AB28" s="101">
        <v>6286000</v>
      </c>
      <c r="AC28" s="100">
        <v>36.97</v>
      </c>
      <c r="AD28" s="2">
        <f t="shared" si="0"/>
        <v>0.20999999999999375</v>
      </c>
      <c r="AE28" s="138">
        <f t="shared" si="1"/>
        <v>1.0831302464120451E-3</v>
      </c>
    </row>
    <row r="29" spans="1:31" x14ac:dyDescent="0.25">
      <c r="B29" s="10"/>
      <c r="C29" s="10"/>
      <c r="D29" s="40"/>
      <c r="E29" s="40"/>
      <c r="F29" s="40"/>
      <c r="G29" s="40"/>
      <c r="W29" s="99">
        <v>42726</v>
      </c>
      <c r="X29" s="103">
        <v>37.229999999999997</v>
      </c>
      <c r="Y29" s="103">
        <v>37.24</v>
      </c>
      <c r="Z29" s="103">
        <v>36.81</v>
      </c>
      <c r="AA29" s="103">
        <v>36.93</v>
      </c>
      <c r="AB29" s="101">
        <v>10783100</v>
      </c>
      <c r="AC29" s="100">
        <v>36.93</v>
      </c>
      <c r="AD29" s="2">
        <f t="shared" si="0"/>
        <v>0.42999999999999972</v>
      </c>
      <c r="AE29" s="138">
        <f t="shared" si="1"/>
        <v>-1.3520822065981042E-3</v>
      </c>
    </row>
    <row r="30" spans="1:31" x14ac:dyDescent="0.25">
      <c r="B30" s="10"/>
      <c r="C30" s="10"/>
      <c r="D30" s="40"/>
      <c r="E30" s="40"/>
      <c r="F30" s="40"/>
      <c r="G30" s="40"/>
      <c r="W30" s="99">
        <v>42725</v>
      </c>
      <c r="X30" s="103">
        <v>37.25</v>
      </c>
      <c r="Y30" s="103">
        <v>37.35</v>
      </c>
      <c r="Z30" s="103">
        <v>36.909999999999997</v>
      </c>
      <c r="AA30" s="103">
        <v>36.979999999999997</v>
      </c>
      <c r="AB30" s="101">
        <v>14320600</v>
      </c>
      <c r="AC30" s="100">
        <v>36.979999999999997</v>
      </c>
      <c r="AD30" s="2">
        <f t="shared" si="0"/>
        <v>0.44000000000000483</v>
      </c>
      <c r="AE30" s="138">
        <f t="shared" si="1"/>
        <v>-6.1811341037356637E-3</v>
      </c>
    </row>
    <row r="31" spans="1:31" x14ac:dyDescent="0.25">
      <c r="W31" s="99">
        <v>42724</v>
      </c>
      <c r="X31" s="103">
        <v>36.950000000000003</v>
      </c>
      <c r="Y31" s="103">
        <v>37.24</v>
      </c>
      <c r="Z31" s="103">
        <v>36.89</v>
      </c>
      <c r="AA31" s="103">
        <v>37.21</v>
      </c>
      <c r="AB31" s="101">
        <v>18544500</v>
      </c>
      <c r="AC31" s="100">
        <v>37.21</v>
      </c>
      <c r="AD31" s="2">
        <f t="shared" si="0"/>
        <v>0.35000000000000142</v>
      </c>
      <c r="AE31" s="138">
        <f t="shared" si="1"/>
        <v>8.6744375169423016E-3</v>
      </c>
    </row>
    <row r="32" spans="1:31" x14ac:dyDescent="0.25">
      <c r="W32" s="99">
        <v>42723</v>
      </c>
      <c r="X32" s="103">
        <v>36.340000000000003</v>
      </c>
      <c r="Y32" s="103">
        <v>36.950000000000003</v>
      </c>
      <c r="Z32" s="103">
        <v>36.270000000000003</v>
      </c>
      <c r="AA32" s="103">
        <v>36.89</v>
      </c>
      <c r="AB32" s="101">
        <v>18689200</v>
      </c>
      <c r="AC32" s="100">
        <v>36.89</v>
      </c>
      <c r="AD32" s="2">
        <f t="shared" si="0"/>
        <v>0.67999999999999972</v>
      </c>
      <c r="AE32" s="138">
        <f t="shared" si="1"/>
        <v>1.5973561002478709E-2</v>
      </c>
    </row>
    <row r="33" spans="1:31" x14ac:dyDescent="0.25">
      <c r="L33" t="s">
        <v>213</v>
      </c>
      <c r="M33" s="2">
        <f>M56+K56-F56</f>
        <v>1407.5400000000009</v>
      </c>
      <c r="W33" s="99">
        <v>42720</v>
      </c>
      <c r="X33" s="103">
        <v>36.72</v>
      </c>
      <c r="Y33" s="103">
        <v>36.869999999999997</v>
      </c>
      <c r="Z33" s="103">
        <v>36.090000000000003</v>
      </c>
      <c r="AA33" s="103">
        <v>36.31</v>
      </c>
      <c r="AB33" s="101">
        <v>37794500</v>
      </c>
      <c r="AC33" s="100">
        <v>36.31</v>
      </c>
      <c r="AD33" s="2">
        <f t="shared" si="0"/>
        <v>0.77999999999999403</v>
      </c>
      <c r="AE33" s="138">
        <f t="shared" si="1"/>
        <v>-1.3047023647730249E-2</v>
      </c>
    </row>
    <row r="34" spans="1:31" x14ac:dyDescent="0.25">
      <c r="A34" s="263" t="s">
        <v>1</v>
      </c>
      <c r="B34" s="263" t="s">
        <v>2</v>
      </c>
      <c r="C34" s="263" t="s">
        <v>4</v>
      </c>
      <c r="D34" s="263" t="s">
        <v>5</v>
      </c>
      <c r="E34" s="263" t="s">
        <v>90</v>
      </c>
      <c r="F34" s="263" t="s">
        <v>60</v>
      </c>
      <c r="G34" s="263" t="s">
        <v>3</v>
      </c>
      <c r="H34" s="409" t="s">
        <v>6</v>
      </c>
      <c r="I34" s="263" t="s">
        <v>7</v>
      </c>
      <c r="J34" s="263" t="s">
        <v>89</v>
      </c>
      <c r="K34" s="263" t="s">
        <v>61</v>
      </c>
      <c r="L34" s="263" t="s">
        <v>77</v>
      </c>
      <c r="M34" s="263" t="s">
        <v>38</v>
      </c>
      <c r="W34" s="99">
        <v>42719</v>
      </c>
      <c r="X34" s="103">
        <v>36.74</v>
      </c>
      <c r="Y34" s="103">
        <v>37.159999999999997</v>
      </c>
      <c r="Z34" s="103">
        <v>36.53</v>
      </c>
      <c r="AA34" s="103">
        <v>36.79</v>
      </c>
      <c r="AB34" s="101">
        <v>23717700</v>
      </c>
      <c r="AC34" s="100">
        <v>36.79</v>
      </c>
      <c r="AD34" s="2">
        <f t="shared" si="0"/>
        <v>0.62999999999999545</v>
      </c>
      <c r="AE34" s="138">
        <f t="shared" si="1"/>
        <v>6.5663474692203572E-3</v>
      </c>
    </row>
    <row r="35" spans="1:31" x14ac:dyDescent="0.25">
      <c r="A35" s="265" t="s">
        <v>27</v>
      </c>
      <c r="B35" s="266">
        <v>42164</v>
      </c>
      <c r="C35" s="261">
        <v>30</v>
      </c>
      <c r="D35" s="262">
        <v>32.200000000000003</v>
      </c>
      <c r="E35" s="262">
        <v>0</v>
      </c>
      <c r="F35" s="262">
        <f>C35*D35</f>
        <v>966.00000000000011</v>
      </c>
      <c r="G35" s="410">
        <v>42247</v>
      </c>
      <c r="H35" s="411">
        <v>100</v>
      </c>
      <c r="I35" s="370">
        <v>27.15</v>
      </c>
      <c r="J35" s="370">
        <v>0.05</v>
      </c>
      <c r="K35" s="275">
        <f t="shared" ref="K35:K43" si="2">H35*I35-J35</f>
        <v>2714.95</v>
      </c>
      <c r="L35" s="266">
        <v>42248</v>
      </c>
      <c r="M35" s="370">
        <v>156</v>
      </c>
      <c r="W35" s="99">
        <v>42718</v>
      </c>
      <c r="X35" s="103">
        <v>36.700000000000003</v>
      </c>
      <c r="Y35" s="103">
        <v>36.89</v>
      </c>
      <c r="Z35" s="103">
        <v>36.46</v>
      </c>
      <c r="AA35" s="103">
        <v>36.549999999999997</v>
      </c>
      <c r="AB35" s="101">
        <v>30351600</v>
      </c>
      <c r="AC35" s="100">
        <v>36.549999999999997</v>
      </c>
      <c r="AD35" s="2">
        <f t="shared" si="0"/>
        <v>0.42999999999999972</v>
      </c>
      <c r="AE35" s="138">
        <f t="shared" si="1"/>
        <v>-6.7934782608695121E-3</v>
      </c>
    </row>
    <row r="36" spans="1:31" x14ac:dyDescent="0.25">
      <c r="A36" s="268" t="s">
        <v>71</v>
      </c>
      <c r="B36" s="266">
        <v>42166</v>
      </c>
      <c r="C36" s="261">
        <v>30</v>
      </c>
      <c r="D36" s="262">
        <v>31.3</v>
      </c>
      <c r="E36" s="262">
        <v>0</v>
      </c>
      <c r="F36" s="262">
        <f t="shared" ref="F36:F43" si="3">C36*D36</f>
        <v>939</v>
      </c>
      <c r="G36" s="266">
        <v>42263</v>
      </c>
      <c r="H36" s="267">
        <v>230</v>
      </c>
      <c r="I36" s="261">
        <v>29.47</v>
      </c>
      <c r="J36" s="261">
        <v>0.12</v>
      </c>
      <c r="K36" s="275">
        <f t="shared" si="2"/>
        <v>6777.98</v>
      </c>
      <c r="L36" s="266">
        <v>42339</v>
      </c>
      <c r="M36" s="262">
        <v>26.4</v>
      </c>
      <c r="W36" s="99">
        <v>42717</v>
      </c>
      <c r="X36" s="103">
        <v>36.01</v>
      </c>
      <c r="Y36" s="103">
        <v>36.89</v>
      </c>
      <c r="Z36" s="103">
        <v>35.93</v>
      </c>
      <c r="AA36" s="103">
        <v>36.799999999999997</v>
      </c>
      <c r="AB36" s="101">
        <v>35358100</v>
      </c>
      <c r="AC36" s="100">
        <v>36.799999999999997</v>
      </c>
      <c r="AD36" s="2">
        <f t="shared" si="0"/>
        <v>0.96000000000000085</v>
      </c>
      <c r="AE36" s="138">
        <f t="shared" si="1"/>
        <v>2.307478454267442E-2</v>
      </c>
    </row>
    <row r="37" spans="1:31" x14ac:dyDescent="0.25">
      <c r="A37" s="261"/>
      <c r="B37" s="266">
        <v>42186</v>
      </c>
      <c r="C37" s="261">
        <v>140</v>
      </c>
      <c r="D37" s="262">
        <v>31.1</v>
      </c>
      <c r="E37" s="262">
        <v>0</v>
      </c>
      <c r="F37" s="262">
        <f t="shared" si="3"/>
        <v>4354</v>
      </c>
      <c r="G37" s="266">
        <v>42263</v>
      </c>
      <c r="H37" s="267">
        <v>180</v>
      </c>
      <c r="I37" s="261">
        <v>29.49</v>
      </c>
      <c r="J37" s="262">
        <v>0.09</v>
      </c>
      <c r="K37" s="370">
        <f t="shared" si="2"/>
        <v>5308.11</v>
      </c>
      <c r="L37" s="261"/>
      <c r="M37" s="261"/>
      <c r="W37" s="99">
        <v>42716</v>
      </c>
      <c r="X37" s="103">
        <v>35.78</v>
      </c>
      <c r="Y37" s="103">
        <v>36.090000000000003</v>
      </c>
      <c r="Z37" s="103">
        <v>35.67</v>
      </c>
      <c r="AA37" s="103">
        <v>35.97</v>
      </c>
      <c r="AB37" s="101">
        <v>21914900</v>
      </c>
      <c r="AC37" s="100">
        <v>35.97</v>
      </c>
      <c r="AD37" s="2">
        <f t="shared" si="0"/>
        <v>0.42000000000000171</v>
      </c>
      <c r="AE37" s="138">
        <f t="shared" si="1"/>
        <v>5.8724832214764877E-3</v>
      </c>
    </row>
    <row r="38" spans="1:31" x14ac:dyDescent="0.25">
      <c r="A38" s="261"/>
      <c r="B38" s="266">
        <v>42186</v>
      </c>
      <c r="C38" s="261">
        <v>200</v>
      </c>
      <c r="D38" s="262">
        <v>30.9</v>
      </c>
      <c r="E38" s="262">
        <v>0</v>
      </c>
      <c r="F38" s="262">
        <f t="shared" si="3"/>
        <v>6180</v>
      </c>
      <c r="G38" s="266">
        <v>42282</v>
      </c>
      <c r="H38" s="267">
        <v>710</v>
      </c>
      <c r="I38" s="261">
        <v>30.05</v>
      </c>
      <c r="J38" s="262">
        <v>0.39</v>
      </c>
      <c r="K38" s="370">
        <f t="shared" si="2"/>
        <v>21335.11</v>
      </c>
      <c r="L38" s="261"/>
      <c r="M38" s="261"/>
      <c r="W38" s="99">
        <v>42713</v>
      </c>
      <c r="X38" s="103">
        <v>35.75</v>
      </c>
      <c r="Y38" s="103">
        <v>35.9</v>
      </c>
      <c r="Z38" s="103">
        <v>35.590000000000003</v>
      </c>
      <c r="AA38" s="103">
        <v>35.76</v>
      </c>
      <c r="AB38" s="101">
        <v>16291200</v>
      </c>
      <c r="AC38" s="100">
        <v>35.76</v>
      </c>
      <c r="AD38" s="2">
        <f t="shared" si="0"/>
        <v>0.30999999999999517</v>
      </c>
      <c r="AE38" s="138">
        <f t="shared" si="1"/>
        <v>1.680672268907335E-3</v>
      </c>
    </row>
    <row r="39" spans="1:31" x14ac:dyDescent="0.25">
      <c r="A39" s="261"/>
      <c r="B39" s="266">
        <v>42194</v>
      </c>
      <c r="C39" s="261">
        <v>100</v>
      </c>
      <c r="D39" s="262">
        <v>29.8</v>
      </c>
      <c r="E39" s="262">
        <v>0</v>
      </c>
      <c r="F39" s="262">
        <f t="shared" si="3"/>
        <v>2980</v>
      </c>
      <c r="G39" s="266">
        <v>42291</v>
      </c>
      <c r="H39" s="267">
        <v>60</v>
      </c>
      <c r="I39" s="261">
        <v>32.450000000000003</v>
      </c>
      <c r="J39" s="261">
        <v>0.04</v>
      </c>
      <c r="K39" s="370">
        <f t="shared" si="2"/>
        <v>1946.9600000000003</v>
      </c>
      <c r="L39" s="261"/>
      <c r="M39" s="261"/>
      <c r="W39" s="99">
        <v>42712</v>
      </c>
      <c r="X39" s="103">
        <v>35.479999999999997</v>
      </c>
      <c r="Y39" s="103">
        <v>36.03</v>
      </c>
      <c r="Z39" s="103">
        <v>35.22</v>
      </c>
      <c r="AA39" s="103">
        <v>35.700000000000003</v>
      </c>
      <c r="AB39" s="101">
        <v>19915500</v>
      </c>
      <c r="AC39" s="100">
        <v>35.700000000000003</v>
      </c>
      <c r="AD39" s="2">
        <f t="shared" si="0"/>
        <v>0.81000000000000227</v>
      </c>
      <c r="AE39" s="138">
        <f t="shared" si="1"/>
        <v>5.6338028169014009E-3</v>
      </c>
    </row>
    <row r="40" spans="1:31" ht="20.25" thickBot="1" x14ac:dyDescent="0.35">
      <c r="A40" s="261"/>
      <c r="B40" s="266">
        <v>42207</v>
      </c>
      <c r="C40" s="261">
        <v>50</v>
      </c>
      <c r="D40" s="262">
        <v>29.32</v>
      </c>
      <c r="E40" s="262">
        <v>0</v>
      </c>
      <c r="F40" s="262">
        <f t="shared" si="3"/>
        <v>1466</v>
      </c>
      <c r="G40" s="266">
        <v>42296</v>
      </c>
      <c r="H40" s="267">
        <v>200</v>
      </c>
      <c r="I40" s="261">
        <v>32.82</v>
      </c>
      <c r="J40" s="261">
        <v>0.12</v>
      </c>
      <c r="K40" s="370">
        <f t="shared" si="2"/>
        <v>6563.88</v>
      </c>
      <c r="L40" s="261"/>
      <c r="M40" s="261"/>
      <c r="O40" s="638" t="s">
        <v>78</v>
      </c>
      <c r="P40" s="638"/>
      <c r="W40" s="99">
        <v>42711</v>
      </c>
      <c r="X40" s="103">
        <v>34.67</v>
      </c>
      <c r="Y40" s="103">
        <v>35.57</v>
      </c>
      <c r="Z40" s="103">
        <v>34.450000000000003</v>
      </c>
      <c r="AA40" s="103">
        <v>35.5</v>
      </c>
      <c r="AB40" s="101">
        <v>21555100</v>
      </c>
      <c r="AC40" s="100">
        <v>35.5</v>
      </c>
      <c r="AD40" s="2">
        <f t="shared" si="0"/>
        <v>1.1199999999999974</v>
      </c>
      <c r="AE40" s="138">
        <f t="shared" si="1"/>
        <v>2.2465437788018461E-2</v>
      </c>
    </row>
    <row r="41" spans="1:31" ht="15.75" thickTop="1" x14ac:dyDescent="0.25">
      <c r="A41" s="261"/>
      <c r="B41" s="266">
        <v>42209</v>
      </c>
      <c r="C41" s="261">
        <v>50</v>
      </c>
      <c r="D41" s="262">
        <v>28.6</v>
      </c>
      <c r="E41" s="262">
        <v>0</v>
      </c>
      <c r="F41" s="262">
        <f t="shared" si="3"/>
        <v>1430</v>
      </c>
      <c r="G41" s="266">
        <v>42299</v>
      </c>
      <c r="H41" s="267">
        <v>80</v>
      </c>
      <c r="I41" s="261">
        <v>33.549999999999997</v>
      </c>
      <c r="J41" s="261">
        <v>0.05</v>
      </c>
      <c r="K41" s="370">
        <f t="shared" si="2"/>
        <v>2683.95</v>
      </c>
      <c r="L41" s="261"/>
      <c r="M41" s="261"/>
      <c r="O41" s="83">
        <v>1.1000000000000001</v>
      </c>
      <c r="P41" s="83">
        <f>O41*$Q$4</f>
        <v>40.172000000000004</v>
      </c>
      <c r="Q41" s="2"/>
      <c r="W41" s="99">
        <v>42710</v>
      </c>
      <c r="X41" s="103">
        <v>34.39</v>
      </c>
      <c r="Y41" s="103">
        <v>34.75</v>
      </c>
      <c r="Z41" s="103">
        <v>34.299999999999997</v>
      </c>
      <c r="AA41" s="103">
        <v>34.72</v>
      </c>
      <c r="AB41" s="101">
        <v>15101300</v>
      </c>
      <c r="AC41" s="100">
        <v>34.72</v>
      </c>
      <c r="AD41" s="2">
        <f t="shared" si="0"/>
        <v>0.45000000000000284</v>
      </c>
      <c r="AE41" s="138">
        <f t="shared" si="1"/>
        <v>9.5958127362605339E-3</v>
      </c>
    </row>
    <row r="42" spans="1:31" ht="20.25" thickBot="1" x14ac:dyDescent="0.35">
      <c r="A42" s="261"/>
      <c r="B42" s="266">
        <v>42214</v>
      </c>
      <c r="C42" s="261">
        <v>50</v>
      </c>
      <c r="D42" s="262">
        <v>28.19</v>
      </c>
      <c r="E42" s="262">
        <v>0</v>
      </c>
      <c r="F42" s="262">
        <f t="shared" si="3"/>
        <v>1409.5</v>
      </c>
      <c r="G42" s="266">
        <v>42304</v>
      </c>
      <c r="H42" s="267">
        <v>40</v>
      </c>
      <c r="I42" s="261">
        <v>34.049999999999997</v>
      </c>
      <c r="J42" s="261">
        <v>0.03</v>
      </c>
      <c r="K42" s="370">
        <f t="shared" si="2"/>
        <v>1361.97</v>
      </c>
      <c r="L42" s="261"/>
      <c r="M42" s="261"/>
      <c r="O42" s="83">
        <v>1.0900000000000001</v>
      </c>
      <c r="P42" s="83">
        <f t="shared" ref="P42:P61" si="4">O42*$Q$4</f>
        <v>39.80680000000001</v>
      </c>
      <c r="Q42" s="2"/>
      <c r="T42" s="91" t="s">
        <v>113</v>
      </c>
      <c r="W42" s="99">
        <v>42709</v>
      </c>
      <c r="X42" s="103">
        <v>34.31</v>
      </c>
      <c r="Y42" s="103">
        <v>34.42</v>
      </c>
      <c r="Z42" s="103">
        <v>33.97</v>
      </c>
      <c r="AA42" s="103">
        <v>34.39</v>
      </c>
      <c r="AB42" s="101">
        <v>14418200</v>
      </c>
      <c r="AC42" s="100">
        <v>34.39</v>
      </c>
      <c r="AD42" s="2">
        <f t="shared" si="0"/>
        <v>0.45000000000000284</v>
      </c>
      <c r="AE42" s="138">
        <f t="shared" si="1"/>
        <v>6.7330210772835741E-3</v>
      </c>
    </row>
    <row r="43" spans="1:31" ht="15.75" thickTop="1" x14ac:dyDescent="0.25">
      <c r="A43" s="261"/>
      <c r="B43" s="266">
        <v>42240</v>
      </c>
      <c r="C43" s="261">
        <v>100</v>
      </c>
      <c r="D43" s="262">
        <v>28.4</v>
      </c>
      <c r="E43" s="262">
        <v>0</v>
      </c>
      <c r="F43" s="262">
        <f t="shared" si="3"/>
        <v>2840</v>
      </c>
      <c r="G43" s="266">
        <v>42332</v>
      </c>
      <c r="H43" s="267">
        <v>110</v>
      </c>
      <c r="I43" s="261">
        <v>34.450000000000003</v>
      </c>
      <c r="J43" s="261">
        <v>7.0000000000000007E-2</v>
      </c>
      <c r="K43" s="370">
        <f t="shared" si="2"/>
        <v>3789.4300000000003</v>
      </c>
      <c r="L43" s="261"/>
      <c r="M43" s="261"/>
      <c r="O43" s="83">
        <v>1.08</v>
      </c>
      <c r="P43" s="83">
        <f t="shared" si="4"/>
        <v>39.441600000000008</v>
      </c>
      <c r="Q43" s="2"/>
      <c r="T43" s="97" t="s">
        <v>98</v>
      </c>
      <c r="U43" s="98">
        <v>36.520000000000003</v>
      </c>
      <c r="V43" s="412"/>
      <c r="W43" s="99">
        <v>42706</v>
      </c>
      <c r="X43" s="103">
        <v>33.72</v>
      </c>
      <c r="Y43" s="103">
        <v>34.26</v>
      </c>
      <c r="Z43" s="103">
        <v>33.6</v>
      </c>
      <c r="AA43" s="103">
        <v>34.159999999999997</v>
      </c>
      <c r="AB43" s="101">
        <v>21440700</v>
      </c>
      <c r="AC43" s="100">
        <v>34.159999999999997</v>
      </c>
      <c r="AD43" s="2">
        <f t="shared" si="0"/>
        <v>0.65999999999999659</v>
      </c>
      <c r="AE43" s="138">
        <f t="shared" si="1"/>
        <v>1.1848341232227444E-2</v>
      </c>
    </row>
    <row r="44" spans="1:31" x14ac:dyDescent="0.25">
      <c r="A44" s="261"/>
      <c r="B44" s="266">
        <v>42240</v>
      </c>
      <c r="C44" s="261">
        <v>50</v>
      </c>
      <c r="D44" s="262">
        <v>28.3</v>
      </c>
      <c r="E44" s="262">
        <v>0</v>
      </c>
      <c r="F44" s="262">
        <f>C44*D44</f>
        <v>1415</v>
      </c>
      <c r="G44" s="261"/>
      <c r="H44" s="267"/>
      <c r="I44" s="261"/>
      <c r="J44" s="261"/>
      <c r="K44" s="261"/>
      <c r="L44" s="261"/>
      <c r="M44" s="261"/>
      <c r="O44" s="83">
        <v>1.07</v>
      </c>
      <c r="P44" s="83">
        <f t="shared" si="4"/>
        <v>39.076400000000007</v>
      </c>
      <c r="Q44" s="2"/>
      <c r="T44" s="87" t="s">
        <v>99</v>
      </c>
      <c r="U44" s="88">
        <v>36.26</v>
      </c>
      <c r="V44" s="413"/>
      <c r="W44" s="99">
        <v>42705</v>
      </c>
      <c r="X44" s="103">
        <v>34.86</v>
      </c>
      <c r="Y44" s="103">
        <v>34.93</v>
      </c>
      <c r="Z44" s="103">
        <v>33.56</v>
      </c>
      <c r="AA44" s="103">
        <v>33.76</v>
      </c>
      <c r="AB44" s="101">
        <v>29550100</v>
      </c>
      <c r="AC44" s="100">
        <v>33.76</v>
      </c>
      <c r="AD44" s="2">
        <f t="shared" si="0"/>
        <v>1.3699999999999974</v>
      </c>
      <c r="AE44" s="138">
        <f t="shared" si="1"/>
        <v>-2.7089337175792649E-2</v>
      </c>
    </row>
    <row r="45" spans="1:31" x14ac:dyDescent="0.25">
      <c r="A45" s="261"/>
      <c r="B45" s="266">
        <v>42244</v>
      </c>
      <c r="C45" s="261">
        <v>100</v>
      </c>
      <c r="D45" s="262">
        <v>26.7</v>
      </c>
      <c r="E45" s="262">
        <v>0</v>
      </c>
      <c r="F45" s="262">
        <f t="shared" ref="F45:F51" si="5">C45*D45</f>
        <v>2670</v>
      </c>
      <c r="G45" s="261"/>
      <c r="H45" s="267"/>
      <c r="I45" s="261"/>
      <c r="J45" s="261"/>
      <c r="K45" s="261"/>
      <c r="L45" s="261"/>
      <c r="M45" s="261"/>
      <c r="O45" s="83">
        <v>1.06</v>
      </c>
      <c r="P45" s="83">
        <f t="shared" si="4"/>
        <v>38.711200000000005</v>
      </c>
      <c r="Q45" s="2"/>
      <c r="T45" s="87" t="s">
        <v>100</v>
      </c>
      <c r="U45" s="88" t="s">
        <v>597</v>
      </c>
      <c r="V45" s="413"/>
      <c r="W45" s="99">
        <v>42704</v>
      </c>
      <c r="X45" s="103">
        <v>35.200000000000003</v>
      </c>
      <c r="Y45" s="103">
        <v>35.299999999999997</v>
      </c>
      <c r="Z45" s="103">
        <v>34.700000000000003</v>
      </c>
      <c r="AA45" s="103">
        <v>34.700000000000003</v>
      </c>
      <c r="AB45" s="101">
        <v>26864000</v>
      </c>
      <c r="AC45" s="100">
        <v>34.700000000000003</v>
      </c>
      <c r="AD45" s="2">
        <f t="shared" si="0"/>
        <v>0.59999999999999432</v>
      </c>
      <c r="AE45" s="138">
        <f t="shared" si="1"/>
        <v>-1.7275559331634049E-2</v>
      </c>
    </row>
    <row r="46" spans="1:31" x14ac:dyDescent="0.25">
      <c r="A46" s="261"/>
      <c r="B46" s="266">
        <v>42270</v>
      </c>
      <c r="C46" s="261">
        <v>330</v>
      </c>
      <c r="D46" s="262">
        <v>29.15</v>
      </c>
      <c r="E46" s="262">
        <v>0</v>
      </c>
      <c r="F46" s="262">
        <f t="shared" si="5"/>
        <v>9619.5</v>
      </c>
      <c r="G46" s="261"/>
      <c r="H46" s="267"/>
      <c r="I46" s="261"/>
      <c r="J46" s="261"/>
      <c r="K46" s="261"/>
      <c r="L46" s="261"/>
      <c r="M46" s="261"/>
      <c r="O46" s="83">
        <v>1.05</v>
      </c>
      <c r="P46" s="83">
        <f t="shared" si="4"/>
        <v>38.346000000000004</v>
      </c>
      <c r="Q46" s="2"/>
      <c r="T46" s="87" t="s">
        <v>101</v>
      </c>
      <c r="U46" s="88" t="s">
        <v>598</v>
      </c>
      <c r="V46" s="413"/>
      <c r="W46" s="99">
        <v>42703</v>
      </c>
      <c r="X46" s="103">
        <v>35.64</v>
      </c>
      <c r="Y46" s="103">
        <v>35.64</v>
      </c>
      <c r="Z46" s="103">
        <v>35.270000000000003</v>
      </c>
      <c r="AA46" s="103">
        <v>35.31</v>
      </c>
      <c r="AB46" s="101">
        <v>19571100</v>
      </c>
      <c r="AC46" s="100">
        <v>35.31</v>
      </c>
      <c r="AD46" s="2">
        <f t="shared" si="0"/>
        <v>0.36999999999999744</v>
      </c>
      <c r="AE46" s="138">
        <f t="shared" si="1"/>
        <v>-5.6322162771049733E-3</v>
      </c>
    </row>
    <row r="47" spans="1:31" x14ac:dyDescent="0.25">
      <c r="A47" s="261"/>
      <c r="B47" s="266">
        <v>42276</v>
      </c>
      <c r="C47" s="261">
        <v>50</v>
      </c>
      <c r="D47" s="261">
        <v>27.95</v>
      </c>
      <c r="E47" s="262">
        <v>0</v>
      </c>
      <c r="F47" s="262">
        <f t="shared" si="5"/>
        <v>1397.5</v>
      </c>
      <c r="G47" s="261"/>
      <c r="H47" s="267"/>
      <c r="I47" s="261"/>
      <c r="J47" s="261"/>
      <c r="K47" s="261"/>
      <c r="L47" s="261"/>
      <c r="M47" s="261"/>
      <c r="O47" s="83">
        <v>1.04</v>
      </c>
      <c r="P47" s="83">
        <f t="shared" si="4"/>
        <v>37.980800000000002</v>
      </c>
      <c r="Q47" s="2"/>
      <c r="T47" s="87" t="s">
        <v>102</v>
      </c>
      <c r="U47" s="88">
        <v>41.15</v>
      </c>
      <c r="V47" s="413"/>
      <c r="W47" s="99">
        <v>42702</v>
      </c>
      <c r="X47" s="103">
        <v>35.43</v>
      </c>
      <c r="Y47" s="103">
        <v>35.659999999999997</v>
      </c>
      <c r="Z47" s="103">
        <v>35.21</v>
      </c>
      <c r="AA47" s="103">
        <v>35.51</v>
      </c>
      <c r="AB47" s="101">
        <v>13509400</v>
      </c>
      <c r="AC47" s="100">
        <v>35.51</v>
      </c>
      <c r="AD47" s="2">
        <f t="shared" si="0"/>
        <v>0.44999999999999574</v>
      </c>
      <c r="AE47" s="138">
        <f t="shared" si="1"/>
        <v>1.9751693002256765E-3</v>
      </c>
    </row>
    <row r="48" spans="1:31" x14ac:dyDescent="0.25">
      <c r="A48" s="261"/>
      <c r="B48" s="266">
        <v>42293</v>
      </c>
      <c r="C48" s="261">
        <v>80</v>
      </c>
      <c r="D48" s="262">
        <v>32.090000000000003</v>
      </c>
      <c r="E48" s="262">
        <v>0</v>
      </c>
      <c r="F48" s="262">
        <f t="shared" si="5"/>
        <v>2567.2000000000003</v>
      </c>
      <c r="G48" s="261"/>
      <c r="H48" s="267"/>
      <c r="I48" s="261"/>
      <c r="J48" s="261"/>
      <c r="K48" s="261"/>
      <c r="L48" s="261"/>
      <c r="M48" s="261"/>
      <c r="O48" s="83">
        <v>1.03</v>
      </c>
      <c r="P48" s="83">
        <f t="shared" si="4"/>
        <v>37.615600000000008</v>
      </c>
      <c r="Q48" s="2"/>
      <c r="T48" s="87" t="s">
        <v>103</v>
      </c>
      <c r="U48" s="88">
        <v>1.15751</v>
      </c>
      <c r="V48" s="413"/>
      <c r="W48" s="99">
        <v>42699</v>
      </c>
      <c r="X48" s="103">
        <v>35.11</v>
      </c>
      <c r="Y48" s="103">
        <v>35.450000000000003</v>
      </c>
      <c r="Z48" s="103">
        <v>35.11</v>
      </c>
      <c r="AA48" s="103">
        <v>35.44</v>
      </c>
      <c r="AB48" s="101">
        <v>6349200</v>
      </c>
      <c r="AC48" s="100">
        <v>35.44</v>
      </c>
      <c r="AD48" s="2">
        <f t="shared" si="0"/>
        <v>0.34000000000000341</v>
      </c>
      <c r="AE48" s="138">
        <f t="shared" si="1"/>
        <v>6.8181818181816123E-3</v>
      </c>
    </row>
    <row r="49" spans="1:31" x14ac:dyDescent="0.25">
      <c r="A49" s="261"/>
      <c r="B49" s="266">
        <v>42293</v>
      </c>
      <c r="C49" s="261">
        <v>80</v>
      </c>
      <c r="D49" s="262">
        <v>31.95</v>
      </c>
      <c r="E49" s="262">
        <v>0</v>
      </c>
      <c r="F49" s="262">
        <f t="shared" si="5"/>
        <v>2556</v>
      </c>
      <c r="G49" s="261"/>
      <c r="H49" s="267"/>
      <c r="I49" s="261"/>
      <c r="J49" s="261"/>
      <c r="K49" s="261"/>
      <c r="L49" s="261"/>
      <c r="M49" s="261"/>
      <c r="O49" s="83">
        <v>1.02</v>
      </c>
      <c r="P49" s="83">
        <f t="shared" si="4"/>
        <v>37.250400000000006</v>
      </c>
      <c r="Q49" s="2"/>
      <c r="T49" s="87" t="s">
        <v>122</v>
      </c>
      <c r="U49" s="89" t="s">
        <v>454</v>
      </c>
      <c r="V49" s="414"/>
      <c r="W49" s="99">
        <v>42697</v>
      </c>
      <c r="X49" s="103">
        <v>35.479999999999997</v>
      </c>
      <c r="Y49" s="103">
        <v>35.520000000000003</v>
      </c>
      <c r="Z49" s="103">
        <v>35.1</v>
      </c>
      <c r="AA49" s="103">
        <v>35.200000000000003</v>
      </c>
      <c r="AB49" s="101">
        <v>15843100</v>
      </c>
      <c r="AC49" s="100">
        <v>35.200000000000003</v>
      </c>
      <c r="AD49" s="2">
        <f t="shared" si="0"/>
        <v>0.42000000000000171</v>
      </c>
      <c r="AE49" s="138">
        <f t="shared" si="1"/>
        <v>-7.8917700112738354E-3</v>
      </c>
    </row>
    <row r="50" spans="1:31" x14ac:dyDescent="0.25">
      <c r="A50" s="261"/>
      <c r="B50" s="266">
        <v>42293</v>
      </c>
      <c r="C50" s="261">
        <v>120</v>
      </c>
      <c r="D50" s="262">
        <v>31.75</v>
      </c>
      <c r="E50" s="262">
        <v>0</v>
      </c>
      <c r="F50" s="262">
        <f t="shared" si="5"/>
        <v>3810</v>
      </c>
      <c r="G50" s="261"/>
      <c r="H50" s="267"/>
      <c r="I50" s="261"/>
      <c r="J50" s="261"/>
      <c r="K50" s="261"/>
      <c r="L50" s="261"/>
      <c r="M50" s="261"/>
      <c r="O50" s="83">
        <v>1.01</v>
      </c>
      <c r="P50" s="83">
        <f t="shared" si="4"/>
        <v>36.885200000000005</v>
      </c>
      <c r="Q50" s="2"/>
      <c r="T50" s="87"/>
      <c r="U50" s="88"/>
      <c r="V50" s="413"/>
      <c r="W50" s="99">
        <v>42696</v>
      </c>
      <c r="X50" s="103">
        <v>35.18</v>
      </c>
      <c r="Y50" s="103">
        <v>35.5</v>
      </c>
      <c r="Z50" s="103">
        <v>35.11</v>
      </c>
      <c r="AA50" s="103">
        <v>35.479999999999997</v>
      </c>
      <c r="AB50" s="101">
        <v>22313500</v>
      </c>
      <c r="AC50" s="100">
        <v>35.479999999999997</v>
      </c>
      <c r="AD50" s="2">
        <f t="shared" si="0"/>
        <v>0.39000000000000057</v>
      </c>
      <c r="AE50" s="138">
        <f t="shared" si="1"/>
        <v>1.4293882218410436E-2</v>
      </c>
    </row>
    <row r="51" spans="1:31" x14ac:dyDescent="0.25">
      <c r="A51" s="261"/>
      <c r="B51" s="266">
        <v>42293</v>
      </c>
      <c r="C51" s="261">
        <v>150</v>
      </c>
      <c r="D51" s="262">
        <v>31.05</v>
      </c>
      <c r="E51" s="262">
        <v>0</v>
      </c>
      <c r="F51" s="262">
        <f t="shared" si="5"/>
        <v>4657.5</v>
      </c>
      <c r="G51" s="262"/>
      <c r="H51" s="267"/>
      <c r="I51" s="261"/>
      <c r="J51" s="261"/>
      <c r="K51" s="262"/>
      <c r="L51" s="261"/>
      <c r="M51" s="261"/>
      <c r="O51" s="83">
        <v>1</v>
      </c>
      <c r="P51" s="83">
        <f t="shared" si="4"/>
        <v>36.520000000000003</v>
      </c>
      <c r="Q51" s="2"/>
      <c r="T51" s="87" t="s">
        <v>105</v>
      </c>
      <c r="U51" s="88" t="s">
        <v>599</v>
      </c>
      <c r="V51" s="413"/>
      <c r="W51" s="99">
        <v>42695</v>
      </c>
      <c r="X51" s="103">
        <v>35.1</v>
      </c>
      <c r="Y51" s="103">
        <v>35.200000000000003</v>
      </c>
      <c r="Z51" s="103">
        <v>34.840000000000003</v>
      </c>
      <c r="AA51" s="103">
        <v>34.979999999999997</v>
      </c>
      <c r="AB51" s="101">
        <v>14195800</v>
      </c>
      <c r="AC51" s="100">
        <v>34.979999999999997</v>
      </c>
      <c r="AD51" s="2">
        <f t="shared" si="0"/>
        <v>0.35999999999999943</v>
      </c>
      <c r="AE51" s="138">
        <f t="shared" si="1"/>
        <v>8.5836909871228606E-4</v>
      </c>
    </row>
    <row r="52" spans="1:31" x14ac:dyDescent="0.25">
      <c r="A52" s="261"/>
      <c r="B52" s="261"/>
      <c r="C52" s="261"/>
      <c r="D52" s="261"/>
      <c r="E52" s="262"/>
      <c r="F52" s="261"/>
      <c r="G52" s="262"/>
      <c r="H52" s="267"/>
      <c r="I52" s="262"/>
      <c r="J52" s="261"/>
      <c r="K52" s="262"/>
      <c r="L52" s="261"/>
      <c r="M52" s="261"/>
      <c r="O52" s="83">
        <v>0.99</v>
      </c>
      <c r="P52" s="83">
        <f t="shared" si="4"/>
        <v>36.154800000000002</v>
      </c>
      <c r="Q52" s="2"/>
      <c r="T52" s="87" t="s">
        <v>106</v>
      </c>
      <c r="U52" s="88" t="s">
        <v>480</v>
      </c>
      <c r="V52" s="413"/>
      <c r="W52" s="99">
        <v>42692</v>
      </c>
      <c r="X52" s="103">
        <v>34.9</v>
      </c>
      <c r="Y52" s="103">
        <v>35</v>
      </c>
      <c r="Z52" s="103">
        <v>34.64</v>
      </c>
      <c r="AA52" s="103">
        <v>34.950000000000003</v>
      </c>
      <c r="AB52" s="101">
        <v>16516500</v>
      </c>
      <c r="AC52" s="100">
        <v>34.950000000000003</v>
      </c>
      <c r="AD52" s="2">
        <f t="shared" si="0"/>
        <v>0.35999999999999943</v>
      </c>
      <c r="AE52" s="138">
        <f t="shared" si="1"/>
        <v>-1.9988577955454279E-3</v>
      </c>
    </row>
    <row r="53" spans="1:31" x14ac:dyDescent="0.25">
      <c r="A53" s="261"/>
      <c r="B53" s="261"/>
      <c r="C53" s="261"/>
      <c r="D53" s="261"/>
      <c r="E53" s="261"/>
      <c r="F53" s="261"/>
      <c r="G53" s="261"/>
      <c r="H53" s="267"/>
      <c r="I53" s="261"/>
      <c r="J53" s="261"/>
      <c r="K53" s="261"/>
      <c r="L53" s="261"/>
      <c r="M53" s="261"/>
      <c r="O53" s="83">
        <v>0.98</v>
      </c>
      <c r="P53" s="83">
        <f t="shared" si="4"/>
        <v>35.7896</v>
      </c>
      <c r="Q53" s="2"/>
      <c r="T53" s="87" t="s">
        <v>107</v>
      </c>
      <c r="U53" s="90">
        <v>31916939</v>
      </c>
      <c r="V53" s="415"/>
      <c r="W53" s="99">
        <v>42691</v>
      </c>
      <c r="X53" s="103">
        <v>34.81</v>
      </c>
      <c r="Y53" s="103">
        <v>35.020000000000003</v>
      </c>
      <c r="Z53" s="103">
        <v>34.630000000000003</v>
      </c>
      <c r="AA53" s="103">
        <v>35.020000000000003</v>
      </c>
      <c r="AB53" s="101">
        <v>15731300</v>
      </c>
      <c r="AC53" s="100">
        <v>35.020000000000003</v>
      </c>
      <c r="AD53" s="2">
        <f t="shared" si="0"/>
        <v>0.39000000000000057</v>
      </c>
      <c r="AE53" s="138">
        <f t="shared" si="1"/>
        <v>5.1664753157290022E-3</v>
      </c>
    </row>
    <row r="54" spans="1:31" x14ac:dyDescent="0.25">
      <c r="A54" s="261"/>
      <c r="B54" s="261"/>
      <c r="C54" s="261"/>
      <c r="D54" s="261"/>
      <c r="E54" s="261"/>
      <c r="F54" s="261"/>
      <c r="G54" s="261"/>
      <c r="H54" s="267"/>
      <c r="I54" s="261"/>
      <c r="J54" s="261"/>
      <c r="K54" s="261"/>
      <c r="L54" s="261"/>
      <c r="M54" s="261"/>
      <c r="O54" s="83">
        <v>0.97</v>
      </c>
      <c r="P54" s="83">
        <f t="shared" si="4"/>
        <v>35.424399999999999</v>
      </c>
      <c r="T54" s="87" t="s">
        <v>110</v>
      </c>
      <c r="U54" s="90">
        <v>20775600</v>
      </c>
      <c r="V54" s="415"/>
      <c r="W54" s="99">
        <v>42690</v>
      </c>
      <c r="X54" s="103">
        <v>34.9</v>
      </c>
      <c r="Y54" s="103">
        <v>34.92</v>
      </c>
      <c r="Z54" s="103">
        <v>34.54</v>
      </c>
      <c r="AA54" s="103">
        <v>34.840000000000003</v>
      </c>
      <c r="AB54" s="101">
        <v>18535200</v>
      </c>
      <c r="AC54" s="100">
        <v>34.840000000000003</v>
      </c>
      <c r="AD54" s="2">
        <f t="shared" si="0"/>
        <v>0.38000000000000256</v>
      </c>
      <c r="AE54" s="138">
        <f t="shared" si="1"/>
        <v>-2.0051561157259368E-3</v>
      </c>
    </row>
    <row r="55" spans="1:31" x14ac:dyDescent="0.25">
      <c r="A55" s="261"/>
      <c r="B55" s="261"/>
      <c r="C55" s="261"/>
      <c r="D55" s="261"/>
      <c r="E55" s="261"/>
      <c r="F55" s="261"/>
      <c r="G55" s="261"/>
      <c r="H55" s="267"/>
      <c r="I55" s="261"/>
      <c r="J55" s="261"/>
      <c r="K55" s="261"/>
      <c r="L55" s="261"/>
      <c r="M55" s="261"/>
      <c r="O55" s="83">
        <v>0.96</v>
      </c>
      <c r="P55" s="83">
        <f t="shared" si="4"/>
        <v>35.059200000000004</v>
      </c>
      <c r="T55" s="87" t="s">
        <v>108</v>
      </c>
      <c r="U55" s="88" t="s">
        <v>600</v>
      </c>
      <c r="V55" s="413"/>
      <c r="W55" s="99">
        <v>42689</v>
      </c>
      <c r="X55" s="103">
        <v>34.64</v>
      </c>
      <c r="Y55" s="103">
        <v>35.29</v>
      </c>
      <c r="Z55" s="103">
        <v>34.61</v>
      </c>
      <c r="AA55" s="103">
        <v>34.909999999999997</v>
      </c>
      <c r="AB55" s="101">
        <v>20651300</v>
      </c>
      <c r="AC55" s="100">
        <v>34.909999999999997</v>
      </c>
      <c r="AD55" s="2">
        <f t="shared" si="0"/>
        <v>0.67999999999999972</v>
      </c>
      <c r="AE55" s="138">
        <f t="shared" si="1"/>
        <v>1.24709976798143E-2</v>
      </c>
    </row>
    <row r="56" spans="1:31" x14ac:dyDescent="0.25">
      <c r="A56" s="32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3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3">
        <v>0.95</v>
      </c>
      <c r="P56" s="83">
        <f t="shared" si="4"/>
        <v>34.694000000000003</v>
      </c>
      <c r="T56" s="87" t="s">
        <v>111</v>
      </c>
      <c r="U56" s="88">
        <v>17.3</v>
      </c>
      <c r="V56" s="413"/>
      <c r="W56" s="99">
        <v>42688</v>
      </c>
      <c r="X56" s="103">
        <v>34.56</v>
      </c>
      <c r="Y56" s="103">
        <v>34.729999999999997</v>
      </c>
      <c r="Z56" s="103">
        <v>34.200000000000003</v>
      </c>
      <c r="AA56" s="103">
        <v>34.479999999999997</v>
      </c>
      <c r="AB56" s="101">
        <v>22529400</v>
      </c>
      <c r="AC56" s="100">
        <v>34.479999999999997</v>
      </c>
      <c r="AD56" s="2">
        <f t="shared" si="0"/>
        <v>0.52999999999999403</v>
      </c>
      <c r="AE56" s="138">
        <f t="shared" si="1"/>
        <v>-3.7561398439758253E-3</v>
      </c>
    </row>
    <row r="57" spans="1:31" x14ac:dyDescent="0.25">
      <c r="O57" s="83">
        <v>0.94</v>
      </c>
      <c r="P57" s="83">
        <f t="shared" si="4"/>
        <v>34.328800000000001</v>
      </c>
      <c r="T57" s="87" t="s">
        <v>112</v>
      </c>
      <c r="U57" s="88">
        <v>2.12</v>
      </c>
      <c r="V57" s="413"/>
      <c r="W57" s="99">
        <v>42685</v>
      </c>
      <c r="X57" s="103">
        <v>34.57</v>
      </c>
      <c r="Y57" s="103">
        <v>34.869999999999997</v>
      </c>
      <c r="Z57" s="103">
        <v>34.340000000000003</v>
      </c>
      <c r="AA57" s="103">
        <v>34.61</v>
      </c>
      <c r="AB57" s="101">
        <v>22549700</v>
      </c>
      <c r="AC57" s="100">
        <v>34.61</v>
      </c>
      <c r="AD57" s="2">
        <f t="shared" si="0"/>
        <v>0.52999999999999403</v>
      </c>
      <c r="AE57" s="138">
        <f t="shared" si="1"/>
        <v>3.1884057971014457E-3</v>
      </c>
    </row>
    <row r="58" spans="1:31" x14ac:dyDescent="0.25">
      <c r="O58" s="83">
        <v>0.93</v>
      </c>
      <c r="P58" s="83">
        <f t="shared" si="4"/>
        <v>33.963600000000007</v>
      </c>
      <c r="T58" s="87" t="s">
        <v>109</v>
      </c>
      <c r="U58" s="88" t="s">
        <v>601</v>
      </c>
      <c r="V58" s="413"/>
      <c r="W58" s="99">
        <v>42684</v>
      </c>
      <c r="X58" s="103">
        <v>34.950000000000003</v>
      </c>
      <c r="Y58" s="103">
        <v>34.950000000000003</v>
      </c>
      <c r="Z58" s="103">
        <v>34.03</v>
      </c>
      <c r="AA58" s="103">
        <v>34.5</v>
      </c>
      <c r="AB58" s="101">
        <v>28249900</v>
      </c>
      <c r="AC58" s="100">
        <v>34.5</v>
      </c>
      <c r="AD58" s="2">
        <f t="shared" si="0"/>
        <v>0.92000000000000171</v>
      </c>
      <c r="AE58" s="138">
        <f t="shared" si="1"/>
        <v>-7.194244604316502E-3</v>
      </c>
    </row>
    <row r="59" spans="1:31" x14ac:dyDescent="0.25">
      <c r="O59" s="83">
        <v>0.92</v>
      </c>
      <c r="P59" s="83">
        <f t="shared" si="4"/>
        <v>33.598400000000005</v>
      </c>
      <c r="W59" s="99">
        <v>42683</v>
      </c>
      <c r="X59" s="103">
        <v>34.130000000000003</v>
      </c>
      <c r="Y59" s="103">
        <v>34.85</v>
      </c>
      <c r="Z59" s="103">
        <v>33.67</v>
      </c>
      <c r="AA59" s="103">
        <v>34.75</v>
      </c>
      <c r="AB59" s="101">
        <v>25991200</v>
      </c>
      <c r="AC59" s="100">
        <v>34.75</v>
      </c>
      <c r="AD59" s="2">
        <f t="shared" si="0"/>
        <v>1.1799999999999997</v>
      </c>
      <c r="AE59" s="138">
        <f t="shared" si="1"/>
        <v>2.8785261945873941E-4</v>
      </c>
    </row>
    <row r="60" spans="1:31" x14ac:dyDescent="0.25">
      <c r="O60" s="83">
        <v>0.91</v>
      </c>
      <c r="P60" s="83">
        <f t="shared" si="4"/>
        <v>33.233200000000004</v>
      </c>
      <c r="W60" s="99">
        <v>42682</v>
      </c>
      <c r="X60" s="103">
        <v>34.6</v>
      </c>
      <c r="Y60" s="103">
        <v>34.950000000000003</v>
      </c>
      <c r="Z60" s="103">
        <v>34.49</v>
      </c>
      <c r="AA60" s="103">
        <v>34.74</v>
      </c>
      <c r="AB60" s="101">
        <v>14789000</v>
      </c>
      <c r="AC60" s="100">
        <v>34.74</v>
      </c>
      <c r="AD60" s="2">
        <f t="shared" si="0"/>
        <v>0.46000000000000085</v>
      </c>
      <c r="AE60" s="138">
        <f t="shared" si="1"/>
        <v>1.4413375612569723E-3</v>
      </c>
    </row>
    <row r="61" spans="1:31" x14ac:dyDescent="0.25">
      <c r="O61" s="83">
        <v>0.9</v>
      </c>
      <c r="P61" s="83">
        <f t="shared" si="4"/>
        <v>32.868000000000002</v>
      </c>
      <c r="W61" s="99">
        <v>42681</v>
      </c>
      <c r="X61" s="103">
        <v>34.24</v>
      </c>
      <c r="Y61" s="103">
        <v>34.75</v>
      </c>
      <c r="Z61" s="103">
        <v>34.15</v>
      </c>
      <c r="AA61" s="103">
        <v>34.69</v>
      </c>
      <c r="AB61" s="101">
        <v>18969600</v>
      </c>
      <c r="AC61" s="100">
        <v>34.69</v>
      </c>
      <c r="AD61" s="2">
        <f t="shared" si="0"/>
        <v>0.60000000000000142</v>
      </c>
      <c r="AE61" s="138">
        <f t="shared" si="1"/>
        <v>3.2133293662600426E-2</v>
      </c>
    </row>
    <row r="62" spans="1:31" x14ac:dyDescent="0.25">
      <c r="W62" s="99">
        <v>42678</v>
      </c>
      <c r="X62" s="103">
        <v>33.53</v>
      </c>
      <c r="Y62" s="103">
        <v>33.93</v>
      </c>
      <c r="Z62" s="103">
        <v>33.42</v>
      </c>
      <c r="AA62" s="103">
        <v>33.61</v>
      </c>
      <c r="AB62" s="101">
        <v>21866000</v>
      </c>
      <c r="AC62" s="100">
        <v>33.61</v>
      </c>
      <c r="AD62" s="2">
        <f t="shared" si="0"/>
        <v>0.50999999999999801</v>
      </c>
      <c r="AE62" s="138">
        <f t="shared" si="1"/>
        <v>-9.4311818449749341E-3</v>
      </c>
    </row>
    <row r="63" spans="1:31" x14ac:dyDescent="0.25">
      <c r="W63" s="99">
        <v>42677</v>
      </c>
      <c r="X63" s="103">
        <v>34.450000000000003</v>
      </c>
      <c r="Y63" s="103">
        <v>34.520000000000003</v>
      </c>
      <c r="Z63" s="103">
        <v>33.869999999999997</v>
      </c>
      <c r="AA63" s="103">
        <v>33.93</v>
      </c>
      <c r="AB63" s="101">
        <v>19400000</v>
      </c>
      <c r="AC63" s="100">
        <v>33.93</v>
      </c>
      <c r="AD63" s="2">
        <f t="shared" si="0"/>
        <v>0.65000000000000568</v>
      </c>
      <c r="AE63" s="138" t="e">
        <f t="shared" si="1"/>
        <v>#DIV/0!</v>
      </c>
    </row>
    <row r="64" spans="1:31" x14ac:dyDescent="0.25">
      <c r="W64" s="99">
        <v>42677</v>
      </c>
      <c r="X64" s="103" t="s">
        <v>139</v>
      </c>
      <c r="Y64" s="103"/>
      <c r="Z64" s="103"/>
      <c r="AA64" s="103"/>
      <c r="AB64" s="101"/>
      <c r="AC64" s="100"/>
      <c r="AD64" s="2">
        <f t="shared" si="0"/>
        <v>0</v>
      </c>
      <c r="AE64" s="138">
        <f t="shared" si="1"/>
        <v>-1</v>
      </c>
    </row>
    <row r="65" spans="23:31" x14ac:dyDescent="0.25">
      <c r="W65" s="99">
        <v>42676</v>
      </c>
      <c r="X65" s="103">
        <v>34.6</v>
      </c>
      <c r="Y65" s="103">
        <v>34.9</v>
      </c>
      <c r="Z65" s="103">
        <v>34.47</v>
      </c>
      <c r="AA65" s="103">
        <v>34.6</v>
      </c>
      <c r="AB65" s="101">
        <v>21416400</v>
      </c>
      <c r="AC65" s="100">
        <v>34.340000000000003</v>
      </c>
      <c r="AD65" s="2">
        <f t="shared" si="0"/>
        <v>0.42999999999999972</v>
      </c>
      <c r="AE65" s="138">
        <f t="shared" si="1"/>
        <v>2.3350846468186415E-3</v>
      </c>
    </row>
    <row r="66" spans="23:31" x14ac:dyDescent="0.25">
      <c r="W66" s="99">
        <v>42675</v>
      </c>
      <c r="X66" s="103">
        <v>34.9</v>
      </c>
      <c r="Y66" s="103">
        <v>35.159999999999997</v>
      </c>
      <c r="Z66" s="103">
        <v>34.270000000000003</v>
      </c>
      <c r="AA66" s="103">
        <v>34.520000000000003</v>
      </c>
      <c r="AB66" s="101">
        <v>25368200</v>
      </c>
      <c r="AC66" s="100">
        <v>34.26</v>
      </c>
      <c r="AD66" s="2">
        <f t="shared" si="0"/>
        <v>0.88999999999999346</v>
      </c>
      <c r="AE66" s="138">
        <f t="shared" si="1"/>
        <v>-1.0112684195319299E-2</v>
      </c>
    </row>
    <row r="67" spans="23:31" x14ac:dyDescent="0.25">
      <c r="W67" s="99">
        <v>42674</v>
      </c>
      <c r="X67" s="103">
        <v>34.92</v>
      </c>
      <c r="Y67" s="103">
        <v>35.08</v>
      </c>
      <c r="Z67" s="103">
        <v>34.840000000000003</v>
      </c>
      <c r="AA67" s="103">
        <v>34.869999999999997</v>
      </c>
      <c r="AB67" s="101">
        <v>19188600</v>
      </c>
      <c r="AC67" s="100">
        <v>34.61</v>
      </c>
      <c r="AD67" s="2">
        <f>Y67-Z67</f>
        <v>0.23999999999999488</v>
      </c>
      <c r="AE67" s="138" t="e">
        <f>AC67/#REF!-1</f>
        <v>#REF!</v>
      </c>
    </row>
    <row r="68" spans="23:31" x14ac:dyDescent="0.25">
      <c r="W68" s="99">
        <v>42671</v>
      </c>
      <c r="X68" s="103">
        <v>34.869999999999997</v>
      </c>
      <c r="Y68" s="103">
        <v>35.17</v>
      </c>
      <c r="Z68" s="103">
        <v>34.71</v>
      </c>
      <c r="AA68" s="103">
        <v>34.74</v>
      </c>
      <c r="AB68" s="101">
        <v>22296400</v>
      </c>
      <c r="AC68" s="100">
        <v>34.479999999999997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99" t="s">
        <v>121</v>
      </c>
      <c r="X69" s="103"/>
      <c r="Y69" s="103"/>
      <c r="Z69" s="103"/>
      <c r="AA69" s="103"/>
      <c r="AB69" s="101"/>
      <c r="AC69" s="10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529" priority="7">
      <formula>F21&gt;0</formula>
    </cfRule>
    <cfRule type="expression" dxfId="528" priority="8">
      <formula>F21&lt;0</formula>
    </cfRule>
  </conditionalFormatting>
  <conditionalFormatting sqref="F22">
    <cfRule type="expression" dxfId="527" priority="5">
      <formula>F22&gt;0</formula>
    </cfRule>
    <cfRule type="expression" dxfId="526" priority="6">
      <formula>F22&lt;0</formula>
    </cfRule>
  </conditionalFormatting>
  <conditionalFormatting sqref="Q8">
    <cfRule type="expression" dxfId="525" priority="1">
      <formula>Q8&gt;0</formula>
    </cfRule>
    <cfRule type="expression" dxfId="524" priority="2">
      <formula>Q8&lt;0</formula>
    </cfRule>
  </conditionalFormatting>
  <conditionalFormatting sqref="Q7">
    <cfRule type="expression" dxfId="523" priority="3">
      <formula>Q7&gt;0</formula>
    </cfRule>
    <cfRule type="expression" dxfId="522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4"/>
    <col min="3" max="3" width="11.5703125" customWidth="1"/>
    <col min="4" max="4" width="9.140625" style="80"/>
    <col min="5" max="5" width="9.140625" style="2"/>
    <col min="6" max="6" width="12.140625" style="2" bestFit="1" customWidth="1"/>
    <col min="8" max="8" width="11.85546875" style="72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4" customWidth="1"/>
    <col min="21" max="21" width="18.5703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7" customFormat="1" ht="15.75" customHeight="1" x14ac:dyDescent="0.25">
      <c r="A1" s="47" t="s">
        <v>1</v>
      </c>
      <c r="B1" s="116" t="s">
        <v>2</v>
      </c>
      <c r="C1" s="47" t="s">
        <v>4</v>
      </c>
      <c r="D1" s="198" t="s">
        <v>5</v>
      </c>
      <c r="E1" s="48" t="s">
        <v>90</v>
      </c>
      <c r="F1" s="48" t="s">
        <v>60</v>
      </c>
      <c r="G1" s="47" t="s">
        <v>3</v>
      </c>
      <c r="H1" s="70" t="s">
        <v>6</v>
      </c>
      <c r="I1" s="48" t="s">
        <v>7</v>
      </c>
      <c r="J1" s="48" t="s">
        <v>89</v>
      </c>
      <c r="K1" s="48" t="s">
        <v>61</v>
      </c>
      <c r="L1" s="47" t="s">
        <v>43</v>
      </c>
      <c r="M1" s="47" t="s">
        <v>38</v>
      </c>
      <c r="T1" s="116" t="s">
        <v>70</v>
      </c>
      <c r="W1" s="125" t="s">
        <v>114</v>
      </c>
      <c r="X1" s="126" t="s">
        <v>115</v>
      </c>
      <c r="Y1" s="126" t="s">
        <v>116</v>
      </c>
      <c r="Z1" s="126" t="s">
        <v>117</v>
      </c>
      <c r="AA1" s="126" t="s">
        <v>118</v>
      </c>
      <c r="AB1" s="125" t="s">
        <v>119</v>
      </c>
      <c r="AC1" s="126" t="s">
        <v>120</v>
      </c>
      <c r="AD1" s="47" t="s">
        <v>126</v>
      </c>
      <c r="AE1" s="47" t="s">
        <v>127</v>
      </c>
    </row>
    <row r="2" spans="1:40" x14ac:dyDescent="0.25">
      <c r="A2" s="6" t="s">
        <v>22</v>
      </c>
      <c r="B2" s="117"/>
      <c r="C2" s="4"/>
      <c r="D2" s="240"/>
      <c r="E2" s="3"/>
      <c r="F2" s="3"/>
      <c r="G2" s="74"/>
      <c r="H2" s="393"/>
      <c r="I2" s="75"/>
      <c r="J2" s="75"/>
      <c r="K2" s="75"/>
      <c r="L2" s="74"/>
      <c r="M2" s="3"/>
      <c r="O2" s="11" t="s">
        <v>57</v>
      </c>
      <c r="Q2">
        <f>C18-H18</f>
        <v>0</v>
      </c>
      <c r="W2" s="110">
        <v>42768</v>
      </c>
      <c r="X2" s="41">
        <v>53.7</v>
      </c>
      <c r="Y2" s="41">
        <v>54.29</v>
      </c>
      <c r="Z2" s="41">
        <v>52.94</v>
      </c>
      <c r="AA2" s="41">
        <v>53.96</v>
      </c>
      <c r="AB2" s="104">
        <v>3165700</v>
      </c>
      <c r="AC2" s="41">
        <v>53.96</v>
      </c>
      <c r="AD2" s="2">
        <f>Y2-Z2</f>
        <v>1.3500000000000014</v>
      </c>
      <c r="AE2" s="138">
        <f>AC2/AC3-1</f>
        <v>8.4096430573725733E-3</v>
      </c>
    </row>
    <row r="3" spans="1:40" x14ac:dyDescent="0.25">
      <c r="A3" s="23" t="s">
        <v>71</v>
      </c>
      <c r="B3" s="117"/>
      <c r="C3" s="4"/>
      <c r="D3" s="240"/>
      <c r="E3" s="3"/>
      <c r="F3" s="3"/>
      <c r="G3" s="74"/>
      <c r="H3" s="393"/>
      <c r="I3" s="75"/>
      <c r="J3" s="75"/>
      <c r="K3" s="75"/>
      <c r="L3" s="74"/>
      <c r="M3" s="3"/>
      <c r="O3" s="11" t="s">
        <v>58</v>
      </c>
      <c r="Q3" s="80">
        <f>IF(Q2=0, Q4, (F18-K18-M18)/Q2)</f>
        <v>54.31</v>
      </c>
      <c r="W3" s="110">
        <v>42767</v>
      </c>
      <c r="X3" s="41">
        <v>54.63</v>
      </c>
      <c r="Y3" s="41">
        <v>54.96</v>
      </c>
      <c r="Z3" s="41">
        <v>53.04</v>
      </c>
      <c r="AA3" s="41">
        <v>53.51</v>
      </c>
      <c r="AB3" s="104">
        <v>3987800</v>
      </c>
      <c r="AC3" s="41">
        <v>53.51</v>
      </c>
      <c r="AD3" s="2">
        <f t="shared" ref="AD3:AD66" si="0">Y3-Z3</f>
        <v>1.9200000000000017</v>
      </c>
      <c r="AE3" s="138">
        <f t="shared" ref="AE3:AE66" si="1">AC3/AC4-1</f>
        <v>-1.2366186784791511E-2</v>
      </c>
      <c r="AK3" s="234"/>
      <c r="AN3" s="234"/>
    </row>
    <row r="4" spans="1:40" x14ac:dyDescent="0.25">
      <c r="B4" s="117"/>
      <c r="C4" s="4"/>
      <c r="D4" s="240"/>
      <c r="E4" s="3"/>
      <c r="F4" s="3"/>
      <c r="G4" s="74"/>
      <c r="H4" s="185"/>
      <c r="I4" s="3"/>
      <c r="J4" s="3"/>
      <c r="K4" s="75"/>
      <c r="L4" s="74"/>
      <c r="M4" s="3"/>
      <c r="O4" s="11" t="s">
        <v>66</v>
      </c>
      <c r="Q4" s="201">
        <v>54.31</v>
      </c>
      <c r="R4" s="505">
        <v>6.4999999999999997E-3</v>
      </c>
      <c r="T4" s="124"/>
      <c r="U4" s="30"/>
      <c r="V4" s="35"/>
      <c r="W4" s="110">
        <v>42766</v>
      </c>
      <c r="X4" s="41">
        <v>53.9</v>
      </c>
      <c r="Y4" s="41">
        <v>54.21</v>
      </c>
      <c r="Z4" s="41">
        <v>53.13</v>
      </c>
      <c r="AA4" s="41">
        <v>54.18</v>
      </c>
      <c r="AB4" s="104">
        <v>4132000</v>
      </c>
      <c r="AC4" s="41">
        <v>54.18</v>
      </c>
      <c r="AD4" s="2">
        <f t="shared" si="0"/>
        <v>1.0799999999999983</v>
      </c>
      <c r="AE4" s="138">
        <f t="shared" si="1"/>
        <v>4.4493882091212189E-3</v>
      </c>
      <c r="AK4" s="234"/>
      <c r="AN4" s="234"/>
    </row>
    <row r="5" spans="1:40" x14ac:dyDescent="0.25">
      <c r="B5" s="109"/>
      <c r="C5" s="4"/>
      <c r="D5" s="240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10">
        <v>42765</v>
      </c>
      <c r="X5" s="41">
        <v>54.72</v>
      </c>
      <c r="Y5" s="41">
        <v>54.83</v>
      </c>
      <c r="Z5" s="41">
        <v>53</v>
      </c>
      <c r="AA5" s="41">
        <v>53.94</v>
      </c>
      <c r="AB5" s="104">
        <v>5805100</v>
      </c>
      <c r="AC5" s="41">
        <v>53.94</v>
      </c>
      <c r="AD5" s="2">
        <f t="shared" si="0"/>
        <v>1.8299999999999983</v>
      </c>
      <c r="AE5" s="138">
        <f t="shared" si="1"/>
        <v>-1.6949152542372836E-2</v>
      </c>
      <c r="AK5" s="234"/>
      <c r="AN5" s="234"/>
    </row>
    <row r="6" spans="1:40" x14ac:dyDescent="0.25">
      <c r="B6" s="109"/>
      <c r="C6" s="4"/>
      <c r="D6" s="240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10">
        <v>42762</v>
      </c>
      <c r="X6" s="41">
        <v>55.83</v>
      </c>
      <c r="Y6" s="41">
        <v>55.96</v>
      </c>
      <c r="Z6" s="41">
        <v>54.51</v>
      </c>
      <c r="AA6" s="41">
        <v>54.87</v>
      </c>
      <c r="AB6" s="104">
        <v>3962200</v>
      </c>
      <c r="AC6" s="41">
        <v>54.87</v>
      </c>
      <c r="AD6" s="2">
        <f t="shared" si="0"/>
        <v>1.4500000000000028</v>
      </c>
      <c r="AE6" s="138">
        <f t="shared" si="1"/>
        <v>-2.3144027060708616E-2</v>
      </c>
      <c r="AK6" s="234"/>
      <c r="AN6" s="234"/>
    </row>
    <row r="7" spans="1:40" x14ac:dyDescent="0.25">
      <c r="O7" s="11" t="s">
        <v>181</v>
      </c>
      <c r="Q7" s="2">
        <f>Q10+Q8</f>
        <v>3178.8000000000466</v>
      </c>
      <c r="R7">
        <v>0</v>
      </c>
      <c r="W7" s="110">
        <v>42761</v>
      </c>
      <c r="X7" s="41">
        <v>56.38</v>
      </c>
      <c r="Y7" s="41">
        <v>57.04</v>
      </c>
      <c r="Z7" s="41">
        <v>55.74</v>
      </c>
      <c r="AA7" s="41">
        <v>56.17</v>
      </c>
      <c r="AB7" s="104">
        <v>3901600</v>
      </c>
      <c r="AC7" s="41">
        <v>56.17</v>
      </c>
      <c r="AD7" s="2">
        <f t="shared" si="0"/>
        <v>1.2999999999999972</v>
      </c>
      <c r="AE7" s="138">
        <f t="shared" si="1"/>
        <v>-5.1363797378675136E-3</v>
      </c>
    </row>
    <row r="8" spans="1:40" x14ac:dyDescent="0.25">
      <c r="O8" s="11" t="s">
        <v>184</v>
      </c>
      <c r="P8" s="34"/>
      <c r="Q8" s="2">
        <f>K18+M18-F18+Q2*Q4</f>
        <v>0</v>
      </c>
      <c r="W8" s="110">
        <v>42760</v>
      </c>
      <c r="X8" s="41">
        <v>57.05</v>
      </c>
      <c r="Y8" s="41">
        <v>58.5</v>
      </c>
      <c r="Z8" s="41">
        <v>56.22</v>
      </c>
      <c r="AA8" s="41">
        <v>56.46</v>
      </c>
      <c r="AB8" s="104">
        <v>6197100</v>
      </c>
      <c r="AC8" s="41">
        <v>56.46</v>
      </c>
      <c r="AD8" s="2">
        <f t="shared" si="0"/>
        <v>2.2800000000000011</v>
      </c>
      <c r="AE8" s="138">
        <f t="shared" si="1"/>
        <v>-1.8428372739916599E-2</v>
      </c>
    </row>
    <row r="9" spans="1:40" x14ac:dyDescent="0.25">
      <c r="O9" s="11" t="s">
        <v>214</v>
      </c>
      <c r="Q9" s="138">
        <f>IF(Q2=0, 0, Q8/Q6)</f>
        <v>0</v>
      </c>
      <c r="W9" s="110">
        <v>42759</v>
      </c>
      <c r="X9" s="41">
        <v>57.72</v>
      </c>
      <c r="Y9" s="41">
        <v>58.04</v>
      </c>
      <c r="Z9" s="41">
        <v>56.65</v>
      </c>
      <c r="AA9" s="41">
        <v>57.52</v>
      </c>
      <c r="AB9" s="104">
        <v>4008900</v>
      </c>
      <c r="AC9" s="41">
        <v>57.52</v>
      </c>
      <c r="AD9" s="2">
        <f t="shared" si="0"/>
        <v>1.3900000000000006</v>
      </c>
      <c r="AE9" s="138">
        <f t="shared" si="1"/>
        <v>6.4741907261594012E-3</v>
      </c>
    </row>
    <row r="10" spans="1:40" x14ac:dyDescent="0.25">
      <c r="O10" s="11" t="s">
        <v>213</v>
      </c>
      <c r="P10" s="34"/>
      <c r="Q10" s="2">
        <f>M75</f>
        <v>3178.8000000000466</v>
      </c>
      <c r="W10" s="110">
        <v>42758</v>
      </c>
      <c r="X10" s="41">
        <v>57.47</v>
      </c>
      <c r="Y10" s="41">
        <v>57.96</v>
      </c>
      <c r="Z10" s="41">
        <v>56.69</v>
      </c>
      <c r="AA10" s="41">
        <v>57.15</v>
      </c>
      <c r="AB10" s="104">
        <v>3023100</v>
      </c>
      <c r="AC10" s="41">
        <v>57.15</v>
      </c>
      <c r="AD10" s="2">
        <f t="shared" si="0"/>
        <v>1.2700000000000031</v>
      </c>
      <c r="AE10" s="138">
        <f t="shared" si="1"/>
        <v>-1.4315281131424551E-2</v>
      </c>
    </row>
    <row r="11" spans="1:40" x14ac:dyDescent="0.25">
      <c r="O11" s="11" t="s">
        <v>178</v>
      </c>
      <c r="P11" s="34"/>
      <c r="Q11" s="138">
        <f>VALUE(TRIM(CLEAN(MID(U58, FIND("(", U58)+1, 5))))</f>
        <v>1.8499999999999999E-2</v>
      </c>
      <c r="T11" s="19"/>
      <c r="W11" s="110">
        <v>42755</v>
      </c>
      <c r="X11" s="41">
        <v>58.71</v>
      </c>
      <c r="Y11" s="41">
        <v>59.08</v>
      </c>
      <c r="Z11" s="41">
        <v>57.54</v>
      </c>
      <c r="AA11" s="41">
        <v>57.98</v>
      </c>
      <c r="AB11" s="104">
        <v>3192300</v>
      </c>
      <c r="AC11" s="41">
        <v>57.98</v>
      </c>
      <c r="AD11" s="2">
        <f t="shared" si="0"/>
        <v>1.5399999999999991</v>
      </c>
      <c r="AE11" s="138">
        <f t="shared" si="1"/>
        <v>4.5045045045044585E-3</v>
      </c>
    </row>
    <row r="12" spans="1:40" x14ac:dyDescent="0.25">
      <c r="T12" s="19"/>
      <c r="W12" s="110">
        <v>42754</v>
      </c>
      <c r="X12" s="41">
        <v>58.5</v>
      </c>
      <c r="Y12" s="41">
        <v>58.97</v>
      </c>
      <c r="Z12" s="41">
        <v>57.65</v>
      </c>
      <c r="AA12" s="41">
        <v>57.72</v>
      </c>
      <c r="AB12" s="104">
        <v>3166300</v>
      </c>
      <c r="AC12" s="41">
        <v>57.72</v>
      </c>
      <c r="AD12" s="2">
        <f t="shared" si="0"/>
        <v>1.3200000000000003</v>
      </c>
      <c r="AE12" s="138">
        <f t="shared" si="1"/>
        <v>-1.8867924528301883E-2</v>
      </c>
    </row>
    <row r="13" spans="1:40" x14ac:dyDescent="0.25">
      <c r="W13" s="110">
        <v>42753</v>
      </c>
      <c r="X13" s="41">
        <v>58.69</v>
      </c>
      <c r="Y13" s="41">
        <v>59.42</v>
      </c>
      <c r="Z13" s="41">
        <v>58.39</v>
      </c>
      <c r="AA13" s="41">
        <v>58.83</v>
      </c>
      <c r="AB13" s="104">
        <v>2599500</v>
      </c>
      <c r="AC13" s="41">
        <v>58.83</v>
      </c>
      <c r="AD13" s="2">
        <f t="shared" si="0"/>
        <v>1.0300000000000011</v>
      </c>
      <c r="AE13" s="138">
        <f t="shared" si="1"/>
        <v>-7.9258010118044009E-3</v>
      </c>
    </row>
    <row r="14" spans="1:40" x14ac:dyDescent="0.25">
      <c r="W14" s="110">
        <v>42752</v>
      </c>
      <c r="X14" s="41">
        <v>59.27</v>
      </c>
      <c r="Y14" s="41">
        <v>60.13</v>
      </c>
      <c r="Z14" s="41">
        <v>58.41</v>
      </c>
      <c r="AA14" s="41">
        <v>59.3</v>
      </c>
      <c r="AB14" s="104">
        <v>5680700</v>
      </c>
      <c r="AC14" s="41">
        <v>59.3</v>
      </c>
      <c r="AD14" s="2">
        <f t="shared" si="0"/>
        <v>1.720000000000006</v>
      </c>
      <c r="AE14" s="138">
        <f t="shared" si="1"/>
        <v>6.962132789947395E-3</v>
      </c>
    </row>
    <row r="15" spans="1:40" x14ac:dyDescent="0.25">
      <c r="W15" s="110">
        <v>42748</v>
      </c>
      <c r="X15" s="41">
        <v>58.4</v>
      </c>
      <c r="Y15" s="41">
        <v>59.87</v>
      </c>
      <c r="Z15" s="41">
        <v>58.25</v>
      </c>
      <c r="AA15" s="41">
        <v>58.89</v>
      </c>
      <c r="AB15" s="104">
        <v>13244300</v>
      </c>
      <c r="AC15" s="41">
        <v>58.89</v>
      </c>
      <c r="AD15" s="2">
        <f t="shared" si="0"/>
        <v>1.6199999999999974</v>
      </c>
      <c r="AE15" s="138">
        <f t="shared" si="1"/>
        <v>6.7969413763813158E-4</v>
      </c>
    </row>
    <row r="16" spans="1:40" x14ac:dyDescent="0.25">
      <c r="W16" s="110">
        <v>42747</v>
      </c>
      <c r="X16" s="41">
        <v>59.86</v>
      </c>
      <c r="Y16" s="41">
        <v>59.99</v>
      </c>
      <c r="Z16" s="41">
        <v>56.65</v>
      </c>
      <c r="AA16" s="41">
        <v>58.85</v>
      </c>
      <c r="AB16" s="104">
        <v>16722800</v>
      </c>
      <c r="AC16" s="41">
        <v>58.85</v>
      </c>
      <c r="AD16" s="2">
        <f t="shared" si="0"/>
        <v>3.3400000000000034</v>
      </c>
      <c r="AE16" s="138">
        <f t="shared" si="1"/>
        <v>-4.8350582147477339E-2</v>
      </c>
    </row>
    <row r="17" spans="1:31" x14ac:dyDescent="0.25">
      <c r="C17" s="4"/>
      <c r="D17" s="240"/>
      <c r="E17" s="3"/>
      <c r="F17" s="3"/>
      <c r="W17" s="110">
        <v>42746</v>
      </c>
      <c r="X17" s="41">
        <v>61.75</v>
      </c>
      <c r="Y17" s="41">
        <v>62.24</v>
      </c>
      <c r="Z17" s="41">
        <v>60.79</v>
      </c>
      <c r="AA17" s="41">
        <v>61.84</v>
      </c>
      <c r="AB17" s="104">
        <v>2052100</v>
      </c>
      <c r="AC17" s="41">
        <v>61.84</v>
      </c>
      <c r="AD17" s="2">
        <f t="shared" si="0"/>
        <v>1.4500000000000028</v>
      </c>
      <c r="AE17" s="138">
        <f t="shared" si="1"/>
        <v>6.3466232709519232E-3</v>
      </c>
    </row>
    <row r="18" spans="1:31" x14ac:dyDescent="0.25">
      <c r="A18" s="32" t="s">
        <v>81</v>
      </c>
      <c r="B18" s="118"/>
      <c r="C18" s="14">
        <f>SUM(C2:C17)</f>
        <v>0</v>
      </c>
      <c r="D18" s="81"/>
      <c r="E18" s="14"/>
      <c r="F18" s="18">
        <f>SUM(F2:F17)</f>
        <v>0</v>
      </c>
      <c r="G18" s="14"/>
      <c r="H18" s="73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10">
        <v>42745</v>
      </c>
      <c r="X18" s="41">
        <v>60.82</v>
      </c>
      <c r="Y18" s="41">
        <v>62</v>
      </c>
      <c r="Z18" s="41">
        <v>60.5</v>
      </c>
      <c r="AA18" s="41">
        <v>61.45</v>
      </c>
      <c r="AB18" s="104">
        <v>2238100</v>
      </c>
      <c r="AC18" s="41">
        <v>61.45</v>
      </c>
      <c r="AD18" s="2">
        <f t="shared" si="0"/>
        <v>1.5</v>
      </c>
      <c r="AE18" s="138">
        <f t="shared" si="1"/>
        <v>1.3859099158554766E-2</v>
      </c>
    </row>
    <row r="19" spans="1:31" x14ac:dyDescent="0.25">
      <c r="W19" s="110">
        <v>42744</v>
      </c>
      <c r="X19" s="41">
        <v>61.33</v>
      </c>
      <c r="Y19" s="41">
        <v>61.58</v>
      </c>
      <c r="Z19" s="41">
        <v>60.57</v>
      </c>
      <c r="AA19" s="41">
        <v>60.61</v>
      </c>
      <c r="AB19" s="104">
        <v>2456700</v>
      </c>
      <c r="AC19" s="41">
        <v>60.61</v>
      </c>
      <c r="AD19" s="2">
        <f t="shared" si="0"/>
        <v>1.009999999999998</v>
      </c>
      <c r="AE19" s="138">
        <f t="shared" si="1"/>
        <v>-2.084006462035537E-2</v>
      </c>
    </row>
    <row r="20" spans="1:31" x14ac:dyDescent="0.25">
      <c r="B20" s="191" t="s">
        <v>114</v>
      </c>
      <c r="C20" s="191" t="s">
        <v>147</v>
      </c>
      <c r="D20" s="199" t="s">
        <v>146</v>
      </c>
      <c r="E20" s="194" t="s">
        <v>148</v>
      </c>
      <c r="F20" s="195" t="s">
        <v>65</v>
      </c>
      <c r="G20" s="229" t="s">
        <v>152</v>
      </c>
      <c r="H20" s="195" t="s">
        <v>88</v>
      </c>
      <c r="I20" s="195" t="s">
        <v>155</v>
      </c>
      <c r="J20" s="2" t="s">
        <v>124</v>
      </c>
      <c r="W20" s="110">
        <v>42741</v>
      </c>
      <c r="X20" s="41">
        <v>62.21</v>
      </c>
      <c r="Y20" s="41">
        <v>62.4</v>
      </c>
      <c r="Z20" s="41">
        <v>61.7</v>
      </c>
      <c r="AA20" s="41">
        <v>61.9</v>
      </c>
      <c r="AB20" s="104">
        <v>1973900</v>
      </c>
      <c r="AC20" s="41">
        <v>61.9</v>
      </c>
      <c r="AD20" s="2">
        <f t="shared" si="0"/>
        <v>0.69999999999999574</v>
      </c>
      <c r="AE20" s="138">
        <f t="shared" si="1"/>
        <v>-3.2206119162641045E-3</v>
      </c>
    </row>
    <row r="21" spans="1:31" x14ac:dyDescent="0.25">
      <c r="B21" s="193">
        <v>42304</v>
      </c>
      <c r="C21" s="10">
        <v>5</v>
      </c>
      <c r="D21" s="200">
        <v>-47.95</v>
      </c>
      <c r="E21" s="40">
        <v>56.93</v>
      </c>
      <c r="F21" s="40">
        <f>C21*(E21-D21)</f>
        <v>524.4</v>
      </c>
      <c r="G21" s="40">
        <f>D21*C21</f>
        <v>-239.75</v>
      </c>
      <c r="H21" s="231"/>
      <c r="I21" s="195"/>
      <c r="W21" s="110">
        <v>42740</v>
      </c>
      <c r="X21" s="41">
        <v>62.11</v>
      </c>
      <c r="Y21" s="41">
        <v>62.47</v>
      </c>
      <c r="Z21" s="41">
        <v>60.94</v>
      </c>
      <c r="AA21" s="41">
        <v>62.1</v>
      </c>
      <c r="AB21" s="104">
        <v>3788200</v>
      </c>
      <c r="AC21" s="41">
        <v>62.1</v>
      </c>
      <c r="AD21" s="2">
        <f t="shared" si="0"/>
        <v>1.5300000000000011</v>
      </c>
      <c r="AE21" s="138">
        <f t="shared" si="1"/>
        <v>2.7450347166155797E-3</v>
      </c>
    </row>
    <row r="22" spans="1:31" x14ac:dyDescent="0.25">
      <c r="B22" s="193">
        <v>42305</v>
      </c>
      <c r="C22" s="10">
        <v>125</v>
      </c>
      <c r="D22" s="200">
        <v>50.5</v>
      </c>
      <c r="E22" s="40">
        <v>57.07</v>
      </c>
      <c r="F22" s="40">
        <f>C22*(E22-D22)</f>
        <v>821.25</v>
      </c>
      <c r="G22" s="40">
        <f>D22*C22</f>
        <v>6312.5</v>
      </c>
      <c r="H22" s="231">
        <f>(E22-D22)/D22</f>
        <v>0.1300990099009901</v>
      </c>
      <c r="I22" s="40"/>
      <c r="U22" s="2"/>
      <c r="W22" s="110">
        <v>42739</v>
      </c>
      <c r="X22" s="41">
        <v>62.84</v>
      </c>
      <c r="Y22" s="41">
        <v>63.05</v>
      </c>
      <c r="Z22" s="41">
        <v>60.88</v>
      </c>
      <c r="AA22" s="41">
        <v>61.93</v>
      </c>
      <c r="AB22" s="104">
        <v>4988500</v>
      </c>
      <c r="AC22" s="41">
        <v>61.93</v>
      </c>
      <c r="AD22" s="2">
        <f t="shared" si="0"/>
        <v>2.1699999999999946</v>
      </c>
      <c r="AE22" s="138">
        <f t="shared" si="1"/>
        <v>-1.4167462591531343E-2</v>
      </c>
    </row>
    <row r="23" spans="1:31" x14ac:dyDescent="0.25">
      <c r="B23" s="193">
        <v>42311</v>
      </c>
      <c r="C23" s="10">
        <v>115</v>
      </c>
      <c r="D23" s="200">
        <v>49.704999999999998</v>
      </c>
      <c r="E23" s="40">
        <v>60.15</v>
      </c>
      <c r="F23" s="40">
        <f>C23*(E23-D23)</f>
        <v>1201.175</v>
      </c>
      <c r="G23" s="40">
        <f>D23*C23</f>
        <v>5716.0749999999998</v>
      </c>
      <c r="H23" s="231">
        <f>(E23-D23)/D23</f>
        <v>0.21013982496730713</v>
      </c>
      <c r="I23" s="40"/>
      <c r="W23" s="110">
        <v>42738</v>
      </c>
      <c r="X23" s="41">
        <v>63.38</v>
      </c>
      <c r="Y23" s="41">
        <v>64.400000000000006</v>
      </c>
      <c r="Z23" s="41">
        <v>62.15</v>
      </c>
      <c r="AA23" s="41">
        <v>62.82</v>
      </c>
      <c r="AB23" s="104">
        <v>4515200</v>
      </c>
      <c r="AC23" s="41">
        <v>62.82</v>
      </c>
      <c r="AD23" s="2">
        <f t="shared" si="0"/>
        <v>2.2500000000000071</v>
      </c>
      <c r="AE23" s="138">
        <f t="shared" si="1"/>
        <v>8.5085888585647584E-3</v>
      </c>
    </row>
    <row r="24" spans="1:31" x14ac:dyDescent="0.25">
      <c r="B24" s="193">
        <v>42332</v>
      </c>
      <c r="C24" s="10">
        <v>40</v>
      </c>
      <c r="D24" s="200">
        <v>27.61</v>
      </c>
      <c r="E24" s="40">
        <v>61.36</v>
      </c>
      <c r="F24" s="40">
        <f>C24*(E24-D24)</f>
        <v>1350</v>
      </c>
      <c r="G24" s="40">
        <f>D24*C24</f>
        <v>1104.4000000000001</v>
      </c>
      <c r="H24" s="231">
        <f>(E24-D24)/D24</f>
        <v>1.2223831944947483</v>
      </c>
      <c r="I24" s="40"/>
      <c r="W24" s="110">
        <v>42734</v>
      </c>
      <c r="X24" s="41">
        <v>62.9</v>
      </c>
      <c r="Y24" s="41">
        <v>63.28</v>
      </c>
      <c r="Z24" s="41">
        <v>62.07</v>
      </c>
      <c r="AA24" s="41">
        <v>62.29</v>
      </c>
      <c r="AB24" s="104">
        <v>1968300</v>
      </c>
      <c r="AC24" s="41">
        <v>62.29</v>
      </c>
      <c r="AD24" s="2">
        <f t="shared" si="0"/>
        <v>1.2100000000000009</v>
      </c>
      <c r="AE24" s="138">
        <f t="shared" si="1"/>
        <v>-9.6979332273450236E-3</v>
      </c>
    </row>
    <row r="25" spans="1:31" x14ac:dyDescent="0.25">
      <c r="B25" s="193">
        <v>42335</v>
      </c>
      <c r="C25" s="10">
        <v>80</v>
      </c>
      <c r="D25" s="200">
        <v>43.104999999999997</v>
      </c>
      <c r="E25" s="40">
        <v>59.09</v>
      </c>
      <c r="F25" s="40">
        <f>C25*(E25-D25)</f>
        <v>1278.8000000000006</v>
      </c>
      <c r="G25" s="40">
        <f>D25*C25</f>
        <v>3448.3999999999996</v>
      </c>
      <c r="H25" s="231">
        <f>(E25-D25)/D25</f>
        <v>0.37083864980860709</v>
      </c>
      <c r="I25" s="195"/>
      <c r="W25" s="110">
        <v>42733</v>
      </c>
      <c r="X25" s="41">
        <v>63.61</v>
      </c>
      <c r="Y25" s="41">
        <v>63.75</v>
      </c>
      <c r="Z25" s="41">
        <v>62.42</v>
      </c>
      <c r="AA25" s="41">
        <v>62.9</v>
      </c>
      <c r="AB25" s="104">
        <v>1435800</v>
      </c>
      <c r="AC25" s="41">
        <v>62.9</v>
      </c>
      <c r="AD25" s="2">
        <f t="shared" si="0"/>
        <v>1.3299999999999983</v>
      </c>
      <c r="AE25" s="138">
        <f t="shared" si="1"/>
        <v>-9.1367359798361081E-3</v>
      </c>
    </row>
    <row r="26" spans="1:31" x14ac:dyDescent="0.25">
      <c r="B26" s="193">
        <v>42344</v>
      </c>
      <c r="C26" s="10">
        <v>80</v>
      </c>
      <c r="D26" s="200">
        <v>43.104999999999997</v>
      </c>
      <c r="E26" s="40">
        <v>54.9</v>
      </c>
      <c r="F26" s="40">
        <f t="shared" ref="F26:F62" si="2">C26*(E26-D26)</f>
        <v>943.60000000000014</v>
      </c>
      <c r="G26" s="40">
        <f t="shared" ref="G26:G62" si="3">D26*C26</f>
        <v>3448.3999999999996</v>
      </c>
      <c r="H26" s="231">
        <f t="shared" ref="H26:H58" si="4">(E26-D26)/D26</f>
        <v>0.27363414917062989</v>
      </c>
      <c r="I26" s="195"/>
      <c r="W26" s="110">
        <v>42732</v>
      </c>
      <c r="X26" s="41">
        <v>64.45</v>
      </c>
      <c r="Y26" s="41">
        <v>64.91</v>
      </c>
      <c r="Z26" s="41">
        <v>63.28</v>
      </c>
      <c r="AA26" s="41">
        <v>63.48</v>
      </c>
      <c r="AB26" s="104">
        <v>1490300</v>
      </c>
      <c r="AC26" s="41">
        <v>63.48</v>
      </c>
      <c r="AD26" s="2">
        <f t="shared" si="0"/>
        <v>1.6299999999999955</v>
      </c>
      <c r="AE26" s="138">
        <f t="shared" si="1"/>
        <v>-1.4438751746623235E-2</v>
      </c>
    </row>
    <row r="27" spans="1:31" x14ac:dyDescent="0.25">
      <c r="B27" s="193">
        <v>42349</v>
      </c>
      <c r="C27" s="10">
        <v>125</v>
      </c>
      <c r="D27" s="200">
        <v>45.75</v>
      </c>
      <c r="E27" s="40">
        <v>50.43</v>
      </c>
      <c r="F27" s="40">
        <f t="shared" si="2"/>
        <v>585</v>
      </c>
      <c r="G27" s="40">
        <f t="shared" si="3"/>
        <v>5718.75</v>
      </c>
      <c r="H27" s="231">
        <f t="shared" si="4"/>
        <v>0.10229508196721311</v>
      </c>
      <c r="I27" s="195"/>
      <c r="W27" s="110">
        <v>42731</v>
      </c>
      <c r="X27" s="41">
        <v>64.14</v>
      </c>
      <c r="Y27" s="41">
        <v>64.849999999999994</v>
      </c>
      <c r="Z27" s="41">
        <v>63.66</v>
      </c>
      <c r="AA27" s="41">
        <v>64.41</v>
      </c>
      <c r="AB27" s="104">
        <v>1534000</v>
      </c>
      <c r="AC27" s="41">
        <v>64.41</v>
      </c>
      <c r="AD27" s="2">
        <f t="shared" si="0"/>
        <v>1.1899999999999977</v>
      </c>
      <c r="AE27" s="138">
        <f t="shared" si="1"/>
        <v>9.8777046095954724E-3</v>
      </c>
    </row>
    <row r="28" spans="1:31" x14ac:dyDescent="0.25">
      <c r="B28" s="193">
        <v>42349</v>
      </c>
      <c r="C28" s="10">
        <v>200</v>
      </c>
      <c r="D28" s="200">
        <v>47.5</v>
      </c>
      <c r="E28" s="40">
        <v>50.43</v>
      </c>
      <c r="F28" s="40">
        <f t="shared" si="2"/>
        <v>586</v>
      </c>
      <c r="G28" s="40">
        <f t="shared" si="3"/>
        <v>9500</v>
      </c>
      <c r="H28" s="231">
        <f t="shared" si="4"/>
        <v>6.1684210526315786E-2</v>
      </c>
      <c r="I28" s="195"/>
      <c r="W28" s="110">
        <v>42727</v>
      </c>
      <c r="X28" s="41">
        <v>63.38</v>
      </c>
      <c r="Y28" s="41">
        <v>64.19</v>
      </c>
      <c r="Z28" s="41">
        <v>63.09</v>
      </c>
      <c r="AA28" s="41">
        <v>63.78</v>
      </c>
      <c r="AB28" s="104">
        <v>2235900</v>
      </c>
      <c r="AC28" s="41">
        <v>63.78</v>
      </c>
      <c r="AD28" s="2">
        <f t="shared" si="0"/>
        <v>1.0999999999999943</v>
      </c>
      <c r="AE28" s="138">
        <f t="shared" si="1"/>
        <v>1.0987286140322627E-3</v>
      </c>
    </row>
    <row r="29" spans="1:31" x14ac:dyDescent="0.25">
      <c r="B29" s="193">
        <v>42349</v>
      </c>
      <c r="C29" s="10">
        <v>700</v>
      </c>
      <c r="D29" s="200">
        <v>49.27</v>
      </c>
      <c r="E29" s="40">
        <v>50.43</v>
      </c>
      <c r="F29" s="40">
        <f t="shared" si="2"/>
        <v>811.99999999999761</v>
      </c>
      <c r="G29" s="40">
        <f t="shared" si="3"/>
        <v>34489</v>
      </c>
      <c r="H29" s="231">
        <f t="shared" si="4"/>
        <v>2.3543738583316348E-2</v>
      </c>
      <c r="I29" s="195"/>
      <c r="W29" s="110">
        <v>42726</v>
      </c>
      <c r="X29" s="41">
        <v>63.58</v>
      </c>
      <c r="Y29" s="41">
        <v>63.77</v>
      </c>
      <c r="Z29" s="41">
        <v>62.88</v>
      </c>
      <c r="AA29" s="41">
        <v>63.71</v>
      </c>
      <c r="AB29" s="104">
        <v>1813500</v>
      </c>
      <c r="AC29" s="41">
        <v>63.71</v>
      </c>
      <c r="AD29" s="2">
        <f t="shared" si="0"/>
        <v>0.89000000000000057</v>
      </c>
      <c r="AE29" s="138">
        <f t="shared" si="1"/>
        <v>2.3599748269351739E-3</v>
      </c>
    </row>
    <row r="30" spans="1:31" x14ac:dyDescent="0.25">
      <c r="B30" s="193">
        <v>42349</v>
      </c>
      <c r="C30" s="10">
        <v>500</v>
      </c>
      <c r="D30" s="200">
        <v>48.92</v>
      </c>
      <c r="E30" s="40">
        <v>50.43</v>
      </c>
      <c r="F30" s="40">
        <f t="shared" si="2"/>
        <v>754.99999999999898</v>
      </c>
      <c r="G30" s="40">
        <f t="shared" si="3"/>
        <v>24460</v>
      </c>
      <c r="H30" s="231">
        <f t="shared" si="4"/>
        <v>3.0866721177432502E-2</v>
      </c>
      <c r="I30" s="195"/>
      <c r="W30" s="110">
        <v>42725</v>
      </c>
      <c r="X30" s="41">
        <v>63.97</v>
      </c>
      <c r="Y30" s="41">
        <v>64.489999999999995</v>
      </c>
      <c r="Z30" s="41">
        <v>63.51</v>
      </c>
      <c r="AA30" s="41">
        <v>63.56</v>
      </c>
      <c r="AB30" s="104">
        <v>2246500</v>
      </c>
      <c r="AC30" s="41">
        <v>63.56</v>
      </c>
      <c r="AD30" s="2">
        <f t="shared" si="0"/>
        <v>0.97999999999999687</v>
      </c>
      <c r="AE30" s="138">
        <f t="shared" si="1"/>
        <v>2.6818110112005744E-3</v>
      </c>
    </row>
    <row r="31" spans="1:31" x14ac:dyDescent="0.25">
      <c r="B31" s="193">
        <v>42349</v>
      </c>
      <c r="C31" s="282">
        <v>400</v>
      </c>
      <c r="D31" s="283">
        <v>48.61</v>
      </c>
      <c r="E31" s="40">
        <v>50.43</v>
      </c>
      <c r="F31" s="40">
        <f t="shared" si="2"/>
        <v>728.00000000000011</v>
      </c>
      <c r="G31" s="40">
        <f t="shared" si="3"/>
        <v>19444</v>
      </c>
      <c r="H31" s="231">
        <f t="shared" si="4"/>
        <v>3.7440855790989512E-2</v>
      </c>
      <c r="I31" s="195"/>
      <c r="W31" s="110">
        <v>42724</v>
      </c>
      <c r="X31" s="197">
        <v>63.63</v>
      </c>
      <c r="Y31" s="41">
        <v>64.39</v>
      </c>
      <c r="Z31" s="41">
        <v>63.12</v>
      </c>
      <c r="AA31" s="41">
        <v>63.39</v>
      </c>
      <c r="AB31" s="104">
        <v>2434300</v>
      </c>
      <c r="AC31" s="41">
        <v>63.39</v>
      </c>
      <c r="AD31" s="2">
        <f t="shared" si="0"/>
        <v>1.2700000000000031</v>
      </c>
      <c r="AE31" s="138">
        <f t="shared" si="1"/>
        <v>3.156067539846763E-4</v>
      </c>
    </row>
    <row r="32" spans="1:31" x14ac:dyDescent="0.25">
      <c r="B32" s="193">
        <v>42356</v>
      </c>
      <c r="C32" s="10">
        <v>400</v>
      </c>
      <c r="D32" s="200">
        <v>48.61</v>
      </c>
      <c r="E32" s="40">
        <v>49.2</v>
      </c>
      <c r="F32" s="40">
        <f t="shared" si="2"/>
        <v>236.00000000000136</v>
      </c>
      <c r="G32" s="40">
        <f t="shared" si="3"/>
        <v>19444</v>
      </c>
      <c r="H32" s="231">
        <f t="shared" si="4"/>
        <v>1.2137420283892274E-2</v>
      </c>
      <c r="I32" s="195"/>
      <c r="W32" s="110">
        <v>42723</v>
      </c>
      <c r="X32" s="41">
        <v>62.25</v>
      </c>
      <c r="Y32" s="41">
        <v>63.66</v>
      </c>
      <c r="Z32" s="41">
        <v>61.61</v>
      </c>
      <c r="AA32" s="41">
        <v>63.37</v>
      </c>
      <c r="AB32" s="104">
        <v>2864100</v>
      </c>
      <c r="AC32" s="41">
        <v>63.37</v>
      </c>
      <c r="AD32" s="2">
        <f t="shared" si="0"/>
        <v>2.0499999999999972</v>
      </c>
      <c r="AE32" s="138">
        <f t="shared" si="1"/>
        <v>1.3919999999999932E-2</v>
      </c>
    </row>
    <row r="33" spans="2:31" x14ac:dyDescent="0.25">
      <c r="B33" s="193">
        <v>42359</v>
      </c>
      <c r="C33" s="10">
        <v>1000</v>
      </c>
      <c r="D33" s="200">
        <v>48.22</v>
      </c>
      <c r="E33" s="40">
        <v>48.02</v>
      </c>
      <c r="F33" s="40">
        <f t="shared" si="2"/>
        <v>-199.99999999999574</v>
      </c>
      <c r="G33" s="40">
        <f t="shared" si="3"/>
        <v>48220</v>
      </c>
      <c r="H33" s="231">
        <f t="shared" si="4"/>
        <v>-4.1476565740355817E-3</v>
      </c>
      <c r="I33" s="195"/>
      <c r="W33" s="110">
        <v>42720</v>
      </c>
      <c r="X33" s="41">
        <v>62.98</v>
      </c>
      <c r="Y33" s="41">
        <v>63.11</v>
      </c>
      <c r="Z33" s="41">
        <v>62.05</v>
      </c>
      <c r="AA33" s="41">
        <v>62.5</v>
      </c>
      <c r="AB33" s="104">
        <v>3908400</v>
      </c>
      <c r="AC33" s="41">
        <v>62.5</v>
      </c>
      <c r="AD33" s="2">
        <f t="shared" si="0"/>
        <v>1.0600000000000023</v>
      </c>
      <c r="AE33" s="138">
        <f t="shared" si="1"/>
        <v>-2.8717294192724951E-3</v>
      </c>
    </row>
    <row r="34" spans="2:31" x14ac:dyDescent="0.25">
      <c r="B34" s="193">
        <v>42361</v>
      </c>
      <c r="C34" s="10">
        <v>600</v>
      </c>
      <c r="D34" s="200">
        <v>47.125</v>
      </c>
      <c r="E34" s="40">
        <v>51.27</v>
      </c>
      <c r="F34" s="40">
        <f t="shared" si="2"/>
        <v>2487.0000000000018</v>
      </c>
      <c r="G34" s="40">
        <f t="shared" si="3"/>
        <v>28275</v>
      </c>
      <c r="H34" s="231">
        <f t="shared" si="4"/>
        <v>8.7957559681697675E-2</v>
      </c>
      <c r="I34" s="195"/>
      <c r="W34" s="110">
        <v>42719</v>
      </c>
      <c r="X34" s="41">
        <v>62.18</v>
      </c>
      <c r="Y34" s="41">
        <v>63.71</v>
      </c>
      <c r="Z34" s="41">
        <v>61.75</v>
      </c>
      <c r="AA34" s="41">
        <v>62.68</v>
      </c>
      <c r="AB34" s="104">
        <v>3641100</v>
      </c>
      <c r="AC34" s="41">
        <v>62.68</v>
      </c>
      <c r="AD34" s="2">
        <f t="shared" si="0"/>
        <v>1.9600000000000009</v>
      </c>
      <c r="AE34" s="138" t="e">
        <f t="shared" si="1"/>
        <v>#DIV/0!</v>
      </c>
    </row>
    <row r="35" spans="2:31" x14ac:dyDescent="0.25">
      <c r="B35" s="193">
        <v>46026</v>
      </c>
      <c r="C35" s="10">
        <v>600</v>
      </c>
      <c r="D35" s="200">
        <v>46.96</v>
      </c>
      <c r="E35" s="40">
        <v>48.18</v>
      </c>
      <c r="F35" s="40">
        <f t="shared" si="2"/>
        <v>731.99999999999932</v>
      </c>
      <c r="G35" s="40">
        <f t="shared" si="3"/>
        <v>28176</v>
      </c>
      <c r="H35" s="231">
        <f t="shared" si="4"/>
        <v>2.5979557069846653E-2</v>
      </c>
      <c r="I35" s="195"/>
      <c r="W35" s="110">
        <v>42719</v>
      </c>
      <c r="X35" s="41" t="s">
        <v>125</v>
      </c>
      <c r="Y35" s="41"/>
      <c r="Z35" s="41"/>
      <c r="AA35" s="41"/>
      <c r="AB35" s="104"/>
      <c r="AC35" s="41"/>
      <c r="AD35" s="2">
        <f t="shared" si="0"/>
        <v>0</v>
      </c>
      <c r="AE35" s="138">
        <f t="shared" si="1"/>
        <v>-1</v>
      </c>
    </row>
    <row r="36" spans="2:31" x14ac:dyDescent="0.25">
      <c r="B36" s="193">
        <v>42374</v>
      </c>
      <c r="C36" s="282">
        <v>600</v>
      </c>
      <c r="D36" s="283">
        <v>46.887</v>
      </c>
      <c r="E36" s="40">
        <v>48.07</v>
      </c>
      <c r="F36" s="40">
        <f t="shared" si="2"/>
        <v>709.8</v>
      </c>
      <c r="G36" s="40">
        <f t="shared" si="3"/>
        <v>28132.2</v>
      </c>
      <c r="H36" s="231">
        <f t="shared" si="4"/>
        <v>2.5230874229530569E-2</v>
      </c>
      <c r="I36" s="195"/>
      <c r="W36" s="110">
        <v>42718</v>
      </c>
      <c r="X36" s="41">
        <v>64.19</v>
      </c>
      <c r="Y36" s="41">
        <v>65.010000000000005</v>
      </c>
      <c r="Z36" s="41">
        <v>62.8</v>
      </c>
      <c r="AA36" s="41">
        <v>63.17</v>
      </c>
      <c r="AB36" s="104">
        <v>6065500</v>
      </c>
      <c r="AC36" s="41">
        <v>62.92</v>
      </c>
      <c r="AD36" s="2">
        <f t="shared" si="0"/>
        <v>2.210000000000008</v>
      </c>
      <c r="AE36" s="138">
        <f t="shared" si="1"/>
        <v>-3.0209617755856844E-2</v>
      </c>
    </row>
    <row r="37" spans="2:31" x14ac:dyDescent="0.25">
      <c r="B37" s="193">
        <v>42375</v>
      </c>
      <c r="C37" s="282">
        <v>750</v>
      </c>
      <c r="D37" s="283">
        <v>46.65</v>
      </c>
      <c r="E37" s="40">
        <v>45.07</v>
      </c>
      <c r="F37" s="40">
        <f t="shared" si="2"/>
        <v>-1184.9999999999986</v>
      </c>
      <c r="G37" s="40">
        <f t="shared" si="3"/>
        <v>34987.5</v>
      </c>
      <c r="H37" s="231">
        <f t="shared" si="4"/>
        <v>-3.3869239013933509E-2</v>
      </c>
      <c r="I37" s="195"/>
      <c r="W37" s="110">
        <v>42717</v>
      </c>
      <c r="X37" s="41">
        <v>63.53</v>
      </c>
      <c r="Y37" s="41">
        <v>65.56</v>
      </c>
      <c r="Z37" s="41">
        <v>62.78</v>
      </c>
      <c r="AA37" s="41">
        <v>65.14</v>
      </c>
      <c r="AB37" s="104">
        <v>6543000</v>
      </c>
      <c r="AC37" s="41">
        <v>64.88</v>
      </c>
      <c r="AD37" s="2">
        <f t="shared" si="0"/>
        <v>2.7800000000000011</v>
      </c>
      <c r="AE37" s="138">
        <f t="shared" si="1"/>
        <v>3.5594573024740672E-2</v>
      </c>
    </row>
    <row r="38" spans="2:31" x14ac:dyDescent="0.25">
      <c r="B38" s="193">
        <v>42398</v>
      </c>
      <c r="C38" s="282">
        <v>600</v>
      </c>
      <c r="D38" s="283">
        <v>48.09</v>
      </c>
      <c r="E38" s="40">
        <v>41.28</v>
      </c>
      <c r="F38" s="40">
        <f t="shared" si="2"/>
        <v>-4086.0000000000014</v>
      </c>
      <c r="G38" s="40">
        <f t="shared" si="3"/>
        <v>28854.000000000004</v>
      </c>
      <c r="H38" s="232">
        <f t="shared" si="4"/>
        <v>-0.14160948222083597</v>
      </c>
      <c r="I38" s="195"/>
      <c r="W38" s="110">
        <v>42716</v>
      </c>
      <c r="X38" s="41">
        <v>64.3</v>
      </c>
      <c r="Y38" s="41">
        <v>64.94</v>
      </c>
      <c r="Z38" s="41">
        <v>62.8</v>
      </c>
      <c r="AA38" s="41">
        <v>62.9</v>
      </c>
      <c r="AB38" s="104">
        <v>5285600</v>
      </c>
      <c r="AC38" s="41">
        <v>62.65</v>
      </c>
      <c r="AD38" s="2">
        <f t="shared" si="0"/>
        <v>2.1400000000000006</v>
      </c>
      <c r="AE38" s="138">
        <f t="shared" si="1"/>
        <v>2.2396416573349232E-3</v>
      </c>
    </row>
    <row r="39" spans="2:31" x14ac:dyDescent="0.25">
      <c r="B39" s="193">
        <v>42402</v>
      </c>
      <c r="C39" s="282">
        <v>750</v>
      </c>
      <c r="D39" s="283">
        <v>46.366</v>
      </c>
      <c r="E39" s="40">
        <v>39.36</v>
      </c>
      <c r="F39" s="40">
        <f t="shared" si="2"/>
        <v>-5254.5</v>
      </c>
      <c r="G39" s="40">
        <f t="shared" si="3"/>
        <v>34774.5</v>
      </c>
      <c r="H39" s="232">
        <f t="shared" si="4"/>
        <v>-0.15110210067722038</v>
      </c>
      <c r="I39" s="195"/>
      <c r="W39" s="110">
        <v>42713</v>
      </c>
      <c r="X39" s="41">
        <v>61.88</v>
      </c>
      <c r="Y39" s="41">
        <v>62.78</v>
      </c>
      <c r="Z39" s="41">
        <v>61.4</v>
      </c>
      <c r="AA39" s="41">
        <v>62.76</v>
      </c>
      <c r="AB39" s="104">
        <v>4400200</v>
      </c>
      <c r="AC39" s="41">
        <v>62.51</v>
      </c>
      <c r="AD39" s="2">
        <f t="shared" si="0"/>
        <v>1.3800000000000026</v>
      </c>
      <c r="AE39" s="138">
        <f t="shared" si="1"/>
        <v>1.7580986488686223E-2</v>
      </c>
    </row>
    <row r="40" spans="2:31" x14ac:dyDescent="0.25">
      <c r="B40" s="193">
        <v>42405</v>
      </c>
      <c r="C40" s="282">
        <v>750</v>
      </c>
      <c r="D40" s="283">
        <v>46.357999999999997</v>
      </c>
      <c r="E40" s="40">
        <v>38.424999999999997</v>
      </c>
      <c r="F40" s="40">
        <f t="shared" si="2"/>
        <v>-5949.75</v>
      </c>
      <c r="G40" s="40">
        <f t="shared" si="3"/>
        <v>34768.5</v>
      </c>
      <c r="H40" s="232">
        <f t="shared" si="4"/>
        <v>-0.17112472496656456</v>
      </c>
      <c r="I40" s="195"/>
      <c r="W40" s="110">
        <v>42712</v>
      </c>
      <c r="X40" s="41">
        <v>61.79</v>
      </c>
      <c r="Y40" s="41">
        <v>62</v>
      </c>
      <c r="Z40" s="41">
        <v>60.75</v>
      </c>
      <c r="AA40" s="41">
        <v>61.67</v>
      </c>
      <c r="AB40" s="104">
        <v>6004800</v>
      </c>
      <c r="AC40" s="41">
        <v>61.43</v>
      </c>
      <c r="AD40" s="2">
        <f t="shared" si="0"/>
        <v>1.25</v>
      </c>
      <c r="AE40" s="138">
        <f t="shared" si="1"/>
        <v>1.1859660681930562E-2</v>
      </c>
    </row>
    <row r="41" spans="2:31" x14ac:dyDescent="0.25">
      <c r="B41" s="193">
        <v>42421</v>
      </c>
      <c r="C41" s="282">
        <v>750</v>
      </c>
      <c r="D41" s="283">
        <v>46.357999999999997</v>
      </c>
      <c r="E41" s="40">
        <v>42.31</v>
      </c>
      <c r="F41" s="40">
        <f t="shared" si="2"/>
        <v>-3035.9999999999959</v>
      </c>
      <c r="G41" s="40">
        <f t="shared" si="3"/>
        <v>34768.5</v>
      </c>
      <c r="H41" s="232">
        <f t="shared" si="4"/>
        <v>-8.7320419345096753E-2</v>
      </c>
      <c r="I41" s="195"/>
      <c r="W41" s="110">
        <v>42711</v>
      </c>
      <c r="X41" s="41">
        <v>59.92</v>
      </c>
      <c r="Y41" s="41">
        <v>60.98</v>
      </c>
      <c r="Z41" s="41">
        <v>59.32</v>
      </c>
      <c r="AA41" s="41">
        <v>60.95</v>
      </c>
      <c r="AB41" s="104">
        <v>4707200</v>
      </c>
      <c r="AC41" s="41">
        <v>60.71</v>
      </c>
      <c r="AD41" s="2">
        <f t="shared" si="0"/>
        <v>1.6599999999999966</v>
      </c>
      <c r="AE41" s="138">
        <f t="shared" si="1"/>
        <v>1.9137149571932133E-2</v>
      </c>
    </row>
    <row r="42" spans="2:31" ht="20.25" thickBot="1" x14ac:dyDescent="0.35">
      <c r="B42" s="193">
        <v>42422</v>
      </c>
      <c r="C42" s="282">
        <v>750</v>
      </c>
      <c r="D42" s="283">
        <v>46.357999999999997</v>
      </c>
      <c r="E42" s="40">
        <v>44.58</v>
      </c>
      <c r="F42" s="40">
        <f t="shared" si="2"/>
        <v>-1333.4999999999991</v>
      </c>
      <c r="G42" s="40">
        <f t="shared" si="3"/>
        <v>34768.5</v>
      </c>
      <c r="H42" s="232">
        <f t="shared" si="4"/>
        <v>-3.8353682212347355E-2</v>
      </c>
      <c r="I42" s="195"/>
      <c r="T42" s="105" t="s">
        <v>92</v>
      </c>
      <c r="U42" s="34"/>
      <c r="W42" s="110">
        <v>42710</v>
      </c>
      <c r="X42" s="41">
        <v>58.36</v>
      </c>
      <c r="Y42" s="41">
        <v>60.6</v>
      </c>
      <c r="Z42" s="41">
        <v>57.83</v>
      </c>
      <c r="AA42" s="41">
        <v>59.81</v>
      </c>
      <c r="AB42" s="104">
        <v>4952900</v>
      </c>
      <c r="AC42" s="41">
        <v>59.57</v>
      </c>
      <c r="AD42" s="2">
        <f t="shared" si="0"/>
        <v>2.7700000000000031</v>
      </c>
      <c r="AE42" s="138">
        <f t="shared" si="1"/>
        <v>1.361238727241787E-2</v>
      </c>
    </row>
    <row r="43" spans="2:31" ht="15.75" thickTop="1" x14ac:dyDescent="0.25">
      <c r="B43" s="193">
        <v>42424</v>
      </c>
      <c r="C43" s="282">
        <v>750</v>
      </c>
      <c r="D43" s="283">
        <v>46.357999999999997</v>
      </c>
      <c r="E43" s="40">
        <v>41.7</v>
      </c>
      <c r="F43" s="40">
        <f t="shared" si="2"/>
        <v>-3493.4999999999955</v>
      </c>
      <c r="G43" s="40">
        <f t="shared" si="3"/>
        <v>34768.5</v>
      </c>
      <c r="H43" s="232">
        <f t="shared" si="4"/>
        <v>-0.10047888174640826</v>
      </c>
      <c r="I43" s="195"/>
      <c r="T43" s="108" t="s">
        <v>98</v>
      </c>
      <c r="U43" s="106">
        <v>53.51</v>
      </c>
      <c r="W43" s="110">
        <v>42709</v>
      </c>
      <c r="X43" s="41">
        <v>59</v>
      </c>
      <c r="Y43" s="41">
        <v>60.5</v>
      </c>
      <c r="Z43" s="41">
        <v>58.65</v>
      </c>
      <c r="AA43" s="41">
        <v>59</v>
      </c>
      <c r="AB43" s="104">
        <v>7532700</v>
      </c>
      <c r="AC43" s="41">
        <v>58.77</v>
      </c>
      <c r="AD43" s="2">
        <f t="shared" si="0"/>
        <v>1.8500000000000014</v>
      </c>
      <c r="AE43" s="138">
        <f t="shared" si="1"/>
        <v>1.8720748829953227E-2</v>
      </c>
    </row>
    <row r="44" spans="2:31" ht="20.25" thickBot="1" x14ac:dyDescent="0.35">
      <c r="B44" s="193">
        <v>42426</v>
      </c>
      <c r="C44" s="282">
        <v>750</v>
      </c>
      <c r="D44" s="283">
        <v>46.326000000000001</v>
      </c>
      <c r="E44" s="40">
        <v>43.09</v>
      </c>
      <c r="F44" s="40">
        <f t="shared" si="2"/>
        <v>-2426.9999999999977</v>
      </c>
      <c r="G44" s="40">
        <f t="shared" si="3"/>
        <v>34744.5</v>
      </c>
      <c r="H44" s="232">
        <f t="shared" si="4"/>
        <v>-6.9852782454776954E-2</v>
      </c>
      <c r="I44" s="195"/>
      <c r="O44" s="638" t="s">
        <v>78</v>
      </c>
      <c r="P44" s="638"/>
      <c r="T44" s="108" t="s">
        <v>99</v>
      </c>
      <c r="U44" s="106">
        <v>53.7</v>
      </c>
      <c r="W44" s="110">
        <v>42706</v>
      </c>
      <c r="X44" s="41">
        <v>55.88</v>
      </c>
      <c r="Y44" s="41">
        <v>58.74</v>
      </c>
      <c r="Z44" s="41">
        <v>55.72</v>
      </c>
      <c r="AA44" s="41">
        <v>57.92</v>
      </c>
      <c r="AB44" s="104">
        <v>6113700</v>
      </c>
      <c r="AC44" s="41">
        <v>57.69</v>
      </c>
      <c r="AD44" s="2">
        <f t="shared" si="0"/>
        <v>3.0200000000000031</v>
      </c>
      <c r="AE44" s="138">
        <f t="shared" si="1"/>
        <v>3.2206119162640823E-2</v>
      </c>
    </row>
    <row r="45" spans="2:31" ht="15.75" thickTop="1" x14ac:dyDescent="0.25">
      <c r="B45" s="193">
        <v>42426</v>
      </c>
      <c r="C45" s="282">
        <v>600</v>
      </c>
      <c r="D45" s="283">
        <v>47.058</v>
      </c>
      <c r="E45" s="40">
        <v>43.3</v>
      </c>
      <c r="F45" s="40">
        <f t="shared" si="2"/>
        <v>-2254.8000000000015</v>
      </c>
      <c r="G45" s="40">
        <f t="shared" si="3"/>
        <v>28234.799999999999</v>
      </c>
      <c r="H45" s="232">
        <f t="shared" si="4"/>
        <v>-7.9858897530706838E-2</v>
      </c>
      <c r="I45" s="195"/>
      <c r="O45" s="83">
        <v>1.1000000000000001</v>
      </c>
      <c r="P45" s="83">
        <f>O45*$Q$4</f>
        <v>59.741000000000007</v>
      </c>
      <c r="R45" s="34"/>
      <c r="T45" s="108" t="s">
        <v>100</v>
      </c>
      <c r="U45" s="106" t="s">
        <v>129</v>
      </c>
      <c r="W45" s="110">
        <v>42705</v>
      </c>
      <c r="X45" s="41">
        <v>57.79</v>
      </c>
      <c r="Y45" s="41">
        <v>57.9</v>
      </c>
      <c r="Z45" s="41">
        <v>55.72</v>
      </c>
      <c r="AA45" s="41">
        <v>56.11</v>
      </c>
      <c r="AB45" s="104">
        <v>5591300</v>
      </c>
      <c r="AC45" s="41">
        <v>55.89</v>
      </c>
      <c r="AD45" s="2">
        <f t="shared" si="0"/>
        <v>2.1799999999999997</v>
      </c>
      <c r="AE45" s="138">
        <f t="shared" si="1"/>
        <v>2.6910656620020568E-3</v>
      </c>
    </row>
    <row r="46" spans="2:31" x14ac:dyDescent="0.25">
      <c r="B46" s="193">
        <v>42426</v>
      </c>
      <c r="C46" s="282">
        <v>750</v>
      </c>
      <c r="D46" s="283">
        <v>46.225000000000001</v>
      </c>
      <c r="E46" s="40">
        <v>42.89</v>
      </c>
      <c r="F46" s="40">
        <f t="shared" si="2"/>
        <v>-2501.2500000000005</v>
      </c>
      <c r="G46" s="40">
        <f t="shared" si="3"/>
        <v>34668.75</v>
      </c>
      <c r="H46" s="232">
        <f t="shared" si="4"/>
        <v>-7.2147106544077896E-2</v>
      </c>
      <c r="I46" s="195"/>
      <c r="O46" s="83">
        <v>1.0900000000000001</v>
      </c>
      <c r="P46" s="83">
        <f t="shared" ref="P46:P65" si="5">O46*$Q$4</f>
        <v>59.197900000000004</v>
      </c>
      <c r="Q46" s="2"/>
      <c r="R46" s="34"/>
      <c r="T46" s="108" t="s">
        <v>101</v>
      </c>
      <c r="U46" s="106" t="s">
        <v>129</v>
      </c>
      <c r="W46" s="110">
        <v>42704</v>
      </c>
      <c r="X46" s="41">
        <v>52.76</v>
      </c>
      <c r="Y46" s="41">
        <v>56.93</v>
      </c>
      <c r="Z46" s="41">
        <v>52.76</v>
      </c>
      <c r="AA46" s="41">
        <v>55.96</v>
      </c>
      <c r="AB46" s="104">
        <v>13801700</v>
      </c>
      <c r="AC46" s="41">
        <v>55.74</v>
      </c>
      <c r="AD46" s="2">
        <f t="shared" si="0"/>
        <v>4.1700000000000017</v>
      </c>
      <c r="AE46" s="138">
        <f t="shared" si="1"/>
        <v>0.1408104789193616</v>
      </c>
    </row>
    <row r="47" spans="2:31" x14ac:dyDescent="0.25">
      <c r="B47" s="193">
        <v>42430</v>
      </c>
      <c r="C47" s="282">
        <v>750</v>
      </c>
      <c r="D47" s="283">
        <v>46.225000000000001</v>
      </c>
      <c r="E47" s="40">
        <v>44.31</v>
      </c>
      <c r="F47" s="40">
        <f t="shared" si="2"/>
        <v>-1436.2499999999993</v>
      </c>
      <c r="G47" s="40">
        <f t="shared" si="3"/>
        <v>34668.75</v>
      </c>
      <c r="H47" s="232">
        <f t="shared" si="4"/>
        <v>-4.1427798810167636E-2</v>
      </c>
      <c r="I47" s="195"/>
      <c r="O47" s="83">
        <v>1.08</v>
      </c>
      <c r="P47" s="83">
        <f t="shared" si="5"/>
        <v>58.654800000000009</v>
      </c>
      <c r="Q47" s="2"/>
      <c r="R47" s="34"/>
      <c r="T47" s="108" t="s">
        <v>102</v>
      </c>
      <c r="U47" s="106">
        <v>65.83</v>
      </c>
      <c r="W47" s="110">
        <v>42703</v>
      </c>
      <c r="X47" s="41">
        <v>49.7</v>
      </c>
      <c r="Y47" s="41">
        <v>49.81</v>
      </c>
      <c r="Z47" s="41">
        <v>48.52</v>
      </c>
      <c r="AA47" s="41">
        <v>49.05</v>
      </c>
      <c r="AB47" s="104">
        <v>4830600</v>
      </c>
      <c r="AC47" s="41">
        <v>48.86</v>
      </c>
      <c r="AD47" s="2">
        <f t="shared" si="0"/>
        <v>1.2899999999999991</v>
      </c>
      <c r="AE47" s="138">
        <f t="shared" si="1"/>
        <v>-3.818897637795271E-2</v>
      </c>
    </row>
    <row r="48" spans="2:31" x14ac:dyDescent="0.25">
      <c r="B48" s="193">
        <v>42431</v>
      </c>
      <c r="C48" s="282">
        <v>450</v>
      </c>
      <c r="D48" s="283">
        <v>45.706000000000003</v>
      </c>
      <c r="E48" s="40">
        <v>46.92</v>
      </c>
      <c r="F48" s="40">
        <f t="shared" si="2"/>
        <v>546.29999999999939</v>
      </c>
      <c r="G48" s="40">
        <f t="shared" si="3"/>
        <v>20567.7</v>
      </c>
      <c r="H48" s="232">
        <f t="shared" si="4"/>
        <v>2.6561064192884929E-2</v>
      </c>
      <c r="I48" s="195"/>
      <c r="O48" s="83">
        <v>1.07</v>
      </c>
      <c r="P48" s="83">
        <f t="shared" si="5"/>
        <v>58.111700000000006</v>
      </c>
      <c r="Q48" s="2"/>
      <c r="R48" s="34"/>
      <c r="T48" s="108" t="s">
        <v>103</v>
      </c>
      <c r="U48" s="106">
        <v>1.70411</v>
      </c>
      <c r="W48" s="110">
        <v>42702</v>
      </c>
      <c r="X48" s="41">
        <v>53.11</v>
      </c>
      <c r="Y48" s="41">
        <v>53.39</v>
      </c>
      <c r="Z48" s="41">
        <v>50.86</v>
      </c>
      <c r="AA48" s="41">
        <v>51</v>
      </c>
      <c r="AB48" s="104">
        <v>3115300</v>
      </c>
      <c r="AC48" s="41">
        <v>50.8</v>
      </c>
      <c r="AD48" s="2">
        <f t="shared" si="0"/>
        <v>2.5300000000000011</v>
      </c>
      <c r="AE48" s="138">
        <f t="shared" si="1"/>
        <v>-3.2749428789032864E-2</v>
      </c>
    </row>
    <row r="49" spans="2:31" x14ac:dyDescent="0.25">
      <c r="B49" s="193">
        <v>42433</v>
      </c>
      <c r="C49" s="282">
        <v>400</v>
      </c>
      <c r="D49" s="283">
        <v>45.125</v>
      </c>
      <c r="E49" s="40">
        <v>50.41</v>
      </c>
      <c r="F49" s="40">
        <f t="shared" si="2"/>
        <v>2113.9999999999986</v>
      </c>
      <c r="G49" s="40">
        <f t="shared" si="3"/>
        <v>18050</v>
      </c>
      <c r="H49" s="232">
        <f t="shared" si="4"/>
        <v>0.11711911357340712</v>
      </c>
      <c r="I49" s="195"/>
      <c r="O49" s="83">
        <v>1.06</v>
      </c>
      <c r="P49" s="83">
        <f t="shared" si="5"/>
        <v>57.568600000000004</v>
      </c>
      <c r="Q49" s="2"/>
      <c r="R49" s="34"/>
      <c r="T49" s="108" t="s">
        <v>122</v>
      </c>
      <c r="U49" s="106" t="s">
        <v>481</v>
      </c>
      <c r="W49" s="110">
        <v>42699</v>
      </c>
      <c r="X49" s="41">
        <v>52.62</v>
      </c>
      <c r="Y49" s="41">
        <v>52.91</v>
      </c>
      <c r="Z49" s="41">
        <v>52.11</v>
      </c>
      <c r="AA49" s="41">
        <v>52.73</v>
      </c>
      <c r="AB49" s="104">
        <v>947400</v>
      </c>
      <c r="AC49" s="41">
        <v>52.52</v>
      </c>
      <c r="AD49" s="2">
        <f t="shared" si="0"/>
        <v>0.79999999999999716</v>
      </c>
      <c r="AE49" s="138">
        <f t="shared" si="1"/>
        <v>-8.8695980373655336E-3</v>
      </c>
    </row>
    <row r="50" spans="2:31" x14ac:dyDescent="0.25">
      <c r="B50" s="193">
        <v>42433</v>
      </c>
      <c r="C50" s="282">
        <v>450</v>
      </c>
      <c r="D50" s="283">
        <v>45.606000000000002</v>
      </c>
      <c r="E50" s="40">
        <v>49.45</v>
      </c>
      <c r="F50" s="40">
        <f t="shared" si="2"/>
        <v>1729.8000000000006</v>
      </c>
      <c r="G50" s="40">
        <f t="shared" si="3"/>
        <v>20522.7</v>
      </c>
      <c r="H50" s="232">
        <f t="shared" si="4"/>
        <v>8.4287155198877362E-2</v>
      </c>
      <c r="I50" s="195"/>
      <c r="O50" s="83">
        <v>1.05</v>
      </c>
      <c r="P50" s="83">
        <f t="shared" si="5"/>
        <v>57.025500000000008</v>
      </c>
      <c r="Q50" s="2"/>
      <c r="R50" s="34"/>
      <c r="T50" s="108"/>
      <c r="U50" s="106"/>
      <c r="W50" s="110">
        <v>42697</v>
      </c>
      <c r="X50" s="41">
        <v>51.97</v>
      </c>
      <c r="Y50" s="41">
        <v>53.54</v>
      </c>
      <c r="Z50" s="41">
        <v>51.6</v>
      </c>
      <c r="AA50" s="41">
        <v>53.2</v>
      </c>
      <c r="AB50" s="104">
        <v>2348000</v>
      </c>
      <c r="AC50" s="41">
        <v>52.99</v>
      </c>
      <c r="AD50" s="2">
        <f t="shared" si="0"/>
        <v>1.9399999999999977</v>
      </c>
      <c r="AE50" s="138">
        <f t="shared" si="1"/>
        <v>1.1066590345353955E-2</v>
      </c>
    </row>
    <row r="51" spans="2:31" x14ac:dyDescent="0.25">
      <c r="B51" s="193">
        <v>42440</v>
      </c>
      <c r="C51" s="10">
        <v>150</v>
      </c>
      <c r="D51" s="200">
        <v>36.17</v>
      </c>
      <c r="E51" s="40">
        <v>50.73</v>
      </c>
      <c r="F51" s="40">
        <f t="shared" si="2"/>
        <v>2183.9999999999991</v>
      </c>
      <c r="G51" s="40">
        <f t="shared" si="3"/>
        <v>5425.5</v>
      </c>
      <c r="H51" s="232">
        <f t="shared" si="4"/>
        <v>0.40254354437379031</v>
      </c>
      <c r="I51" s="195"/>
      <c r="O51" s="83">
        <v>1.04</v>
      </c>
      <c r="P51" s="83">
        <f t="shared" si="5"/>
        <v>56.482400000000005</v>
      </c>
      <c r="Q51" s="2"/>
      <c r="R51" s="34"/>
      <c r="T51" s="108" t="s">
        <v>105</v>
      </c>
      <c r="U51" s="106" t="s">
        <v>602</v>
      </c>
      <c r="W51" s="110">
        <v>42696</v>
      </c>
      <c r="X51" s="41">
        <v>53.35</v>
      </c>
      <c r="Y51" s="41">
        <v>53.94</v>
      </c>
      <c r="Z51" s="41">
        <v>51.34</v>
      </c>
      <c r="AA51" s="41">
        <v>52.62</v>
      </c>
      <c r="AB51" s="104">
        <v>2654400</v>
      </c>
      <c r="AC51" s="41">
        <v>52.41</v>
      </c>
      <c r="AD51" s="2">
        <f t="shared" si="0"/>
        <v>2.5999999999999943</v>
      </c>
      <c r="AE51" s="138">
        <f t="shared" si="1"/>
        <v>-3.6121673003802757E-3</v>
      </c>
    </row>
    <row r="52" spans="2:31" x14ac:dyDescent="0.25">
      <c r="B52" s="193">
        <v>42440</v>
      </c>
      <c r="C52" s="10">
        <v>100</v>
      </c>
      <c r="D52" s="200">
        <v>28.724</v>
      </c>
      <c r="E52" s="40">
        <v>51.08</v>
      </c>
      <c r="F52" s="40">
        <f t="shared" si="2"/>
        <v>2235.6</v>
      </c>
      <c r="G52" s="40">
        <f t="shared" si="3"/>
        <v>2872.4</v>
      </c>
      <c r="H52" s="232">
        <f t="shared" si="4"/>
        <v>0.77830385740147601</v>
      </c>
      <c r="I52" s="195"/>
      <c r="O52" s="83">
        <v>1.03</v>
      </c>
      <c r="P52" s="83">
        <f t="shared" si="5"/>
        <v>55.939300000000003</v>
      </c>
      <c r="Q52" s="2"/>
      <c r="R52" s="34"/>
      <c r="T52" s="108" t="s">
        <v>106</v>
      </c>
      <c r="U52" s="106" t="s">
        <v>466</v>
      </c>
      <c r="W52" s="110">
        <v>42695</v>
      </c>
      <c r="X52" s="41">
        <v>52.5</v>
      </c>
      <c r="Y52" s="41">
        <v>53.9</v>
      </c>
      <c r="Z52" s="41">
        <v>52.18</v>
      </c>
      <c r="AA52" s="41">
        <v>52.81</v>
      </c>
      <c r="AB52" s="104">
        <v>3832900</v>
      </c>
      <c r="AC52" s="41">
        <v>52.6</v>
      </c>
      <c r="AD52" s="2">
        <f t="shared" si="0"/>
        <v>1.7199999999999989</v>
      </c>
      <c r="AE52" s="138">
        <f t="shared" si="1"/>
        <v>3.6044908410478582E-2</v>
      </c>
    </row>
    <row r="53" spans="2:31" x14ac:dyDescent="0.25">
      <c r="B53" s="193">
        <v>42444</v>
      </c>
      <c r="C53" s="10">
        <v>150</v>
      </c>
      <c r="D53" s="200">
        <v>35.216000000000001</v>
      </c>
      <c r="E53" s="40">
        <v>50.17</v>
      </c>
      <c r="F53" s="40">
        <f t="shared" si="2"/>
        <v>2243.1</v>
      </c>
      <c r="G53" s="40">
        <f t="shared" si="3"/>
        <v>5282.4000000000005</v>
      </c>
      <c r="H53" s="232">
        <f t="shared" si="4"/>
        <v>0.4246365288505225</v>
      </c>
      <c r="I53" s="195"/>
      <c r="O53" s="83">
        <v>1.02</v>
      </c>
      <c r="P53" s="83">
        <f t="shared" si="5"/>
        <v>55.3962</v>
      </c>
      <c r="Q53" s="2"/>
      <c r="R53" s="34"/>
      <c r="T53" s="108" t="s">
        <v>107</v>
      </c>
      <c r="U53" s="107">
        <v>3166562</v>
      </c>
      <c r="W53" s="110">
        <v>42692</v>
      </c>
      <c r="X53" s="41">
        <v>50.59</v>
      </c>
      <c r="Y53" s="41">
        <v>52.39</v>
      </c>
      <c r="Z53" s="41">
        <v>50.59</v>
      </c>
      <c r="AA53" s="41">
        <v>50.97</v>
      </c>
      <c r="AB53" s="104">
        <v>5421700</v>
      </c>
      <c r="AC53" s="41">
        <v>50.77</v>
      </c>
      <c r="AD53" s="2">
        <f t="shared" si="0"/>
        <v>1.7999999999999972</v>
      </c>
      <c r="AE53" s="138">
        <f t="shared" si="1"/>
        <v>9.3439363817098275E-3</v>
      </c>
    </row>
    <row r="54" spans="2:31" x14ac:dyDescent="0.25">
      <c r="B54" s="193">
        <v>42445</v>
      </c>
      <c r="C54" s="10">
        <v>130</v>
      </c>
      <c r="D54" s="200">
        <v>32.701000000000001</v>
      </c>
      <c r="E54" s="40">
        <v>51.83</v>
      </c>
      <c r="F54" s="40">
        <f t="shared" si="2"/>
        <v>2486.7699999999995</v>
      </c>
      <c r="G54" s="40">
        <f t="shared" si="3"/>
        <v>4251.13</v>
      </c>
      <c r="H54" s="232">
        <f t="shared" si="4"/>
        <v>0.58496682058652638</v>
      </c>
      <c r="I54" s="195"/>
      <c r="O54" s="83">
        <v>1.01</v>
      </c>
      <c r="P54" s="83">
        <f t="shared" si="5"/>
        <v>54.853100000000005</v>
      </c>
      <c r="Q54" s="2"/>
      <c r="R54" s="34"/>
      <c r="T54" s="108" t="s">
        <v>110</v>
      </c>
      <c r="U54" s="107">
        <v>4345220</v>
      </c>
      <c r="W54" s="110">
        <v>42691</v>
      </c>
      <c r="X54" s="41">
        <v>51.53</v>
      </c>
      <c r="Y54" s="41">
        <v>52.25</v>
      </c>
      <c r="Z54" s="41">
        <v>50.38</v>
      </c>
      <c r="AA54" s="41">
        <v>50.5</v>
      </c>
      <c r="AB54" s="104">
        <v>3544400</v>
      </c>
      <c r="AC54" s="41">
        <v>50.3</v>
      </c>
      <c r="AD54" s="2">
        <f t="shared" si="0"/>
        <v>1.8699999999999974</v>
      </c>
      <c r="AE54" s="138">
        <f t="shared" si="1"/>
        <v>-6.3216120110628493E-3</v>
      </c>
    </row>
    <row r="55" spans="2:31" x14ac:dyDescent="0.25">
      <c r="B55" s="193">
        <v>42446</v>
      </c>
      <c r="C55" s="10">
        <v>50</v>
      </c>
      <c r="D55" s="200">
        <v>-0.495</v>
      </c>
      <c r="E55" s="40">
        <v>53.19</v>
      </c>
      <c r="F55" s="40">
        <f t="shared" si="2"/>
        <v>2684.2499999999995</v>
      </c>
      <c r="G55" s="40">
        <f t="shared" si="3"/>
        <v>-24.75</v>
      </c>
      <c r="H55" s="232"/>
      <c r="I55" s="195"/>
      <c r="O55" s="83">
        <v>1</v>
      </c>
      <c r="P55" s="83">
        <f t="shared" si="5"/>
        <v>54.31</v>
      </c>
      <c r="Q55" s="2"/>
      <c r="R55" s="34"/>
      <c r="T55" s="108" t="s">
        <v>108</v>
      </c>
      <c r="U55" s="106" t="s">
        <v>603</v>
      </c>
      <c r="W55" s="110">
        <v>42690</v>
      </c>
      <c r="X55" s="41">
        <v>50.33</v>
      </c>
      <c r="Y55" s="41">
        <v>51.39</v>
      </c>
      <c r="Z55" s="41">
        <v>49.71</v>
      </c>
      <c r="AA55" s="41">
        <v>50.82</v>
      </c>
      <c r="AB55" s="104">
        <v>3351400</v>
      </c>
      <c r="AC55" s="41">
        <v>50.62</v>
      </c>
      <c r="AD55" s="2">
        <f t="shared" si="0"/>
        <v>1.6799999999999997</v>
      </c>
      <c r="AE55" s="138">
        <f t="shared" si="1"/>
        <v>4.5643976979559131E-3</v>
      </c>
    </row>
    <row r="56" spans="2:31" x14ac:dyDescent="0.25">
      <c r="B56" s="193">
        <v>42452</v>
      </c>
      <c r="C56" s="10">
        <v>100</v>
      </c>
      <c r="D56" s="200">
        <v>25.552</v>
      </c>
      <c r="E56" s="40">
        <v>51.6</v>
      </c>
      <c r="F56" s="40">
        <f t="shared" si="2"/>
        <v>2604.8000000000002</v>
      </c>
      <c r="G56" s="40">
        <f t="shared" si="3"/>
        <v>2555.1999999999998</v>
      </c>
      <c r="H56" s="232">
        <f t="shared" si="4"/>
        <v>1.0194113963681903</v>
      </c>
      <c r="I56" s="195"/>
      <c r="O56" s="83">
        <v>0.99</v>
      </c>
      <c r="P56" s="83">
        <f t="shared" si="5"/>
        <v>53.7669</v>
      </c>
      <c r="Q56" s="2"/>
      <c r="R56" s="34"/>
      <c r="T56" s="108" t="s">
        <v>111</v>
      </c>
      <c r="U56" s="106" t="s">
        <v>129</v>
      </c>
      <c r="W56" s="110">
        <v>42689</v>
      </c>
      <c r="X56" s="41">
        <v>48.73</v>
      </c>
      <c r="Y56" s="41">
        <v>50.78</v>
      </c>
      <c r="Z56" s="41">
        <v>48.68</v>
      </c>
      <c r="AA56" s="41">
        <v>50.59</v>
      </c>
      <c r="AB56" s="104">
        <v>6937000</v>
      </c>
      <c r="AC56" s="41">
        <v>50.39</v>
      </c>
      <c r="AD56" s="2">
        <f t="shared" si="0"/>
        <v>2.1000000000000014</v>
      </c>
      <c r="AE56" s="138">
        <f t="shared" si="1"/>
        <v>5.2422723475354926E-2</v>
      </c>
    </row>
    <row r="57" spans="2:31" x14ac:dyDescent="0.25">
      <c r="B57" s="193">
        <v>42460</v>
      </c>
      <c r="C57" s="10">
        <v>50</v>
      </c>
      <c r="D57" s="200">
        <v>-2.1339999999999999</v>
      </c>
      <c r="E57" s="40">
        <v>52.65</v>
      </c>
      <c r="F57" s="40">
        <f t="shared" si="2"/>
        <v>2739.2</v>
      </c>
      <c r="G57" s="40">
        <f t="shared" si="3"/>
        <v>-106.69999999999999</v>
      </c>
      <c r="H57" s="232"/>
      <c r="I57" s="195"/>
      <c r="O57" s="83">
        <v>0.98</v>
      </c>
      <c r="P57" s="83">
        <f t="shared" si="5"/>
        <v>53.223800000000004</v>
      </c>
      <c r="Q57" s="2"/>
      <c r="R57" s="34"/>
      <c r="T57" s="108" t="s">
        <v>112</v>
      </c>
      <c r="U57" s="106">
        <v>-19.920000000000002</v>
      </c>
      <c r="W57" s="110">
        <v>42688</v>
      </c>
      <c r="X57" s="41">
        <v>47.13</v>
      </c>
      <c r="Y57" s="41">
        <v>48.26</v>
      </c>
      <c r="Z57" s="41">
        <v>46.61</v>
      </c>
      <c r="AA57" s="41">
        <v>48.07</v>
      </c>
      <c r="AB57" s="104">
        <v>6876600</v>
      </c>
      <c r="AC57" s="41">
        <v>47.88</v>
      </c>
      <c r="AD57" s="2">
        <f t="shared" si="0"/>
        <v>1.6499999999999986</v>
      </c>
      <c r="AE57" s="138">
        <f t="shared" si="1"/>
        <v>1.0339734121122657E-2</v>
      </c>
    </row>
    <row r="58" spans="2:31" x14ac:dyDescent="0.25">
      <c r="B58" s="193">
        <v>42464</v>
      </c>
      <c r="C58" s="10">
        <v>100</v>
      </c>
      <c r="D58" s="200">
        <v>24.242999999999999</v>
      </c>
      <c r="E58" s="40">
        <v>50.55</v>
      </c>
      <c r="F58" s="40">
        <f t="shared" si="2"/>
        <v>2630.7</v>
      </c>
      <c r="G58" s="40">
        <f t="shared" si="3"/>
        <v>2424.2999999999997</v>
      </c>
      <c r="H58" s="232">
        <f t="shared" si="4"/>
        <v>1.0851379779730232</v>
      </c>
      <c r="I58" s="195"/>
      <c r="O58" s="83">
        <v>0.97</v>
      </c>
      <c r="P58" s="83">
        <f t="shared" si="5"/>
        <v>52.680700000000002</v>
      </c>
      <c r="Q58" s="2"/>
      <c r="R58" s="34"/>
      <c r="T58" s="108" t="s">
        <v>109</v>
      </c>
      <c r="U58" s="106" t="s">
        <v>513</v>
      </c>
      <c r="W58" s="110">
        <v>42685</v>
      </c>
      <c r="X58" s="41">
        <v>48.95</v>
      </c>
      <c r="Y58" s="41">
        <v>49.22</v>
      </c>
      <c r="Z58" s="41">
        <v>47.54</v>
      </c>
      <c r="AA58" s="41">
        <v>47.58</v>
      </c>
      <c r="AB58" s="104">
        <v>3538200</v>
      </c>
      <c r="AC58" s="41">
        <v>47.39</v>
      </c>
      <c r="AD58" s="2">
        <f t="shared" si="0"/>
        <v>1.6799999999999997</v>
      </c>
      <c r="AE58" s="138">
        <f t="shared" si="1"/>
        <v>-4.1464401294498354E-2</v>
      </c>
    </row>
    <row r="59" spans="2:31" x14ac:dyDescent="0.25">
      <c r="B59" s="193">
        <v>42466</v>
      </c>
      <c r="C59" s="10">
        <v>50</v>
      </c>
      <c r="D59" s="200">
        <v>-4.7629999999999999</v>
      </c>
      <c r="E59" s="40">
        <v>54.48</v>
      </c>
      <c r="F59" s="40">
        <f t="shared" si="2"/>
        <v>2962.1499999999996</v>
      </c>
      <c r="G59" s="40">
        <f t="shared" si="3"/>
        <v>-238.15</v>
      </c>
      <c r="H59" s="232"/>
      <c r="I59" s="195"/>
      <c r="O59" s="83">
        <v>0.96</v>
      </c>
      <c r="P59" s="83">
        <f t="shared" si="5"/>
        <v>52.137599999999999</v>
      </c>
      <c r="W59" s="110">
        <v>42684</v>
      </c>
      <c r="X59" s="41">
        <v>48.65</v>
      </c>
      <c r="Y59" s="41">
        <v>50.34</v>
      </c>
      <c r="Z59" s="41">
        <v>48.57</v>
      </c>
      <c r="AA59" s="41">
        <v>49.64</v>
      </c>
      <c r="AB59" s="104">
        <v>3148100</v>
      </c>
      <c r="AC59" s="41">
        <v>49.44</v>
      </c>
      <c r="AD59" s="2">
        <f t="shared" si="0"/>
        <v>1.7700000000000031</v>
      </c>
      <c r="AE59" s="138">
        <f t="shared" si="1"/>
        <v>1.2907191149354569E-2</v>
      </c>
    </row>
    <row r="60" spans="2:31" x14ac:dyDescent="0.25">
      <c r="B60" s="193">
        <v>42471</v>
      </c>
      <c r="C60" s="10">
        <v>30</v>
      </c>
      <c r="D60" s="200">
        <v>-46.01</v>
      </c>
      <c r="E60" s="40">
        <v>57.36</v>
      </c>
      <c r="F60" s="40">
        <f t="shared" si="2"/>
        <v>3101.1000000000004</v>
      </c>
      <c r="G60" s="40">
        <f t="shared" si="3"/>
        <v>-1380.3</v>
      </c>
      <c r="H60" s="232"/>
      <c r="I60" s="195"/>
      <c r="O60" s="83">
        <v>0.95</v>
      </c>
      <c r="P60" s="83">
        <f t="shared" si="5"/>
        <v>51.594499999999996</v>
      </c>
      <c r="W60" s="110">
        <v>42683</v>
      </c>
      <c r="X60" s="41">
        <v>47.61</v>
      </c>
      <c r="Y60" s="41">
        <v>49.66</v>
      </c>
      <c r="Z60" s="41">
        <v>47.54</v>
      </c>
      <c r="AA60" s="41">
        <v>49</v>
      </c>
      <c r="AB60" s="104">
        <v>4343300</v>
      </c>
      <c r="AC60" s="41">
        <v>48.81</v>
      </c>
      <c r="AD60" s="2">
        <f t="shared" si="0"/>
        <v>2.1199999999999974</v>
      </c>
      <c r="AE60" s="138">
        <f t="shared" si="1"/>
        <v>2.64984227129339E-2</v>
      </c>
    </row>
    <row r="61" spans="2:31" x14ac:dyDescent="0.25">
      <c r="B61" s="193">
        <v>42478</v>
      </c>
      <c r="C61" s="10">
        <v>10</v>
      </c>
      <c r="D61" s="200">
        <v>-255.53399999999999</v>
      </c>
      <c r="E61" s="40">
        <v>59.84</v>
      </c>
      <c r="F61" s="40">
        <f t="shared" si="2"/>
        <v>3153.7400000000002</v>
      </c>
      <c r="G61" s="40">
        <f t="shared" si="3"/>
        <v>-2555.34</v>
      </c>
      <c r="H61" s="232"/>
      <c r="I61" s="195"/>
      <c r="O61" s="83">
        <v>0.94</v>
      </c>
      <c r="P61" s="83">
        <f t="shared" si="5"/>
        <v>51.051400000000001</v>
      </c>
      <c r="W61" s="110">
        <v>42682</v>
      </c>
      <c r="X61" s="41">
        <v>46.88</v>
      </c>
      <c r="Y61" s="41">
        <v>48.05</v>
      </c>
      <c r="Z61" s="41">
        <v>46.8</v>
      </c>
      <c r="AA61" s="41">
        <v>47.74</v>
      </c>
      <c r="AB61" s="104">
        <v>2888700</v>
      </c>
      <c r="AC61" s="41">
        <v>47.55</v>
      </c>
      <c r="AD61" s="2">
        <f t="shared" si="0"/>
        <v>1.25</v>
      </c>
      <c r="AE61" s="138">
        <f t="shared" si="1"/>
        <v>6.3492063492063266E-3</v>
      </c>
    </row>
    <row r="62" spans="2:31" x14ac:dyDescent="0.25">
      <c r="B62" s="193">
        <v>42493</v>
      </c>
      <c r="C62" s="10">
        <v>30</v>
      </c>
      <c r="D62" s="200">
        <v>-47.511000000000003</v>
      </c>
      <c r="E62" s="40">
        <v>56.75</v>
      </c>
      <c r="F62" s="40">
        <f t="shared" si="2"/>
        <v>3127.83</v>
      </c>
      <c r="G62" s="40">
        <f t="shared" si="3"/>
        <v>-1425.3300000000002</v>
      </c>
      <c r="H62" s="232"/>
      <c r="I62" s="195"/>
      <c r="O62" s="83">
        <v>0.93</v>
      </c>
      <c r="P62" s="83">
        <f t="shared" si="5"/>
        <v>50.508300000000006</v>
      </c>
      <c r="W62" s="110">
        <v>42681</v>
      </c>
      <c r="X62" s="41">
        <v>47.52</v>
      </c>
      <c r="Y62" s="41">
        <v>47.77</v>
      </c>
      <c r="Z62" s="41">
        <v>46.91</v>
      </c>
      <c r="AA62" s="41">
        <v>47.44</v>
      </c>
      <c r="AB62" s="104">
        <v>3424600</v>
      </c>
      <c r="AC62" s="41">
        <v>47.25</v>
      </c>
      <c r="AD62" s="2">
        <f t="shared" si="0"/>
        <v>0.86000000000000654</v>
      </c>
      <c r="AE62" s="138">
        <f t="shared" si="1"/>
        <v>2.1842560553633206E-2</v>
      </c>
    </row>
    <row r="63" spans="2:31" x14ac:dyDescent="0.25">
      <c r="B63" s="193">
        <v>42501</v>
      </c>
      <c r="C63" s="10">
        <v>0</v>
      </c>
      <c r="D63" s="200"/>
      <c r="E63" s="40"/>
      <c r="F63" s="40">
        <v>3178</v>
      </c>
      <c r="G63" s="40"/>
      <c r="H63" s="232"/>
      <c r="I63" s="195"/>
      <c r="O63" s="83">
        <v>0.92</v>
      </c>
      <c r="P63" s="83">
        <f t="shared" si="5"/>
        <v>49.965200000000003</v>
      </c>
      <c r="W63" s="110">
        <v>42678</v>
      </c>
      <c r="X63" s="41">
        <v>46.91</v>
      </c>
      <c r="Y63" s="41">
        <v>47.53</v>
      </c>
      <c r="Z63" s="41">
        <v>46.26</v>
      </c>
      <c r="AA63" s="41">
        <v>46.42</v>
      </c>
      <c r="AB63" s="104">
        <v>3591500</v>
      </c>
      <c r="AC63" s="41">
        <v>46.24</v>
      </c>
      <c r="AD63" s="2">
        <f t="shared" si="0"/>
        <v>1.2700000000000031</v>
      </c>
      <c r="AE63" s="138">
        <f t="shared" si="1"/>
        <v>-1.407249466950955E-2</v>
      </c>
    </row>
    <row r="64" spans="2:31" x14ac:dyDescent="0.25">
      <c r="B64" s="193"/>
      <c r="C64" s="10"/>
      <c r="D64" s="200"/>
      <c r="E64" s="40"/>
      <c r="F64" s="40"/>
      <c r="G64" s="40"/>
      <c r="H64" s="232"/>
      <c r="I64" s="195"/>
      <c r="O64" s="83">
        <v>0.91</v>
      </c>
      <c r="P64" s="83">
        <f t="shared" si="5"/>
        <v>49.4221</v>
      </c>
      <c r="W64" s="110">
        <v>42677</v>
      </c>
      <c r="X64" s="41">
        <v>47.51</v>
      </c>
      <c r="Y64" s="41">
        <v>48.35</v>
      </c>
      <c r="Z64" s="41">
        <v>46.88</v>
      </c>
      <c r="AA64" s="41">
        <v>47.09</v>
      </c>
      <c r="AB64" s="104">
        <v>2554800</v>
      </c>
      <c r="AC64" s="41">
        <v>46.9</v>
      </c>
      <c r="AD64" s="2">
        <f t="shared" si="0"/>
        <v>1.4699999999999989</v>
      </c>
      <c r="AE64" s="138">
        <f t="shared" si="1"/>
        <v>0</v>
      </c>
    </row>
    <row r="65" spans="1:31" x14ac:dyDescent="0.25">
      <c r="B65" s="193"/>
      <c r="C65" s="10"/>
      <c r="D65" s="200"/>
      <c r="E65" s="40"/>
      <c r="F65" s="40"/>
      <c r="G65" s="40"/>
      <c r="H65" s="232"/>
      <c r="I65" s="195"/>
      <c r="O65" s="83">
        <v>0.9</v>
      </c>
      <c r="P65" s="83">
        <f t="shared" si="5"/>
        <v>48.879000000000005</v>
      </c>
      <c r="W65" s="110">
        <v>42676</v>
      </c>
      <c r="X65" s="41">
        <v>47.01</v>
      </c>
      <c r="Y65" s="41">
        <v>47.45</v>
      </c>
      <c r="Z65" s="41">
        <v>46.06</v>
      </c>
      <c r="AA65" s="41">
        <v>47.09</v>
      </c>
      <c r="AB65" s="104">
        <v>4800700</v>
      </c>
      <c r="AC65" s="41">
        <v>46.9</v>
      </c>
      <c r="AD65" s="2">
        <f t="shared" si="0"/>
        <v>1.3900000000000006</v>
      </c>
      <c r="AE65" s="138">
        <f t="shared" si="1"/>
        <v>-1.5946286193873282E-2</v>
      </c>
    </row>
    <row r="66" spans="1:31" x14ac:dyDescent="0.25">
      <c r="B66" s="193"/>
      <c r="C66" s="10"/>
      <c r="D66" s="200"/>
      <c r="E66" s="40"/>
      <c r="F66" s="40"/>
      <c r="G66" s="40"/>
      <c r="H66" s="232"/>
      <c r="I66" s="195"/>
      <c r="W66" s="110">
        <v>42675</v>
      </c>
      <c r="X66" s="41">
        <v>48.52</v>
      </c>
      <c r="Y66" s="41">
        <v>48.76</v>
      </c>
      <c r="Z66" s="41">
        <v>46.81</v>
      </c>
      <c r="AA66" s="41">
        <v>47.85</v>
      </c>
      <c r="AB66" s="104">
        <v>4069800</v>
      </c>
      <c r="AC66" s="41">
        <v>47.66</v>
      </c>
      <c r="AD66" s="2">
        <f t="shared" si="0"/>
        <v>1.9499999999999957</v>
      </c>
      <c r="AE66" s="138">
        <f t="shared" si="1"/>
        <v>-2.511511092507468E-3</v>
      </c>
    </row>
    <row r="67" spans="1:31" x14ac:dyDescent="0.25">
      <c r="B67" s="193"/>
      <c r="C67" s="10"/>
      <c r="D67" s="200"/>
      <c r="E67" s="40"/>
      <c r="F67" s="40"/>
      <c r="G67" s="40"/>
      <c r="H67" s="232"/>
      <c r="I67" s="195"/>
      <c r="W67" s="110">
        <v>42674</v>
      </c>
      <c r="X67" s="41">
        <v>50.08</v>
      </c>
      <c r="Y67" s="41">
        <v>50.25</v>
      </c>
      <c r="Z67" s="41">
        <v>47.81</v>
      </c>
      <c r="AA67" s="41">
        <v>47.97</v>
      </c>
      <c r="AB67" s="104">
        <v>4938200</v>
      </c>
      <c r="AC67" s="41">
        <v>47.78</v>
      </c>
      <c r="AD67" s="2">
        <f>Y67-Z67</f>
        <v>2.4399999999999977</v>
      </c>
      <c r="AE67" s="138">
        <f>AC67/AC68-1</f>
        <v>-4.6307385229540921E-2</v>
      </c>
    </row>
    <row r="68" spans="1:31" x14ac:dyDescent="0.25">
      <c r="B68" s="193"/>
      <c r="C68" s="10"/>
      <c r="D68" s="200"/>
      <c r="E68" s="40"/>
      <c r="F68" s="40"/>
      <c r="G68" s="40"/>
      <c r="H68" s="232"/>
      <c r="I68" s="195"/>
      <c r="W68" s="110">
        <v>42671</v>
      </c>
      <c r="X68" s="41">
        <v>50.39</v>
      </c>
      <c r="Y68" s="41">
        <v>51.67</v>
      </c>
      <c r="Z68" s="41">
        <v>50.02</v>
      </c>
      <c r="AA68" s="41">
        <v>50.3</v>
      </c>
      <c r="AB68" s="104">
        <v>3224000</v>
      </c>
      <c r="AC68" s="41">
        <v>50.1</v>
      </c>
      <c r="AD68" s="2">
        <f>Y68-Z68</f>
        <v>1.6499999999999986</v>
      </c>
      <c r="AE68" s="138" t="e">
        <f>AC68/AC69-1</f>
        <v>#DIV/0!</v>
      </c>
    </row>
    <row r="69" spans="1:31" x14ac:dyDescent="0.25">
      <c r="B69" s="193"/>
      <c r="C69" s="10"/>
      <c r="D69" s="200"/>
      <c r="E69" s="40"/>
      <c r="F69" s="40"/>
      <c r="G69" s="40"/>
      <c r="H69" s="232"/>
      <c r="I69" s="195"/>
      <c r="W69" s="110" t="s">
        <v>121</v>
      </c>
      <c r="X69" s="41"/>
      <c r="Y69" s="41"/>
      <c r="Z69" s="41"/>
      <c r="AA69" s="41"/>
      <c r="AB69" s="104"/>
      <c r="AC69" s="41"/>
      <c r="AD69" s="2">
        <f>Y69-Z69</f>
        <v>0</v>
      </c>
      <c r="AE69" s="138" t="e">
        <f>AC69/AC70-1</f>
        <v>#DIV/0!</v>
      </c>
    </row>
    <row r="70" spans="1:31" x14ac:dyDescent="0.25">
      <c r="B70" s="193"/>
      <c r="C70" s="10"/>
      <c r="D70" s="200"/>
      <c r="E70" s="40"/>
      <c r="F70" s="40"/>
      <c r="G70" s="40"/>
      <c r="H70" s="232"/>
      <c r="I70" s="195"/>
    </row>
    <row r="71" spans="1:31" x14ac:dyDescent="0.25">
      <c r="B71" s="193"/>
      <c r="C71" s="10"/>
      <c r="D71" s="200"/>
      <c r="E71" s="40"/>
      <c r="F71" s="40"/>
      <c r="G71" s="40"/>
      <c r="H71" s="232"/>
      <c r="I71" s="195"/>
    </row>
    <row r="72" spans="1:31" x14ac:dyDescent="0.25">
      <c r="B72" s="193"/>
      <c r="C72" s="10"/>
      <c r="D72" s="200"/>
      <c r="E72" s="40"/>
      <c r="F72" s="40"/>
      <c r="G72" s="40"/>
      <c r="H72" s="232"/>
      <c r="I72" s="195"/>
    </row>
    <row r="75" spans="1:31" x14ac:dyDescent="0.25">
      <c r="L75" t="s">
        <v>213</v>
      </c>
      <c r="M75" s="2">
        <f>M128+K128-F128</f>
        <v>3178.8000000000466</v>
      </c>
    </row>
    <row r="76" spans="1:31" x14ac:dyDescent="0.25">
      <c r="A76" s="394" t="s">
        <v>1</v>
      </c>
      <c r="B76" s="395" t="s">
        <v>2</v>
      </c>
      <c r="C76" s="394" t="s">
        <v>4</v>
      </c>
      <c r="D76" s="396" t="s">
        <v>5</v>
      </c>
      <c r="E76" s="397" t="s">
        <v>90</v>
      </c>
      <c r="F76" s="397" t="s">
        <v>60</v>
      </c>
      <c r="G76" s="394" t="s">
        <v>3</v>
      </c>
      <c r="H76" s="398" t="s">
        <v>6</v>
      </c>
      <c r="I76" s="397" t="s">
        <v>7</v>
      </c>
      <c r="J76" s="397" t="s">
        <v>89</v>
      </c>
      <c r="K76" s="397" t="s">
        <v>61</v>
      </c>
      <c r="L76" s="394" t="s">
        <v>43</v>
      </c>
      <c r="M76" s="394" t="s">
        <v>38</v>
      </c>
    </row>
    <row r="77" spans="1:31" x14ac:dyDescent="0.25">
      <c r="A77" s="390" t="s">
        <v>22</v>
      </c>
      <c r="B77" s="399">
        <v>42153</v>
      </c>
      <c r="C77" s="381">
        <v>20</v>
      </c>
      <c r="D77" s="386">
        <v>67.3</v>
      </c>
      <c r="E77" s="382">
        <v>0</v>
      </c>
      <c r="F77" s="382">
        <f t="shared" ref="F77:F126" si="6">D77*C77+E77</f>
        <v>1346</v>
      </c>
      <c r="G77" s="380">
        <v>42219</v>
      </c>
      <c r="H77" s="400">
        <v>25</v>
      </c>
      <c r="I77" s="401">
        <v>60.05</v>
      </c>
      <c r="J77" s="401">
        <v>0.03</v>
      </c>
      <c r="K77" s="401">
        <f t="shared" ref="K77:K112" si="7">H77*I77-J77</f>
        <v>1501.22</v>
      </c>
      <c r="L77" s="380">
        <v>42185</v>
      </c>
      <c r="M77" s="382">
        <v>5</v>
      </c>
    </row>
    <row r="78" spans="1:31" x14ac:dyDescent="0.25">
      <c r="A78" s="391" t="s">
        <v>71</v>
      </c>
      <c r="B78" s="399">
        <v>42205</v>
      </c>
      <c r="C78" s="381">
        <v>20</v>
      </c>
      <c r="D78" s="386">
        <v>63.4</v>
      </c>
      <c r="E78" s="382">
        <v>0</v>
      </c>
      <c r="F78" s="382">
        <f t="shared" si="6"/>
        <v>1268</v>
      </c>
      <c r="G78" s="380">
        <v>42219</v>
      </c>
      <c r="H78" s="400">
        <v>55</v>
      </c>
      <c r="I78" s="401">
        <v>59.75</v>
      </c>
      <c r="J78" s="401">
        <v>0.06</v>
      </c>
      <c r="K78" s="401">
        <f t="shared" si="7"/>
        <v>3286.19</v>
      </c>
      <c r="L78" s="380">
        <v>42277</v>
      </c>
      <c r="M78" s="382">
        <v>37.5</v>
      </c>
    </row>
    <row r="79" spans="1:31" x14ac:dyDescent="0.25">
      <c r="A79" s="381"/>
      <c r="B79" s="399">
        <v>42205</v>
      </c>
      <c r="C79" s="381">
        <v>20</v>
      </c>
      <c r="D79" s="386">
        <v>63.15</v>
      </c>
      <c r="E79" s="382">
        <v>0</v>
      </c>
      <c r="F79" s="382">
        <f t="shared" si="6"/>
        <v>1263</v>
      </c>
      <c r="G79" s="380">
        <v>42250</v>
      </c>
      <c r="H79" s="385">
        <v>100</v>
      </c>
      <c r="I79" s="382">
        <v>59.4</v>
      </c>
      <c r="J79" s="382">
        <v>0.11</v>
      </c>
      <c r="K79" s="401">
        <f t="shared" si="7"/>
        <v>5939.89</v>
      </c>
      <c r="L79" s="380">
        <v>42734</v>
      </c>
      <c r="M79" s="382">
        <v>100</v>
      </c>
    </row>
    <row r="80" spans="1:31" x14ac:dyDescent="0.25">
      <c r="A80" s="381"/>
      <c r="B80" s="399">
        <v>42207</v>
      </c>
      <c r="C80" s="381">
        <v>10</v>
      </c>
      <c r="D80" s="386">
        <v>62</v>
      </c>
      <c r="E80" s="382">
        <v>0</v>
      </c>
      <c r="F80" s="382">
        <f t="shared" si="6"/>
        <v>620</v>
      </c>
      <c r="G80" s="380">
        <v>42258</v>
      </c>
      <c r="H80" s="385">
        <v>80</v>
      </c>
      <c r="I80" s="382">
        <v>56.47</v>
      </c>
      <c r="J80" s="382">
        <v>0.08</v>
      </c>
      <c r="K80" s="401">
        <f t="shared" si="7"/>
        <v>4517.5200000000004</v>
      </c>
      <c r="L80" s="380">
        <v>42459</v>
      </c>
      <c r="M80" s="382">
        <v>25</v>
      </c>
    </row>
    <row r="81" spans="1:13" x14ac:dyDescent="0.25">
      <c r="A81" s="381"/>
      <c r="B81" s="399">
        <v>42207</v>
      </c>
      <c r="C81" s="381">
        <v>5</v>
      </c>
      <c r="D81" s="386">
        <v>61.6</v>
      </c>
      <c r="E81" s="382">
        <v>0</v>
      </c>
      <c r="F81" s="382">
        <f t="shared" si="6"/>
        <v>308</v>
      </c>
      <c r="G81" s="380">
        <v>42263</v>
      </c>
      <c r="H81" s="385">
        <v>80</v>
      </c>
      <c r="I81" s="382">
        <v>52.55</v>
      </c>
      <c r="J81" s="382">
        <v>0.08</v>
      </c>
      <c r="K81" s="401">
        <f t="shared" si="7"/>
        <v>4203.92</v>
      </c>
      <c r="L81" s="381"/>
      <c r="M81" s="382"/>
    </row>
    <row r="82" spans="1:13" x14ac:dyDescent="0.25">
      <c r="A82" s="381"/>
      <c r="B82" s="399">
        <v>42207</v>
      </c>
      <c r="C82" s="381">
        <v>20</v>
      </c>
      <c r="D82" s="386">
        <v>59.85</v>
      </c>
      <c r="E82" s="382">
        <v>0</v>
      </c>
      <c r="F82" s="382">
        <f t="shared" si="6"/>
        <v>1197</v>
      </c>
      <c r="G82" s="380">
        <v>42284</v>
      </c>
      <c r="H82" s="385">
        <v>50</v>
      </c>
      <c r="I82" s="382">
        <v>52.85</v>
      </c>
      <c r="J82" s="382">
        <v>0.05</v>
      </c>
      <c r="K82" s="401">
        <f t="shared" si="7"/>
        <v>2642.45</v>
      </c>
      <c r="L82" s="381"/>
      <c r="M82" s="382"/>
    </row>
    <row r="83" spans="1:13" x14ac:dyDescent="0.25">
      <c r="A83" s="381"/>
      <c r="B83" s="399">
        <v>42208</v>
      </c>
      <c r="C83" s="381">
        <v>5</v>
      </c>
      <c r="D83" s="386">
        <v>61.3</v>
      </c>
      <c r="E83" s="382">
        <v>0</v>
      </c>
      <c r="F83" s="382">
        <f t="shared" si="6"/>
        <v>306.5</v>
      </c>
      <c r="G83" s="380">
        <v>42284</v>
      </c>
      <c r="H83" s="385">
        <v>30</v>
      </c>
      <c r="I83" s="382">
        <v>53.05</v>
      </c>
      <c r="J83" s="382">
        <v>0.03</v>
      </c>
      <c r="K83" s="401">
        <f t="shared" si="7"/>
        <v>1591.47</v>
      </c>
      <c r="L83" s="381"/>
      <c r="M83" s="382"/>
    </row>
    <row r="84" spans="1:13" x14ac:dyDescent="0.25">
      <c r="A84" s="381"/>
      <c r="B84" s="399">
        <v>42219</v>
      </c>
      <c r="C84" s="402">
        <v>25</v>
      </c>
      <c r="D84" s="386">
        <v>59.4</v>
      </c>
      <c r="E84" s="382">
        <v>0</v>
      </c>
      <c r="F84" s="382">
        <f t="shared" si="6"/>
        <v>1485</v>
      </c>
      <c r="G84" s="380">
        <v>42291</v>
      </c>
      <c r="H84" s="385">
        <v>80</v>
      </c>
      <c r="I84" s="382">
        <v>61.6</v>
      </c>
      <c r="J84" s="382">
        <v>0.09</v>
      </c>
      <c r="K84" s="401">
        <f t="shared" si="7"/>
        <v>4927.91</v>
      </c>
      <c r="L84" s="381"/>
      <c r="M84" s="382"/>
    </row>
    <row r="85" spans="1:13" x14ac:dyDescent="0.25">
      <c r="A85" s="381"/>
      <c r="B85" s="399">
        <v>42219</v>
      </c>
      <c r="C85" s="402">
        <v>50</v>
      </c>
      <c r="D85" s="386">
        <v>59.2</v>
      </c>
      <c r="E85" s="382">
        <v>0</v>
      </c>
      <c r="F85" s="382">
        <f t="shared" si="6"/>
        <v>2960</v>
      </c>
      <c r="G85" s="380">
        <v>42297</v>
      </c>
      <c r="H85" s="385">
        <v>115</v>
      </c>
      <c r="I85" s="382">
        <v>61.23</v>
      </c>
      <c r="J85" s="382">
        <v>0.13</v>
      </c>
      <c r="K85" s="401">
        <f t="shared" si="7"/>
        <v>7041.32</v>
      </c>
      <c r="L85" s="381"/>
      <c r="M85" s="382"/>
    </row>
    <row r="86" spans="1:13" x14ac:dyDescent="0.25">
      <c r="A86" s="381"/>
      <c r="B86" s="399">
        <v>42226</v>
      </c>
      <c r="C86" s="402">
        <v>5</v>
      </c>
      <c r="D86" s="386">
        <v>56.2</v>
      </c>
      <c r="E86" s="382">
        <v>0</v>
      </c>
      <c r="F86" s="382">
        <f t="shared" si="6"/>
        <v>281</v>
      </c>
      <c r="G86" s="380">
        <v>42304</v>
      </c>
      <c r="H86" s="385">
        <v>80</v>
      </c>
      <c r="I86" s="382">
        <v>59.76</v>
      </c>
      <c r="J86" s="382">
        <v>0.09</v>
      </c>
      <c r="K86" s="401">
        <f t="shared" si="7"/>
        <v>4780.71</v>
      </c>
      <c r="L86" s="381"/>
      <c r="M86" s="382"/>
    </row>
    <row r="87" spans="1:13" x14ac:dyDescent="0.25">
      <c r="A87" s="381"/>
      <c r="B87" s="399">
        <v>42226</v>
      </c>
      <c r="C87" s="381">
        <v>15</v>
      </c>
      <c r="D87" s="386">
        <v>56.5</v>
      </c>
      <c r="E87" s="382">
        <v>0</v>
      </c>
      <c r="F87" s="382">
        <f t="shared" si="6"/>
        <v>847.5</v>
      </c>
      <c r="G87" s="380">
        <v>42314</v>
      </c>
      <c r="H87" s="385">
        <v>10</v>
      </c>
      <c r="I87" s="382">
        <v>59.65</v>
      </c>
      <c r="J87" s="382">
        <v>0.01</v>
      </c>
      <c r="K87" s="401">
        <f t="shared" si="7"/>
        <v>596.49</v>
      </c>
      <c r="L87" s="381"/>
      <c r="M87" s="382"/>
    </row>
    <row r="88" spans="1:13" x14ac:dyDescent="0.25">
      <c r="A88" s="381"/>
      <c r="B88" s="399">
        <v>42240</v>
      </c>
      <c r="C88" s="402">
        <v>15</v>
      </c>
      <c r="D88" s="386">
        <v>57.19</v>
      </c>
      <c r="E88" s="382">
        <v>0</v>
      </c>
      <c r="F88" s="382">
        <f t="shared" si="6"/>
        <v>857.84999999999991</v>
      </c>
      <c r="G88" s="380">
        <v>42338</v>
      </c>
      <c r="H88" s="385">
        <v>75</v>
      </c>
      <c r="I88" s="382">
        <v>61.49</v>
      </c>
      <c r="J88" s="382">
        <v>0.08</v>
      </c>
      <c r="K88" s="382">
        <f t="shared" si="7"/>
        <v>4611.67</v>
      </c>
      <c r="L88" s="381"/>
      <c r="M88" s="382"/>
    </row>
    <row r="89" spans="1:13" x14ac:dyDescent="0.25">
      <c r="A89" s="381"/>
      <c r="B89" s="399">
        <v>42240</v>
      </c>
      <c r="C89" s="381">
        <v>20</v>
      </c>
      <c r="D89" s="386">
        <v>56.6</v>
      </c>
      <c r="E89" s="382">
        <v>0</v>
      </c>
      <c r="F89" s="382">
        <f t="shared" si="6"/>
        <v>1132</v>
      </c>
      <c r="G89" s="380">
        <v>42354</v>
      </c>
      <c r="H89" s="385">
        <v>100</v>
      </c>
      <c r="I89" s="382">
        <v>50.1</v>
      </c>
      <c r="J89" s="382">
        <v>0.09</v>
      </c>
      <c r="K89" s="382">
        <f t="shared" si="7"/>
        <v>5009.91</v>
      </c>
      <c r="L89" s="381"/>
      <c r="M89" s="382"/>
    </row>
    <row r="90" spans="1:13" x14ac:dyDescent="0.25">
      <c r="A90" s="381"/>
      <c r="B90" s="399">
        <v>42240</v>
      </c>
      <c r="C90" s="381">
        <v>30</v>
      </c>
      <c r="D90" s="386">
        <v>56.5</v>
      </c>
      <c r="E90" s="382">
        <v>0</v>
      </c>
      <c r="F90" s="382">
        <f t="shared" si="6"/>
        <v>1695</v>
      </c>
      <c r="G90" s="380">
        <v>42354</v>
      </c>
      <c r="H90" s="385">
        <v>200</v>
      </c>
      <c r="I90" s="382">
        <v>50.15</v>
      </c>
      <c r="J90" s="382">
        <v>0.18</v>
      </c>
      <c r="K90" s="382">
        <f t="shared" si="7"/>
        <v>10029.82</v>
      </c>
      <c r="L90" s="381"/>
      <c r="M90" s="382"/>
    </row>
    <row r="91" spans="1:13" ht="15" customHeight="1" x14ac:dyDescent="0.25">
      <c r="A91" s="381"/>
      <c r="B91" s="406">
        <v>42258</v>
      </c>
      <c r="C91" s="381">
        <v>80</v>
      </c>
      <c r="D91" s="386">
        <v>55.45</v>
      </c>
      <c r="E91" s="382">
        <v>0</v>
      </c>
      <c r="F91" s="382">
        <f t="shared" si="6"/>
        <v>4436</v>
      </c>
      <c r="G91" s="380">
        <v>42354</v>
      </c>
      <c r="H91" s="385">
        <v>100</v>
      </c>
      <c r="I91" s="382">
        <v>50.15</v>
      </c>
      <c r="J91" s="382">
        <v>0.09</v>
      </c>
      <c r="K91" s="382">
        <f t="shared" si="7"/>
        <v>5014.91</v>
      </c>
      <c r="L91" s="381"/>
      <c r="M91" s="382"/>
    </row>
    <row r="92" spans="1:13" x14ac:dyDescent="0.25">
      <c r="A92" s="381"/>
      <c r="B92" s="406"/>
      <c r="C92" s="381">
        <v>20</v>
      </c>
      <c r="D92" s="386">
        <v>55.45</v>
      </c>
      <c r="E92" s="382">
        <v>0</v>
      </c>
      <c r="F92" s="382">
        <f t="shared" si="6"/>
        <v>1109</v>
      </c>
      <c r="G92" s="380">
        <v>42367</v>
      </c>
      <c r="H92" s="385">
        <v>400</v>
      </c>
      <c r="I92" s="382">
        <v>49.86</v>
      </c>
      <c r="J92" s="382">
        <v>0.37</v>
      </c>
      <c r="K92" s="382">
        <f t="shared" si="7"/>
        <v>19943.63</v>
      </c>
      <c r="L92" s="381"/>
      <c r="M92" s="382"/>
    </row>
    <row r="93" spans="1:13" x14ac:dyDescent="0.25">
      <c r="A93" s="381"/>
      <c r="B93" s="407">
        <v>42263</v>
      </c>
      <c r="C93" s="381">
        <v>50</v>
      </c>
      <c r="D93" s="386">
        <v>52.7</v>
      </c>
      <c r="E93" s="382">
        <v>0</v>
      </c>
      <c r="F93" s="382">
        <f t="shared" si="6"/>
        <v>2635</v>
      </c>
      <c r="G93" s="380">
        <v>42375</v>
      </c>
      <c r="H93" s="385">
        <v>100</v>
      </c>
      <c r="I93" s="382">
        <v>47.56</v>
      </c>
      <c r="J93" s="382">
        <v>0.09</v>
      </c>
      <c r="K93" s="382">
        <f t="shared" si="7"/>
        <v>4755.91</v>
      </c>
      <c r="L93" s="381"/>
      <c r="M93" s="381"/>
    </row>
    <row r="94" spans="1:13" x14ac:dyDescent="0.25">
      <c r="A94" s="381"/>
      <c r="B94" s="407"/>
      <c r="C94" s="381">
        <v>30</v>
      </c>
      <c r="D94" s="386">
        <v>52.7</v>
      </c>
      <c r="E94" s="382">
        <v>0</v>
      </c>
      <c r="F94" s="382">
        <f t="shared" si="6"/>
        <v>1581</v>
      </c>
      <c r="G94" s="380">
        <v>42398</v>
      </c>
      <c r="H94" s="385">
        <v>150</v>
      </c>
      <c r="I94" s="382">
        <v>40.880000000000003</v>
      </c>
      <c r="J94" s="382">
        <v>0.11</v>
      </c>
      <c r="K94" s="382">
        <f t="shared" si="7"/>
        <v>6131.89</v>
      </c>
      <c r="L94" s="381"/>
      <c r="M94" s="381"/>
    </row>
    <row r="95" spans="1:13" x14ac:dyDescent="0.25">
      <c r="A95" s="381"/>
      <c r="B95" s="399">
        <v>42263</v>
      </c>
      <c r="C95" s="381">
        <v>50</v>
      </c>
      <c r="D95" s="386">
        <v>52.05</v>
      </c>
      <c r="E95" s="382">
        <v>0</v>
      </c>
      <c r="F95" s="382">
        <f t="shared" si="6"/>
        <v>2602.5</v>
      </c>
      <c r="G95" s="380">
        <v>42405</v>
      </c>
      <c r="H95" s="385">
        <v>100</v>
      </c>
      <c r="I95" s="382">
        <v>38.445</v>
      </c>
      <c r="J95" s="382">
        <v>7.0000000000000007E-2</v>
      </c>
      <c r="K95" s="382">
        <f t="shared" si="7"/>
        <v>3844.43</v>
      </c>
      <c r="L95" s="381"/>
      <c r="M95" s="381"/>
    </row>
    <row r="96" spans="1:13" x14ac:dyDescent="0.25">
      <c r="A96" s="381"/>
      <c r="B96" s="407">
        <v>42270</v>
      </c>
      <c r="C96" s="381">
        <v>30</v>
      </c>
      <c r="D96" s="386">
        <v>52.5</v>
      </c>
      <c r="E96" s="382">
        <v>0</v>
      </c>
      <c r="F96" s="382">
        <f t="shared" si="6"/>
        <v>1575</v>
      </c>
      <c r="G96" s="380">
        <v>42426</v>
      </c>
      <c r="H96" s="385">
        <v>150</v>
      </c>
      <c r="I96" s="382">
        <v>43.25</v>
      </c>
      <c r="J96" s="382">
        <v>0.14000000000000001</v>
      </c>
      <c r="K96" s="382">
        <f t="shared" si="7"/>
        <v>6487.36</v>
      </c>
      <c r="L96" s="381"/>
      <c r="M96" s="381"/>
    </row>
    <row r="97" spans="1:13" x14ac:dyDescent="0.25">
      <c r="A97" s="381"/>
      <c r="B97" s="407"/>
      <c r="C97" s="381">
        <v>20</v>
      </c>
      <c r="D97" s="386">
        <v>52.5</v>
      </c>
      <c r="E97" s="382">
        <v>0</v>
      </c>
      <c r="F97" s="382">
        <f t="shared" si="6"/>
        <v>1050</v>
      </c>
      <c r="G97" s="380">
        <v>42426</v>
      </c>
      <c r="H97" s="385">
        <v>150</v>
      </c>
      <c r="I97" s="382">
        <v>43.4</v>
      </c>
      <c r="J97" s="382">
        <v>0.14000000000000001</v>
      </c>
      <c r="K97" s="382">
        <f t="shared" si="7"/>
        <v>6509.86</v>
      </c>
      <c r="L97" s="381"/>
      <c r="M97" s="381"/>
    </row>
    <row r="98" spans="1:13" x14ac:dyDescent="0.25">
      <c r="A98" s="381"/>
      <c r="B98" s="399">
        <v>42292</v>
      </c>
      <c r="C98" s="381">
        <v>80</v>
      </c>
      <c r="D98" s="386">
        <v>61.25</v>
      </c>
      <c r="E98" s="382">
        <v>0</v>
      </c>
      <c r="F98" s="382">
        <f t="shared" si="6"/>
        <v>4900</v>
      </c>
      <c r="G98" s="380">
        <v>42431</v>
      </c>
      <c r="H98" s="385">
        <v>150</v>
      </c>
      <c r="I98" s="382">
        <v>45.95</v>
      </c>
      <c r="J98" s="382">
        <v>0.15</v>
      </c>
      <c r="K98" s="382">
        <f t="shared" si="7"/>
        <v>6892.35</v>
      </c>
      <c r="L98" s="381"/>
      <c r="M98" s="381"/>
    </row>
    <row r="99" spans="1:13" x14ac:dyDescent="0.25">
      <c r="A99" s="381"/>
      <c r="B99" s="399">
        <v>42292</v>
      </c>
      <c r="C99" s="381">
        <v>80</v>
      </c>
      <c r="D99" s="386">
        <v>59.75</v>
      </c>
      <c r="E99" s="382">
        <v>0</v>
      </c>
      <c r="F99" s="382">
        <f t="shared" si="6"/>
        <v>4780</v>
      </c>
      <c r="G99" s="380">
        <v>42431</v>
      </c>
      <c r="H99" s="385">
        <v>150</v>
      </c>
      <c r="I99" s="382">
        <v>45.5</v>
      </c>
      <c r="J99" s="382">
        <v>0.15</v>
      </c>
      <c r="K99" s="382">
        <f t="shared" si="7"/>
        <v>6824.85</v>
      </c>
      <c r="L99" s="381"/>
      <c r="M99" s="381"/>
    </row>
    <row r="100" spans="1:13" x14ac:dyDescent="0.25">
      <c r="A100" s="381"/>
      <c r="B100" s="399">
        <v>42310</v>
      </c>
      <c r="C100" s="381">
        <v>80</v>
      </c>
      <c r="D100" s="386">
        <v>55.225000000000001</v>
      </c>
      <c r="E100" s="382">
        <v>6.95</v>
      </c>
      <c r="F100" s="382">
        <f t="shared" si="6"/>
        <v>4424.95</v>
      </c>
      <c r="G100" s="380">
        <v>42431</v>
      </c>
      <c r="H100" s="385">
        <v>150</v>
      </c>
      <c r="I100" s="382">
        <v>46.4</v>
      </c>
      <c r="J100" s="382">
        <v>0.15</v>
      </c>
      <c r="K100" s="382">
        <f t="shared" si="7"/>
        <v>6959.85</v>
      </c>
      <c r="L100" s="381"/>
      <c r="M100" s="381"/>
    </row>
    <row r="101" spans="1:13" x14ac:dyDescent="0.25">
      <c r="A101" s="381"/>
      <c r="B101" s="399">
        <v>42310</v>
      </c>
      <c r="C101" s="381">
        <v>40</v>
      </c>
      <c r="D101" s="386">
        <v>53.01</v>
      </c>
      <c r="E101" s="382">
        <v>6.95</v>
      </c>
      <c r="F101" s="382">
        <f t="shared" si="6"/>
        <v>2127.35</v>
      </c>
      <c r="G101" s="380">
        <v>42431</v>
      </c>
      <c r="H101" s="385">
        <v>150</v>
      </c>
      <c r="I101" s="382">
        <v>46.72</v>
      </c>
      <c r="J101" s="382">
        <v>0.15</v>
      </c>
      <c r="K101" s="382">
        <f t="shared" si="7"/>
        <v>7007.85</v>
      </c>
      <c r="L101" s="381"/>
      <c r="M101" s="381"/>
    </row>
    <row r="102" spans="1:13" x14ac:dyDescent="0.25">
      <c r="A102" s="381"/>
      <c r="B102" s="399">
        <v>42340</v>
      </c>
      <c r="C102" s="381">
        <v>40</v>
      </c>
      <c r="D102" s="386">
        <v>58.6</v>
      </c>
      <c r="E102" s="382">
        <v>0</v>
      </c>
      <c r="F102" s="382">
        <f t="shared" si="6"/>
        <v>2344</v>
      </c>
      <c r="G102" s="380">
        <v>42433</v>
      </c>
      <c r="H102" s="385">
        <v>50</v>
      </c>
      <c r="I102" s="382">
        <v>50.35</v>
      </c>
      <c r="J102" s="382">
        <v>0.05</v>
      </c>
      <c r="K102" s="382">
        <f t="shared" si="7"/>
        <v>2517.4499999999998</v>
      </c>
      <c r="L102" s="381"/>
      <c r="M102" s="381"/>
    </row>
    <row r="103" spans="1:13" ht="45" x14ac:dyDescent="0.25">
      <c r="A103" s="381"/>
      <c r="B103" s="408" t="s">
        <v>170</v>
      </c>
      <c r="C103" s="381">
        <v>45</v>
      </c>
      <c r="D103" s="386">
        <v>50.45</v>
      </c>
      <c r="E103" s="382">
        <v>0</v>
      </c>
      <c r="F103" s="382">
        <f t="shared" si="6"/>
        <v>2270.25</v>
      </c>
      <c r="G103" s="380">
        <v>42440</v>
      </c>
      <c r="H103" s="385">
        <v>250</v>
      </c>
      <c r="I103" s="382">
        <v>50.24</v>
      </c>
      <c r="J103" s="382">
        <v>0.27</v>
      </c>
      <c r="K103" s="382">
        <f t="shared" si="7"/>
        <v>12559.73</v>
      </c>
      <c r="L103" s="381"/>
      <c r="M103" s="381"/>
    </row>
    <row r="104" spans="1:13" x14ac:dyDescent="0.25">
      <c r="A104" s="381"/>
      <c r="B104" s="408"/>
      <c r="C104" s="381">
        <v>75</v>
      </c>
      <c r="D104" s="386">
        <v>50.42</v>
      </c>
      <c r="E104" s="382">
        <v>0</v>
      </c>
      <c r="F104" s="382">
        <f t="shared" si="6"/>
        <v>3781.5</v>
      </c>
      <c r="G104" s="380">
        <v>42440</v>
      </c>
      <c r="H104" s="385">
        <v>50</v>
      </c>
      <c r="I104" s="382">
        <v>50.73</v>
      </c>
      <c r="J104" s="382">
        <v>0.05</v>
      </c>
      <c r="K104" s="382">
        <f t="shared" si="7"/>
        <v>2536.4499999999998</v>
      </c>
      <c r="L104" s="381"/>
      <c r="M104" s="381"/>
    </row>
    <row r="105" spans="1:13" x14ac:dyDescent="0.25">
      <c r="A105" s="381"/>
      <c r="B105" s="408"/>
      <c r="C105" s="381">
        <v>100</v>
      </c>
      <c r="D105" s="386">
        <v>50.33</v>
      </c>
      <c r="E105" s="382">
        <v>0</v>
      </c>
      <c r="F105" s="382">
        <f t="shared" si="6"/>
        <v>5033</v>
      </c>
      <c r="G105" s="380">
        <v>42440</v>
      </c>
      <c r="H105" s="385">
        <v>50</v>
      </c>
      <c r="I105" s="382">
        <v>51.08</v>
      </c>
      <c r="J105" s="382">
        <v>0.06</v>
      </c>
      <c r="K105" s="382">
        <f t="shared" si="7"/>
        <v>2553.94</v>
      </c>
      <c r="L105" s="381"/>
      <c r="M105" s="381"/>
    </row>
    <row r="106" spans="1:13" x14ac:dyDescent="0.25">
      <c r="A106" s="381"/>
      <c r="B106" s="408"/>
      <c r="C106" s="381">
        <v>100</v>
      </c>
      <c r="D106" s="386">
        <v>50.25</v>
      </c>
      <c r="E106" s="382">
        <v>0</v>
      </c>
      <c r="F106" s="382">
        <f t="shared" si="6"/>
        <v>5025</v>
      </c>
      <c r="G106" s="380">
        <v>42445</v>
      </c>
      <c r="H106" s="385">
        <v>20</v>
      </c>
      <c r="I106" s="382">
        <v>51.59</v>
      </c>
      <c r="J106" s="382">
        <v>0.02</v>
      </c>
      <c r="K106" s="382">
        <f t="shared" si="7"/>
        <v>1031.7800000000002</v>
      </c>
      <c r="L106" s="381"/>
      <c r="M106" s="381"/>
    </row>
    <row r="107" spans="1:13" x14ac:dyDescent="0.25">
      <c r="A107" s="381"/>
      <c r="B107" s="408"/>
      <c r="C107" s="381">
        <v>100</v>
      </c>
      <c r="D107" s="386">
        <v>50.05</v>
      </c>
      <c r="E107" s="382">
        <v>0</v>
      </c>
      <c r="F107" s="382">
        <f t="shared" si="6"/>
        <v>5005</v>
      </c>
      <c r="G107" s="380">
        <v>42446</v>
      </c>
      <c r="H107" s="385">
        <v>80</v>
      </c>
      <c r="I107" s="382">
        <v>53.45</v>
      </c>
      <c r="J107" s="382">
        <v>0.09</v>
      </c>
      <c r="K107" s="382">
        <f t="shared" si="7"/>
        <v>4275.91</v>
      </c>
      <c r="L107" s="381"/>
      <c r="M107" s="381"/>
    </row>
    <row r="108" spans="1:13" x14ac:dyDescent="0.25">
      <c r="A108" s="381"/>
      <c r="B108" s="408"/>
      <c r="C108" s="381">
        <v>100</v>
      </c>
      <c r="D108" s="386">
        <v>49.99</v>
      </c>
      <c r="E108" s="382">
        <v>0</v>
      </c>
      <c r="F108" s="382">
        <f t="shared" si="6"/>
        <v>4999</v>
      </c>
      <c r="G108" s="380">
        <v>42460</v>
      </c>
      <c r="H108" s="385">
        <v>50</v>
      </c>
      <c r="I108" s="382">
        <v>52.74</v>
      </c>
      <c r="J108" s="382">
        <v>0.06</v>
      </c>
      <c r="K108" s="382">
        <f t="shared" si="7"/>
        <v>2636.94</v>
      </c>
      <c r="L108" s="381"/>
      <c r="M108" s="381"/>
    </row>
    <row r="109" spans="1:13" x14ac:dyDescent="0.25">
      <c r="A109" s="381"/>
      <c r="B109" s="408"/>
      <c r="C109" s="381">
        <v>200</v>
      </c>
      <c r="D109" s="386">
        <v>49.69</v>
      </c>
      <c r="E109" s="382">
        <v>0</v>
      </c>
      <c r="F109" s="382">
        <f t="shared" si="6"/>
        <v>9938</v>
      </c>
      <c r="G109" s="380">
        <v>42466</v>
      </c>
      <c r="H109" s="385">
        <v>50</v>
      </c>
      <c r="I109" s="382">
        <v>53.25</v>
      </c>
      <c r="J109" s="382">
        <v>0.06</v>
      </c>
      <c r="K109" s="382">
        <f t="shared" si="7"/>
        <v>2662.44</v>
      </c>
      <c r="L109" s="381"/>
      <c r="M109" s="381"/>
    </row>
    <row r="110" spans="1:13" x14ac:dyDescent="0.25">
      <c r="A110" s="381"/>
      <c r="B110" s="399">
        <v>42362</v>
      </c>
      <c r="C110" s="381">
        <v>300</v>
      </c>
      <c r="D110" s="386">
        <v>48.18</v>
      </c>
      <c r="E110" s="382">
        <v>0</v>
      </c>
      <c r="F110" s="382">
        <f t="shared" si="6"/>
        <v>14454</v>
      </c>
      <c r="G110" s="380">
        <v>42472</v>
      </c>
      <c r="H110" s="385">
        <v>20</v>
      </c>
      <c r="I110" s="382">
        <v>57.11</v>
      </c>
      <c r="J110" s="382">
        <v>-0.03</v>
      </c>
      <c r="K110" s="382">
        <f t="shared" si="7"/>
        <v>1142.23</v>
      </c>
      <c r="L110" s="381"/>
      <c r="M110" s="381"/>
    </row>
    <row r="111" spans="1:13" x14ac:dyDescent="0.25">
      <c r="A111" s="381"/>
      <c r="B111" s="399">
        <v>42362</v>
      </c>
      <c r="C111" s="381">
        <v>300</v>
      </c>
      <c r="D111" s="386">
        <v>47.73</v>
      </c>
      <c r="E111" s="382">
        <v>-0.03</v>
      </c>
      <c r="F111" s="382">
        <f t="shared" si="6"/>
        <v>14318.969999999998</v>
      </c>
      <c r="G111" s="380">
        <v>42478</v>
      </c>
      <c r="H111" s="385">
        <v>20</v>
      </c>
      <c r="I111" s="382">
        <v>58.75</v>
      </c>
      <c r="J111" s="382">
        <v>0.03</v>
      </c>
      <c r="K111" s="382">
        <f t="shared" si="7"/>
        <v>1174.97</v>
      </c>
      <c r="L111" s="381"/>
      <c r="M111" s="381"/>
    </row>
    <row r="112" spans="1:13" x14ac:dyDescent="0.25">
      <c r="A112" s="381"/>
      <c r="B112" s="399">
        <v>42374</v>
      </c>
      <c r="C112" s="381">
        <v>100</v>
      </c>
      <c r="D112" s="386">
        <v>47.13</v>
      </c>
      <c r="E112" s="382">
        <v>0</v>
      </c>
      <c r="F112" s="382">
        <f t="shared" si="6"/>
        <v>4713</v>
      </c>
      <c r="G112" s="380">
        <v>42501</v>
      </c>
      <c r="H112" s="385">
        <v>30</v>
      </c>
      <c r="I112" s="382">
        <v>58.45</v>
      </c>
      <c r="J112" s="382">
        <v>0.04</v>
      </c>
      <c r="K112" s="382">
        <f t="shared" si="7"/>
        <v>1753.46</v>
      </c>
      <c r="L112" s="381"/>
      <c r="M112" s="381"/>
    </row>
    <row r="113" spans="1:13" x14ac:dyDescent="0.25">
      <c r="A113" s="381"/>
      <c r="B113" s="399">
        <v>42375</v>
      </c>
      <c r="C113" s="381">
        <v>100</v>
      </c>
      <c r="D113" s="386">
        <v>46.02</v>
      </c>
      <c r="E113" s="382">
        <v>0</v>
      </c>
      <c r="F113" s="382">
        <f t="shared" si="6"/>
        <v>4602</v>
      </c>
      <c r="G113" s="381"/>
      <c r="H113" s="385"/>
      <c r="I113" s="382"/>
      <c r="J113" s="382"/>
      <c r="K113" s="382"/>
      <c r="L113" s="381"/>
      <c r="M113" s="381"/>
    </row>
    <row r="114" spans="1:13" x14ac:dyDescent="0.25">
      <c r="A114" s="381"/>
      <c r="B114" s="407">
        <v>42375</v>
      </c>
      <c r="C114" s="381">
        <v>30</v>
      </c>
      <c r="D114" s="386">
        <v>45.1</v>
      </c>
      <c r="E114" s="382">
        <v>0</v>
      </c>
      <c r="F114" s="382">
        <f t="shared" si="6"/>
        <v>1353</v>
      </c>
      <c r="G114" s="381"/>
      <c r="H114" s="385"/>
      <c r="I114" s="382"/>
      <c r="J114" s="382"/>
      <c r="K114" s="382"/>
      <c r="L114" s="381"/>
      <c r="M114" s="381"/>
    </row>
    <row r="115" spans="1:13" x14ac:dyDescent="0.25">
      <c r="A115" s="381"/>
      <c r="B115" s="407"/>
      <c r="C115" s="381">
        <v>20</v>
      </c>
      <c r="D115" s="386">
        <v>45.1</v>
      </c>
      <c r="E115" s="382">
        <v>0</v>
      </c>
      <c r="F115" s="382">
        <f t="shared" si="6"/>
        <v>902</v>
      </c>
      <c r="G115" s="381"/>
      <c r="H115" s="385"/>
      <c r="I115" s="382"/>
      <c r="J115" s="382"/>
      <c r="K115" s="382"/>
      <c r="L115" s="381"/>
      <c r="M115" s="381"/>
    </row>
    <row r="116" spans="1:13" x14ac:dyDescent="0.25">
      <c r="A116" s="381"/>
      <c r="B116" s="399">
        <v>42402</v>
      </c>
      <c r="C116" s="381">
        <v>150</v>
      </c>
      <c r="D116" s="386">
        <v>39.450000000000003</v>
      </c>
      <c r="E116" s="382">
        <v>0</v>
      </c>
      <c r="F116" s="382">
        <f t="shared" si="6"/>
        <v>5917.5</v>
      </c>
      <c r="G116" s="381"/>
      <c r="H116" s="385"/>
      <c r="I116" s="382"/>
      <c r="J116" s="382"/>
      <c r="K116" s="382"/>
      <c r="L116" s="381"/>
      <c r="M116" s="381"/>
    </row>
    <row r="117" spans="1:13" x14ac:dyDescent="0.25">
      <c r="A117" s="381"/>
      <c r="B117" s="399">
        <v>42405</v>
      </c>
      <c r="C117" s="381">
        <v>100</v>
      </c>
      <c r="D117" s="386">
        <v>38.385100000000001</v>
      </c>
      <c r="E117" s="382">
        <v>0</v>
      </c>
      <c r="F117" s="382">
        <f t="shared" si="6"/>
        <v>3838.51</v>
      </c>
      <c r="G117" s="381"/>
      <c r="H117" s="385"/>
      <c r="I117" s="382"/>
      <c r="J117" s="382"/>
      <c r="K117" s="382"/>
      <c r="L117" s="381"/>
      <c r="M117" s="381"/>
    </row>
    <row r="118" spans="1:13" x14ac:dyDescent="0.25">
      <c r="A118" s="381"/>
      <c r="B118" s="399">
        <v>42426</v>
      </c>
      <c r="C118" s="381">
        <v>150</v>
      </c>
      <c r="D118" s="386">
        <v>43.09</v>
      </c>
      <c r="E118" s="382">
        <v>0</v>
      </c>
      <c r="F118" s="382">
        <f t="shared" si="6"/>
        <v>6463.5000000000009</v>
      </c>
      <c r="G118" s="381"/>
      <c r="H118" s="385"/>
      <c r="I118" s="382"/>
      <c r="J118" s="382"/>
      <c r="K118" s="382"/>
      <c r="L118" s="381"/>
      <c r="M118" s="381"/>
    </row>
    <row r="119" spans="1:13" x14ac:dyDescent="0.25">
      <c r="A119" s="381"/>
      <c r="B119" s="399">
        <v>42426</v>
      </c>
      <c r="C119" s="381">
        <v>150</v>
      </c>
      <c r="D119" s="386">
        <v>42.89</v>
      </c>
      <c r="E119" s="382">
        <v>0</v>
      </c>
      <c r="F119" s="382">
        <f t="shared" si="6"/>
        <v>6433.5</v>
      </c>
      <c r="G119" s="381"/>
      <c r="H119" s="385"/>
      <c r="I119" s="382"/>
      <c r="J119" s="382"/>
      <c r="K119" s="382"/>
      <c r="L119" s="381"/>
      <c r="M119" s="381"/>
    </row>
    <row r="120" spans="1:13" x14ac:dyDescent="0.25">
      <c r="A120" s="381"/>
      <c r="B120" s="399">
        <v>42431</v>
      </c>
      <c r="C120" s="381">
        <v>150</v>
      </c>
      <c r="D120" s="386">
        <v>45.49</v>
      </c>
      <c r="E120" s="382">
        <v>0</v>
      </c>
      <c r="F120" s="382">
        <f t="shared" si="6"/>
        <v>6823.5</v>
      </c>
      <c r="G120" s="381"/>
      <c r="H120" s="385"/>
      <c r="I120" s="382"/>
      <c r="J120" s="382"/>
      <c r="K120" s="382"/>
      <c r="L120" s="381"/>
      <c r="M120" s="381"/>
    </row>
    <row r="121" spans="1:13" x14ac:dyDescent="0.25">
      <c r="A121" s="381"/>
      <c r="B121" s="399">
        <v>42431</v>
      </c>
      <c r="C121" s="381">
        <v>150</v>
      </c>
      <c r="D121" s="386">
        <v>45.07</v>
      </c>
      <c r="E121" s="382">
        <v>0</v>
      </c>
      <c r="F121" s="382">
        <f t="shared" si="6"/>
        <v>6760.5</v>
      </c>
      <c r="G121" s="381"/>
      <c r="H121" s="385"/>
      <c r="I121" s="382"/>
      <c r="J121" s="382"/>
      <c r="K121" s="382"/>
      <c r="L121" s="381"/>
      <c r="M121" s="381"/>
    </row>
    <row r="122" spans="1:13" x14ac:dyDescent="0.25">
      <c r="A122" s="381"/>
      <c r="B122" s="399">
        <v>42433</v>
      </c>
      <c r="C122" s="381">
        <v>50</v>
      </c>
      <c r="D122" s="386">
        <v>49.45</v>
      </c>
      <c r="E122" s="382">
        <v>0</v>
      </c>
      <c r="F122" s="382">
        <f t="shared" si="6"/>
        <v>2472.5</v>
      </c>
      <c r="G122" s="381"/>
      <c r="H122" s="385"/>
      <c r="I122" s="382"/>
      <c r="J122" s="382"/>
      <c r="K122" s="382"/>
      <c r="L122" s="381"/>
      <c r="M122" s="381"/>
    </row>
    <row r="123" spans="1:13" x14ac:dyDescent="0.25">
      <c r="A123" s="381"/>
      <c r="B123" s="399">
        <v>42444</v>
      </c>
      <c r="C123" s="381">
        <v>50</v>
      </c>
      <c r="D123" s="386">
        <v>48.21</v>
      </c>
      <c r="E123" s="382">
        <v>0</v>
      </c>
      <c r="F123" s="382">
        <f t="shared" si="6"/>
        <v>2410.5</v>
      </c>
      <c r="G123" s="381"/>
      <c r="H123" s="385"/>
      <c r="I123" s="382"/>
      <c r="J123" s="382"/>
      <c r="K123" s="382"/>
      <c r="L123" s="381"/>
      <c r="M123" s="381"/>
    </row>
    <row r="124" spans="1:13" x14ac:dyDescent="0.25">
      <c r="A124" s="381"/>
      <c r="B124" s="399">
        <v>42452</v>
      </c>
      <c r="C124" s="381">
        <v>50</v>
      </c>
      <c r="D124" s="386">
        <v>51.6</v>
      </c>
      <c r="E124" s="382">
        <v>0</v>
      </c>
      <c r="F124" s="382">
        <f t="shared" si="6"/>
        <v>2580</v>
      </c>
      <c r="G124" s="381"/>
      <c r="H124" s="385"/>
      <c r="I124" s="382"/>
      <c r="J124" s="382"/>
      <c r="K124" s="382"/>
      <c r="L124" s="381"/>
      <c r="M124" s="381"/>
    </row>
    <row r="125" spans="1:13" x14ac:dyDescent="0.25">
      <c r="A125" s="381"/>
      <c r="B125" s="399">
        <v>42464</v>
      </c>
      <c r="C125" s="381">
        <v>50</v>
      </c>
      <c r="D125" s="386">
        <v>50.62</v>
      </c>
      <c r="E125" s="382">
        <v>0</v>
      </c>
      <c r="F125" s="382">
        <f t="shared" si="6"/>
        <v>2531</v>
      </c>
      <c r="G125" s="381"/>
      <c r="H125" s="385"/>
      <c r="I125" s="382"/>
      <c r="J125" s="382"/>
      <c r="K125" s="382"/>
      <c r="L125" s="381"/>
      <c r="M125" s="381"/>
    </row>
    <row r="126" spans="1:13" x14ac:dyDescent="0.25">
      <c r="A126" s="381"/>
      <c r="B126" s="399">
        <v>42493</v>
      </c>
      <c r="C126" s="381">
        <v>20</v>
      </c>
      <c r="D126" s="386">
        <v>56.5</v>
      </c>
      <c r="E126" s="382">
        <v>0</v>
      </c>
      <c r="F126" s="382">
        <f t="shared" si="6"/>
        <v>1130</v>
      </c>
      <c r="G126" s="381"/>
      <c r="H126" s="385"/>
      <c r="I126" s="382"/>
      <c r="J126" s="382"/>
      <c r="K126" s="382"/>
      <c r="L126" s="381"/>
      <c r="M126" s="381"/>
    </row>
    <row r="127" spans="1:13" x14ac:dyDescent="0.25">
      <c r="A127" s="381"/>
      <c r="B127" s="403"/>
      <c r="C127" s="381"/>
      <c r="D127" s="386"/>
      <c r="E127" s="382"/>
      <c r="F127" s="382"/>
      <c r="G127" s="381"/>
      <c r="H127" s="385"/>
      <c r="I127" s="382"/>
      <c r="J127" s="382"/>
      <c r="K127" s="382"/>
      <c r="L127" s="381"/>
      <c r="M127" s="381"/>
    </row>
    <row r="128" spans="1:13" x14ac:dyDescent="0.25">
      <c r="A128" s="22" t="s">
        <v>81</v>
      </c>
      <c r="B128" s="404"/>
      <c r="C128" s="12">
        <f>SUM(C77:C127)</f>
        <v>3500</v>
      </c>
      <c r="D128" s="405"/>
      <c r="E128" s="12"/>
      <c r="F128" s="13">
        <f>SUM(F77:F127)</f>
        <v>172887.38</v>
      </c>
      <c r="G128" s="12"/>
      <c r="H128" s="77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381"/>
      <c r="B129" s="403"/>
      <c r="C129" s="381"/>
      <c r="D129" s="386"/>
      <c r="E129" s="382"/>
      <c r="F129" s="382"/>
      <c r="G129" s="381"/>
      <c r="H129" s="385"/>
      <c r="I129" s="382"/>
      <c r="J129" s="382"/>
      <c r="K129" s="382"/>
      <c r="L129" s="381"/>
      <c r="M129" s="381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521" priority="17">
      <formula>F38&gt;0</formula>
    </cfRule>
    <cfRule type="expression" dxfId="520" priority="18">
      <formula>F38&lt;0</formula>
    </cfRule>
  </conditionalFormatting>
  <conditionalFormatting sqref="H38:H72">
    <cfRule type="expression" dxfId="519" priority="9">
      <formula>H38&gt;0</formula>
    </cfRule>
    <cfRule type="expression" dxfId="518" priority="10">
      <formula>H38&lt;0</formula>
    </cfRule>
  </conditionalFormatting>
  <conditionalFormatting sqref="F21:F37">
    <cfRule type="expression" dxfId="517" priority="7">
      <formula>F21&gt;0</formula>
    </cfRule>
    <cfRule type="expression" dxfId="516" priority="8">
      <formula>F21&lt;0</formula>
    </cfRule>
  </conditionalFormatting>
  <conditionalFormatting sqref="H21:H37">
    <cfRule type="expression" dxfId="515" priority="5">
      <formula>H21&gt;0</formula>
    </cfRule>
    <cfRule type="expression" dxfId="514" priority="6">
      <formula>H21&lt;0</formula>
    </cfRule>
  </conditionalFormatting>
  <conditionalFormatting sqref="Q8">
    <cfRule type="expression" dxfId="513" priority="1">
      <formula>Q8&gt;0</formula>
    </cfRule>
    <cfRule type="expression" dxfId="512" priority="2">
      <formula>Q8&lt;0</formula>
    </cfRule>
  </conditionalFormatting>
  <conditionalFormatting sqref="Q7">
    <cfRule type="expression" dxfId="511" priority="3">
      <formula>Q7&gt;0</formula>
    </cfRule>
    <cfRule type="expression" dxfId="510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4" customWidth="1"/>
    <col min="20" max="20" width="18.5703125" style="42" customWidth="1"/>
    <col min="21" max="21" width="35.5703125" style="34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R1" s="33"/>
      <c r="T1" s="43"/>
      <c r="U1" s="33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42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43"/>
      <c r="W2" s="133">
        <v>42768</v>
      </c>
      <c r="X2" s="10">
        <v>107.2</v>
      </c>
      <c r="Y2" s="10">
        <v>107.58</v>
      </c>
      <c r="Z2" s="10">
        <v>105.9</v>
      </c>
      <c r="AA2" s="10">
        <v>107.3</v>
      </c>
      <c r="AB2" s="95">
        <v>4223200</v>
      </c>
      <c r="AC2" s="10">
        <v>107.3</v>
      </c>
      <c r="AD2" s="2">
        <f>Y2-Z2</f>
        <v>1.6799999999999926</v>
      </c>
      <c r="AE2" s="138">
        <f>AC2/AC3-1</f>
        <v>-3.7140204271124411E-3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4"/>
      <c r="M3" s="4"/>
      <c r="O3" s="11" t="s">
        <v>58</v>
      </c>
      <c r="Q3" s="80">
        <f>IF(Q2=0, Q4,(F18-K18-M18)/Q2)</f>
        <v>108.51</v>
      </c>
      <c r="W3" s="133">
        <v>42767</v>
      </c>
      <c r="X3" s="10">
        <v>107.04</v>
      </c>
      <c r="Y3" s="10">
        <v>108.07</v>
      </c>
      <c r="Z3" s="10">
        <v>106.4</v>
      </c>
      <c r="AA3" s="10">
        <v>107.7</v>
      </c>
      <c r="AB3" s="95">
        <v>4374500</v>
      </c>
      <c r="AC3" s="10">
        <v>107.7</v>
      </c>
      <c r="AD3" s="2">
        <f t="shared" ref="AD3:AD66" si="0">Y3-Z3</f>
        <v>1.6699999999999875</v>
      </c>
      <c r="AE3" s="138">
        <f t="shared" ref="AE3:AE66" si="1">AC3/AC4-1</f>
        <v>1.050853818727715E-2</v>
      </c>
    </row>
    <row r="4" spans="1:31" x14ac:dyDescent="0.25">
      <c r="B4" s="74"/>
      <c r="C4" s="4"/>
      <c r="D4" s="3"/>
      <c r="E4" s="3"/>
      <c r="F4" s="3"/>
      <c r="G4" s="74"/>
      <c r="H4" s="4"/>
      <c r="I4" s="3"/>
      <c r="J4" s="3"/>
      <c r="K4" s="3"/>
      <c r="L4" s="4"/>
      <c r="M4" s="4"/>
      <c r="O4" s="11" t="s">
        <v>66</v>
      </c>
      <c r="Q4" s="55">
        <v>108.51</v>
      </c>
      <c r="R4" s="526">
        <v>1.1299999999999999E-2</v>
      </c>
      <c r="W4" s="133">
        <v>42766</v>
      </c>
      <c r="X4" s="10">
        <v>108.13</v>
      </c>
      <c r="Y4" s="10">
        <v>108.58</v>
      </c>
      <c r="Z4" s="10">
        <v>106.22</v>
      </c>
      <c r="AA4" s="10">
        <v>106.58</v>
      </c>
      <c r="AB4" s="95">
        <v>4458400</v>
      </c>
      <c r="AC4" s="10">
        <v>106.58</v>
      </c>
      <c r="AD4" s="2">
        <f t="shared" si="0"/>
        <v>2.3599999999999994</v>
      </c>
      <c r="AE4" s="138">
        <f t="shared" si="1"/>
        <v>-1.3148148148148131E-2</v>
      </c>
    </row>
    <row r="5" spans="1:31" x14ac:dyDescent="0.25">
      <c r="B5" s="74"/>
      <c r="C5" s="4"/>
      <c r="D5" s="3"/>
      <c r="E5" s="3"/>
      <c r="F5" s="3"/>
      <c r="G5" s="74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  <c r="W5" s="133">
        <v>42765</v>
      </c>
      <c r="X5" s="10">
        <v>108.94</v>
      </c>
      <c r="Y5" s="10">
        <v>108.96</v>
      </c>
      <c r="Z5" s="10">
        <v>106.34</v>
      </c>
      <c r="AA5" s="10">
        <v>108</v>
      </c>
      <c r="AB5" s="95">
        <v>5316100</v>
      </c>
      <c r="AC5" s="10">
        <v>108</v>
      </c>
      <c r="AD5" s="2">
        <f t="shared" si="0"/>
        <v>2.6199999999999903</v>
      </c>
      <c r="AE5" s="138">
        <f t="shared" si="1"/>
        <v>-1.0989010989011061E-2</v>
      </c>
    </row>
    <row r="6" spans="1:31" x14ac:dyDescent="0.25">
      <c r="B6" s="7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42762</v>
      </c>
      <c r="X6" s="10">
        <v>110.35</v>
      </c>
      <c r="Y6" s="10">
        <v>110.36</v>
      </c>
      <c r="Z6" s="10">
        <v>108.14</v>
      </c>
      <c r="AA6" s="10">
        <v>109.2</v>
      </c>
      <c r="AB6" s="95">
        <v>3380500</v>
      </c>
      <c r="AC6" s="10">
        <v>109.2</v>
      </c>
      <c r="AD6" s="2">
        <f t="shared" si="0"/>
        <v>2.2199999999999989</v>
      </c>
      <c r="AE6" s="138">
        <f t="shared" si="1"/>
        <v>-8.6246028143440734E-3</v>
      </c>
    </row>
    <row r="7" spans="1:31" x14ac:dyDescent="0.25">
      <c r="B7" s="7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181</v>
      </c>
      <c r="Q7" s="2">
        <f>Q10+Q8</f>
        <v>128.08999999999833</v>
      </c>
      <c r="R7">
        <v>0</v>
      </c>
      <c r="W7" s="133">
        <v>42761</v>
      </c>
      <c r="X7" s="10">
        <v>110.25</v>
      </c>
      <c r="Y7" s="10">
        <v>111.38</v>
      </c>
      <c r="Z7" s="10">
        <v>109.48</v>
      </c>
      <c r="AA7" s="10">
        <v>110.15</v>
      </c>
      <c r="AB7" s="95">
        <v>4602100</v>
      </c>
      <c r="AC7" s="10">
        <v>110.15</v>
      </c>
      <c r="AD7" s="2">
        <f t="shared" si="0"/>
        <v>1.8999999999999915</v>
      </c>
      <c r="AE7" s="138">
        <f t="shared" si="1"/>
        <v>-2.4452092012315907E-3</v>
      </c>
    </row>
    <row r="8" spans="1:31" x14ac:dyDescent="0.25">
      <c r="B8" s="74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184</v>
      </c>
      <c r="P8" s="34"/>
      <c r="Q8" s="2">
        <f>K18+M18-F18+Q2*Q4</f>
        <v>0</v>
      </c>
      <c r="W8" s="133">
        <v>42760</v>
      </c>
      <c r="X8" s="10">
        <v>109.29</v>
      </c>
      <c r="Y8" s="10">
        <v>111</v>
      </c>
      <c r="Z8" s="10">
        <v>109.01</v>
      </c>
      <c r="AA8" s="10">
        <v>110.42</v>
      </c>
      <c r="AB8" s="95">
        <v>5102700</v>
      </c>
      <c r="AC8" s="10">
        <v>110.42</v>
      </c>
      <c r="AD8" s="2">
        <f t="shared" si="0"/>
        <v>1.9899999999999949</v>
      </c>
      <c r="AE8" s="138">
        <f t="shared" si="1"/>
        <v>1.5636497424576845E-2</v>
      </c>
    </row>
    <row r="9" spans="1:31" x14ac:dyDescent="0.25">
      <c r="B9" s="74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214</v>
      </c>
      <c r="Q9" s="138">
        <f>IF(Q2=0, 0, Q8/Q6)</f>
        <v>0</v>
      </c>
      <c r="W9" s="133">
        <v>42759</v>
      </c>
      <c r="X9" s="10">
        <v>108.15</v>
      </c>
      <c r="Y9" s="10">
        <v>109.25</v>
      </c>
      <c r="Z9" s="10">
        <v>107.6</v>
      </c>
      <c r="AA9" s="10">
        <v>108.72</v>
      </c>
      <c r="AB9" s="95">
        <v>4552100</v>
      </c>
      <c r="AC9" s="10">
        <v>108.72</v>
      </c>
      <c r="AD9" s="2">
        <f t="shared" si="0"/>
        <v>1.6500000000000057</v>
      </c>
      <c r="AE9" s="138">
        <f t="shared" si="1"/>
        <v>6.7598851745531707E-3</v>
      </c>
    </row>
    <row r="10" spans="1:31" x14ac:dyDescent="0.25">
      <c r="B10" s="74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213</v>
      </c>
      <c r="P10" s="34"/>
      <c r="Q10" s="2">
        <f>M34</f>
        <v>128.08999999999833</v>
      </c>
      <c r="W10" s="133">
        <v>42758</v>
      </c>
      <c r="X10" s="10">
        <v>108.64</v>
      </c>
      <c r="Y10" s="10">
        <v>108.64</v>
      </c>
      <c r="Z10" s="10">
        <v>106.93</v>
      </c>
      <c r="AA10" s="10">
        <v>107.99</v>
      </c>
      <c r="AB10" s="95">
        <v>3853600</v>
      </c>
      <c r="AC10" s="10">
        <v>107.99</v>
      </c>
      <c r="AD10" s="2">
        <f t="shared" si="0"/>
        <v>1.7099999999999937</v>
      </c>
      <c r="AE10" s="138">
        <f t="shared" si="1"/>
        <v>-5.6169429097605583E-3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178</v>
      </c>
      <c r="P11" s="34"/>
      <c r="Q11" s="138">
        <f>IF(U58="N/A (N/A)", 0, VALUE(TRIM(CLEAN(MID(U58, FIND("(", U58)+1, 5)))))</f>
        <v>2.0799999999999999E-2</v>
      </c>
      <c r="T11" s="43"/>
      <c r="U11" s="33"/>
      <c r="V11" s="11"/>
      <c r="W11" s="99">
        <v>42755</v>
      </c>
      <c r="X11" s="10">
        <v>106.83</v>
      </c>
      <c r="Y11" s="10">
        <v>108.64</v>
      </c>
      <c r="Z11" s="10">
        <v>106.61</v>
      </c>
      <c r="AA11" s="10">
        <v>108.6</v>
      </c>
      <c r="AB11" s="95">
        <v>6288300</v>
      </c>
      <c r="AC11" s="10">
        <v>108.6</v>
      </c>
      <c r="AD11" s="2">
        <f t="shared" si="0"/>
        <v>2.0300000000000011</v>
      </c>
      <c r="AE11" s="138">
        <f t="shared" si="1"/>
        <v>2.2213855421686635E-2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7"/>
      <c r="W12" s="133">
        <v>42754</v>
      </c>
      <c r="X12" s="10">
        <v>108.21</v>
      </c>
      <c r="Y12" s="10">
        <v>108.98</v>
      </c>
      <c r="Z12" s="10">
        <v>105.44</v>
      </c>
      <c r="AA12" s="10">
        <v>106.24</v>
      </c>
      <c r="AB12" s="95">
        <v>10078700</v>
      </c>
      <c r="AC12" s="10">
        <v>106.24</v>
      </c>
      <c r="AD12" s="2">
        <f t="shared" si="0"/>
        <v>3.5400000000000063</v>
      </c>
      <c r="AE12" s="138">
        <f t="shared" si="1"/>
        <v>2.3802640454852142E-2</v>
      </c>
    </row>
    <row r="13" spans="1:31" x14ac:dyDescent="0.25">
      <c r="T13" s="67"/>
      <c r="W13" s="133">
        <v>42753</v>
      </c>
      <c r="X13" s="10">
        <v>102.26</v>
      </c>
      <c r="Y13" s="10">
        <v>104.37</v>
      </c>
      <c r="Z13" s="10">
        <v>101.53</v>
      </c>
      <c r="AA13" s="10">
        <v>103.77</v>
      </c>
      <c r="AB13" s="95">
        <v>5356800</v>
      </c>
      <c r="AC13" s="10">
        <v>103.77</v>
      </c>
      <c r="AD13" s="2">
        <f t="shared" si="0"/>
        <v>2.8400000000000034</v>
      </c>
      <c r="AE13" s="138">
        <f t="shared" si="1"/>
        <v>3.8695946599593967E-3</v>
      </c>
    </row>
    <row r="14" spans="1:31" x14ac:dyDescent="0.25">
      <c r="W14" s="133">
        <v>42752</v>
      </c>
      <c r="X14" s="10">
        <v>104.7</v>
      </c>
      <c r="Y14" s="10">
        <v>104.82</v>
      </c>
      <c r="Z14" s="10">
        <v>102.85</v>
      </c>
      <c r="AA14" s="10">
        <v>103.37</v>
      </c>
      <c r="AB14" s="95">
        <v>3398400</v>
      </c>
      <c r="AC14" s="10">
        <v>103.37</v>
      </c>
      <c r="AD14" s="2">
        <f t="shared" si="0"/>
        <v>1.9699999999999989</v>
      </c>
      <c r="AE14" s="138">
        <f t="shared" si="1"/>
        <v>-1.7862232779097376E-2</v>
      </c>
    </row>
    <row r="15" spans="1:31" x14ac:dyDescent="0.25">
      <c r="W15" s="133">
        <v>42748</v>
      </c>
      <c r="X15" s="10">
        <v>104.51</v>
      </c>
      <c r="Y15" s="10">
        <v>105.45</v>
      </c>
      <c r="Z15" s="10">
        <v>104.28</v>
      </c>
      <c r="AA15" s="10">
        <v>105.25</v>
      </c>
      <c r="AB15" s="95">
        <v>2743400</v>
      </c>
      <c r="AC15" s="10">
        <v>105.25</v>
      </c>
      <c r="AD15" s="2">
        <f t="shared" si="0"/>
        <v>1.1700000000000017</v>
      </c>
      <c r="AE15" s="138">
        <f t="shared" si="1"/>
        <v>5.2531041069723283E-3</v>
      </c>
    </row>
    <row r="16" spans="1:31" x14ac:dyDescent="0.25">
      <c r="W16" s="133">
        <v>42747</v>
      </c>
      <c r="X16" s="10">
        <v>104.27</v>
      </c>
      <c r="Y16" s="10">
        <v>104.96</v>
      </c>
      <c r="Z16" s="10">
        <v>103.35</v>
      </c>
      <c r="AA16" s="10">
        <v>104.7</v>
      </c>
      <c r="AB16" s="95">
        <v>2395800</v>
      </c>
      <c r="AC16" s="10">
        <v>104.7</v>
      </c>
      <c r="AD16" s="2">
        <f t="shared" si="0"/>
        <v>1.6099999999999994</v>
      </c>
      <c r="AE16" s="138">
        <f t="shared" si="1"/>
        <v>4.1239090821905133E-3</v>
      </c>
    </row>
    <row r="17" spans="1:31" x14ac:dyDescent="0.25">
      <c r="W17" s="133">
        <v>42746</v>
      </c>
      <c r="X17" s="10">
        <v>103.35</v>
      </c>
      <c r="Y17" s="10">
        <v>104.83</v>
      </c>
      <c r="Z17" s="10">
        <v>103.03</v>
      </c>
      <c r="AA17" s="10">
        <v>104.27</v>
      </c>
      <c r="AB17" s="95">
        <v>2842100</v>
      </c>
      <c r="AC17" s="10">
        <v>104.27</v>
      </c>
      <c r="AD17" s="2">
        <f t="shared" si="0"/>
        <v>1.7999999999999972</v>
      </c>
      <c r="AE17" s="138">
        <f t="shared" si="1"/>
        <v>8.218913169599551E-3</v>
      </c>
    </row>
    <row r="18" spans="1:31" x14ac:dyDescent="0.25">
      <c r="A18" s="22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  <c r="W18" s="133">
        <v>42745</v>
      </c>
      <c r="X18" s="10">
        <v>102.56</v>
      </c>
      <c r="Y18" s="10">
        <v>104.24</v>
      </c>
      <c r="Z18" s="10">
        <v>101.91</v>
      </c>
      <c r="AA18" s="10">
        <v>103.42</v>
      </c>
      <c r="AB18" s="95">
        <v>3562700</v>
      </c>
      <c r="AC18" s="10">
        <v>103.42</v>
      </c>
      <c r="AD18" s="2">
        <f t="shared" si="0"/>
        <v>2.3299999999999983</v>
      </c>
      <c r="AE18" s="138">
        <f t="shared" si="1"/>
        <v>9.7637180238234755E-3</v>
      </c>
    </row>
    <row r="19" spans="1:31" x14ac:dyDescent="0.25">
      <c r="W19" s="133">
        <v>42744</v>
      </c>
      <c r="X19" s="10">
        <v>103.73</v>
      </c>
      <c r="Y19" s="10">
        <v>103.74</v>
      </c>
      <c r="Z19" s="10">
        <v>101.9</v>
      </c>
      <c r="AA19" s="10">
        <v>102.42</v>
      </c>
      <c r="AB19" s="95">
        <v>2968600</v>
      </c>
      <c r="AC19" s="10">
        <v>102.42</v>
      </c>
      <c r="AD19" s="2">
        <f t="shared" si="0"/>
        <v>1.8399999999999892</v>
      </c>
      <c r="AE19" s="138">
        <f t="shared" si="1"/>
        <v>-7.4619633685434339E-3</v>
      </c>
    </row>
    <row r="20" spans="1:31" x14ac:dyDescent="0.25">
      <c r="W20" s="133">
        <v>42741</v>
      </c>
      <c r="X20" s="10">
        <v>102.03</v>
      </c>
      <c r="Y20" s="10">
        <v>103.77</v>
      </c>
      <c r="Z20" s="10">
        <v>101.2</v>
      </c>
      <c r="AA20" s="10">
        <v>103.19</v>
      </c>
      <c r="AB20" s="95">
        <v>3862400</v>
      </c>
      <c r="AC20" s="10">
        <v>103.19</v>
      </c>
      <c r="AD20" s="2">
        <f t="shared" si="0"/>
        <v>2.5699999999999932</v>
      </c>
      <c r="AE20" s="138">
        <f t="shared" si="1"/>
        <v>1.0378928816214605E-2</v>
      </c>
    </row>
    <row r="21" spans="1:31" x14ac:dyDescent="0.25">
      <c r="W21" s="40">
        <v>42740</v>
      </c>
      <c r="X21" s="10">
        <v>103.03</v>
      </c>
      <c r="Y21" s="10">
        <v>103.36</v>
      </c>
      <c r="Z21" s="10">
        <v>101.22</v>
      </c>
      <c r="AA21" s="10">
        <v>102.13</v>
      </c>
      <c r="AB21" s="95">
        <v>4180400</v>
      </c>
      <c r="AC21" s="10">
        <v>102.13</v>
      </c>
      <c r="AD21" s="2">
        <f t="shared" si="0"/>
        <v>2.1400000000000006</v>
      </c>
      <c r="AE21" s="138">
        <f t="shared" si="1"/>
        <v>-9.7925150281171769E-3</v>
      </c>
    </row>
    <row r="22" spans="1:31" x14ac:dyDescent="0.25">
      <c r="W22" s="133">
        <v>42739</v>
      </c>
      <c r="X22" s="10">
        <v>102.89</v>
      </c>
      <c r="Y22" s="10">
        <v>104.31</v>
      </c>
      <c r="Z22" s="10">
        <v>102.51</v>
      </c>
      <c r="AA22" s="10">
        <v>103.14</v>
      </c>
      <c r="AB22" s="95">
        <v>3660200</v>
      </c>
      <c r="AC22" s="10">
        <v>103.14</v>
      </c>
      <c r="AD22" s="2">
        <f t="shared" si="0"/>
        <v>1.7999999999999972</v>
      </c>
      <c r="AE22" s="138">
        <f t="shared" si="1"/>
        <v>6.0476004682012974E-3</v>
      </c>
    </row>
    <row r="23" spans="1:31" x14ac:dyDescent="0.25">
      <c r="B23" s="191" t="s">
        <v>114</v>
      </c>
      <c r="C23" s="191" t="s">
        <v>147</v>
      </c>
      <c r="D23" s="192" t="s">
        <v>146</v>
      </c>
      <c r="E23" s="194" t="s">
        <v>148</v>
      </c>
      <c r="F23" s="194" t="s">
        <v>65</v>
      </c>
      <c r="G23" s="229" t="s">
        <v>152</v>
      </c>
      <c r="H23" s="229" t="s">
        <v>88</v>
      </c>
      <c r="I23" s="229" t="s">
        <v>155</v>
      </c>
      <c r="W23" s="133">
        <v>42738</v>
      </c>
      <c r="X23" s="10">
        <v>104.48</v>
      </c>
      <c r="Y23" s="10">
        <v>105.29</v>
      </c>
      <c r="Z23" s="10">
        <v>102.07</v>
      </c>
      <c r="AA23" s="10">
        <v>102.52</v>
      </c>
      <c r="AB23" s="95">
        <v>3822700</v>
      </c>
      <c r="AC23" s="10">
        <v>102.52</v>
      </c>
      <c r="AD23" s="2">
        <f t="shared" si="0"/>
        <v>3.2200000000000131</v>
      </c>
      <c r="AE23" s="138">
        <f t="shared" si="1"/>
        <v>-1.1188271604938405E-2</v>
      </c>
    </row>
    <row r="24" spans="1:31" x14ac:dyDescent="0.25">
      <c r="B24" s="193">
        <v>42374</v>
      </c>
      <c r="C24" s="10">
        <v>0</v>
      </c>
      <c r="D24" s="40">
        <v>0</v>
      </c>
      <c r="E24" s="40">
        <v>0</v>
      </c>
      <c r="F24" s="40">
        <v>62.13</v>
      </c>
      <c r="G24" s="40">
        <f>D24*C24</f>
        <v>0</v>
      </c>
      <c r="H24" s="231"/>
      <c r="I24" s="40"/>
      <c r="W24" s="133">
        <v>42734</v>
      </c>
      <c r="X24" s="10">
        <v>104.18</v>
      </c>
      <c r="Y24" s="10">
        <v>104.84</v>
      </c>
      <c r="Z24" s="10">
        <v>103.25</v>
      </c>
      <c r="AA24" s="10">
        <v>103.68</v>
      </c>
      <c r="AB24" s="95">
        <v>2913800</v>
      </c>
      <c r="AC24" s="10">
        <v>103.68</v>
      </c>
      <c r="AD24" s="2">
        <f t="shared" si="0"/>
        <v>1.5900000000000034</v>
      </c>
      <c r="AE24" s="138">
        <f t="shared" si="1"/>
        <v>-7.0867649875502314E-3</v>
      </c>
    </row>
    <row r="25" spans="1:31" x14ac:dyDescent="0.25">
      <c r="B25" s="193">
        <v>42375</v>
      </c>
      <c r="C25" s="10">
        <v>30</v>
      </c>
      <c r="D25" s="40">
        <v>72.379000000000005</v>
      </c>
      <c r="E25" s="40">
        <v>74.83</v>
      </c>
      <c r="F25" s="40">
        <v>73.53</v>
      </c>
      <c r="G25" s="40">
        <f>D25*C25</f>
        <v>2171.3700000000003</v>
      </c>
      <c r="H25" s="231">
        <f>IF(C25=0, 0, (E25-D25)/D25)</f>
        <v>3.3863413421019818E-2</v>
      </c>
      <c r="I25" s="40"/>
      <c r="W25" s="133">
        <v>42733</v>
      </c>
      <c r="X25" s="10">
        <v>104.88</v>
      </c>
      <c r="Y25" s="10">
        <v>105.25</v>
      </c>
      <c r="Z25" s="10">
        <v>103.99</v>
      </c>
      <c r="AA25" s="10">
        <v>104.42</v>
      </c>
      <c r="AB25" s="95">
        <v>2121200</v>
      </c>
      <c r="AC25" s="10">
        <v>104.42</v>
      </c>
      <c r="AD25" s="2">
        <f t="shared" si="0"/>
        <v>1.2600000000000051</v>
      </c>
      <c r="AE25" s="138">
        <f t="shared" si="1"/>
        <v>-3.2455135547919678E-3</v>
      </c>
    </row>
    <row r="26" spans="1:31" x14ac:dyDescent="0.25">
      <c r="B26" s="193">
        <v>42403</v>
      </c>
      <c r="C26" s="10">
        <v>30</v>
      </c>
      <c r="D26" s="40">
        <v>72.379000000000005</v>
      </c>
      <c r="E26" s="40">
        <v>72.260000000000005</v>
      </c>
      <c r="F26" s="40">
        <v>-3.57</v>
      </c>
      <c r="G26" s="40">
        <f>D26*C26</f>
        <v>2171.3700000000003</v>
      </c>
      <c r="H26" s="231">
        <f>IF(C26=0, 0, (E26-D26)/D26)</f>
        <v>-1.6441232954309919E-3</v>
      </c>
      <c r="I26" s="40"/>
      <c r="W26" s="133">
        <v>42732</v>
      </c>
      <c r="X26" s="10">
        <v>105.75</v>
      </c>
      <c r="Y26" s="10">
        <v>106.32</v>
      </c>
      <c r="Z26" s="10">
        <v>104.59</v>
      </c>
      <c r="AA26" s="10">
        <v>104.76</v>
      </c>
      <c r="AB26" s="95">
        <v>1766400</v>
      </c>
      <c r="AC26" s="10">
        <v>104.76</v>
      </c>
      <c r="AD26" s="2">
        <f t="shared" si="0"/>
        <v>1.7299999999999898</v>
      </c>
      <c r="AE26" s="138">
        <f t="shared" si="1"/>
        <v>-8.9868508182763263E-3</v>
      </c>
    </row>
    <row r="27" spans="1:31" x14ac:dyDescent="0.25">
      <c r="B27" s="193">
        <v>42409</v>
      </c>
      <c r="C27" s="10">
        <v>0</v>
      </c>
      <c r="D27" s="40">
        <v>0</v>
      </c>
      <c r="E27" s="40">
        <v>0</v>
      </c>
      <c r="F27" s="40">
        <v>128.09</v>
      </c>
      <c r="G27" s="40">
        <v>0</v>
      </c>
      <c r="H27" s="231"/>
      <c r="I27" s="40"/>
      <c r="W27" s="133">
        <v>42731</v>
      </c>
      <c r="X27" s="10">
        <v>105.51</v>
      </c>
      <c r="Y27" s="10">
        <v>105.93</v>
      </c>
      <c r="Z27" s="10">
        <v>105.21</v>
      </c>
      <c r="AA27" s="10">
        <v>105.71</v>
      </c>
      <c r="AB27" s="95">
        <v>1517500</v>
      </c>
      <c r="AC27" s="10">
        <v>105.71</v>
      </c>
      <c r="AD27" s="2">
        <f t="shared" si="0"/>
        <v>0.72000000000001307</v>
      </c>
      <c r="AE27" s="138">
        <f t="shared" si="1"/>
        <v>5.0389807948278964E-3</v>
      </c>
    </row>
    <row r="28" spans="1:31" x14ac:dyDescent="0.25">
      <c r="B28" s="193"/>
      <c r="C28" s="10"/>
      <c r="D28" s="40"/>
      <c r="E28" s="40"/>
      <c r="F28" s="40"/>
      <c r="G28" s="40"/>
      <c r="H28" s="231"/>
      <c r="I28" s="40"/>
      <c r="W28" s="133">
        <v>42727</v>
      </c>
      <c r="X28" s="10">
        <v>105.23</v>
      </c>
      <c r="Y28" s="10">
        <v>105.27</v>
      </c>
      <c r="Z28" s="10">
        <v>104.32</v>
      </c>
      <c r="AA28" s="10">
        <v>105.18</v>
      </c>
      <c r="AB28" s="95">
        <v>2146200</v>
      </c>
      <c r="AC28" s="10">
        <v>105.18</v>
      </c>
      <c r="AD28" s="2">
        <f t="shared" si="0"/>
        <v>0.95000000000000284</v>
      </c>
      <c r="AE28" s="138">
        <f t="shared" si="1"/>
        <v>-9.5066070919247458E-5</v>
      </c>
    </row>
    <row r="29" spans="1:31" x14ac:dyDescent="0.25">
      <c r="B29" s="193"/>
      <c r="C29" s="10"/>
      <c r="D29" s="40"/>
      <c r="E29" s="40"/>
      <c r="F29" s="40"/>
      <c r="G29" s="40"/>
      <c r="H29" s="231"/>
      <c r="I29" s="40"/>
      <c r="W29" s="133">
        <v>42726</v>
      </c>
      <c r="X29" s="10">
        <v>104.12</v>
      </c>
      <c r="Y29" s="10">
        <v>105.28</v>
      </c>
      <c r="Z29" s="10">
        <v>103.37</v>
      </c>
      <c r="AA29" s="10">
        <v>105.19</v>
      </c>
      <c r="AB29" s="95">
        <v>2994800</v>
      </c>
      <c r="AC29" s="10">
        <v>105.19</v>
      </c>
      <c r="AD29" s="2">
        <f t="shared" si="0"/>
        <v>1.9099999999999966</v>
      </c>
      <c r="AE29" s="138">
        <f t="shared" si="1"/>
        <v>5.1600573339702915E-3</v>
      </c>
    </row>
    <row r="30" spans="1:31" x14ac:dyDescent="0.25">
      <c r="B30" s="193"/>
      <c r="C30" s="10"/>
      <c r="D30" s="40"/>
      <c r="E30" s="40"/>
      <c r="F30" s="40"/>
      <c r="G30" s="40"/>
      <c r="H30" s="231"/>
      <c r="I30" s="40"/>
      <c r="W30" s="133">
        <v>42725</v>
      </c>
      <c r="X30" s="10">
        <v>104.7</v>
      </c>
      <c r="Y30" s="10">
        <v>105.55</v>
      </c>
      <c r="Z30" s="10">
        <v>104.05</v>
      </c>
      <c r="AA30" s="10">
        <v>104.65</v>
      </c>
      <c r="AB30" s="95">
        <v>2210900</v>
      </c>
      <c r="AC30" s="10">
        <v>104.65</v>
      </c>
      <c r="AD30" s="2">
        <f t="shared" si="0"/>
        <v>1.5</v>
      </c>
      <c r="AE30" s="138">
        <f t="shared" si="1"/>
        <v>0</v>
      </c>
    </row>
    <row r="31" spans="1:31" x14ac:dyDescent="0.25">
      <c r="W31" s="133">
        <v>42724</v>
      </c>
      <c r="X31" s="10">
        <v>103.81</v>
      </c>
      <c r="Y31" s="10">
        <v>104.77</v>
      </c>
      <c r="Z31" s="10">
        <v>103.54</v>
      </c>
      <c r="AA31" s="10">
        <v>104.65</v>
      </c>
      <c r="AB31" s="95">
        <v>3024000</v>
      </c>
      <c r="AC31" s="10">
        <v>104.65</v>
      </c>
      <c r="AD31" s="2">
        <f t="shared" si="0"/>
        <v>1.2299999999999898</v>
      </c>
      <c r="AE31" s="138">
        <f t="shared" si="1"/>
        <v>1.2088974854932211E-2</v>
      </c>
    </row>
    <row r="32" spans="1:31" x14ac:dyDescent="0.25">
      <c r="W32" s="133">
        <v>42723</v>
      </c>
      <c r="X32" s="10">
        <v>103.08</v>
      </c>
      <c r="Y32" s="10">
        <v>103.89</v>
      </c>
      <c r="Z32" s="10">
        <v>102.63</v>
      </c>
      <c r="AA32" s="10">
        <v>103.4</v>
      </c>
      <c r="AB32" s="95">
        <v>2849700</v>
      </c>
      <c r="AC32" s="10">
        <v>103.4</v>
      </c>
      <c r="AD32" s="2">
        <f t="shared" si="0"/>
        <v>1.2600000000000051</v>
      </c>
      <c r="AE32" s="138">
        <f t="shared" si="1"/>
        <v>8.7116445649026986E-4</v>
      </c>
    </row>
    <row r="33" spans="1:31" x14ac:dyDescent="0.25">
      <c r="W33" s="133">
        <v>42720</v>
      </c>
      <c r="X33" s="10">
        <v>104.74</v>
      </c>
      <c r="Y33" s="10">
        <v>104.97</v>
      </c>
      <c r="Z33" s="10">
        <v>103.05</v>
      </c>
      <c r="AA33" s="10">
        <v>103.31</v>
      </c>
      <c r="AB33" s="95">
        <v>6242800</v>
      </c>
      <c r="AC33" s="10">
        <v>103.31</v>
      </c>
      <c r="AD33" s="2">
        <f t="shared" si="0"/>
        <v>1.9200000000000017</v>
      </c>
      <c r="AE33" s="138">
        <f t="shared" si="1"/>
        <v>-1.3087504776461589E-2</v>
      </c>
    </row>
    <row r="34" spans="1:31" x14ac:dyDescent="0.25">
      <c r="L34" t="s">
        <v>213</v>
      </c>
      <c r="M34" s="2">
        <f>M49+K49-F49</f>
        <v>128.08999999999833</v>
      </c>
      <c r="W34" s="133">
        <v>42719</v>
      </c>
      <c r="X34" s="10">
        <v>102.98</v>
      </c>
      <c r="Y34" s="10">
        <v>104.94</v>
      </c>
      <c r="Z34" s="10">
        <v>102.51</v>
      </c>
      <c r="AA34" s="10">
        <v>104.68</v>
      </c>
      <c r="AB34" s="95">
        <v>4479800</v>
      </c>
      <c r="AC34" s="10">
        <v>104.68</v>
      </c>
      <c r="AD34" s="2">
        <f t="shared" si="0"/>
        <v>2.4299999999999926</v>
      </c>
      <c r="AE34" s="138">
        <f t="shared" si="1"/>
        <v>1.8089865784866932E-2</v>
      </c>
    </row>
    <row r="35" spans="1:31" x14ac:dyDescent="0.25">
      <c r="A35" s="263" t="s">
        <v>1</v>
      </c>
      <c r="B35" s="263" t="s">
        <v>2</v>
      </c>
      <c r="C35" s="263" t="s">
        <v>4</v>
      </c>
      <c r="D35" s="264" t="s">
        <v>5</v>
      </c>
      <c r="E35" s="264" t="s">
        <v>94</v>
      </c>
      <c r="F35" s="264" t="s">
        <v>60</v>
      </c>
      <c r="G35" s="263" t="s">
        <v>3</v>
      </c>
      <c r="H35" s="263" t="s">
        <v>6</v>
      </c>
      <c r="I35" s="264" t="s">
        <v>7</v>
      </c>
      <c r="J35" s="264" t="s">
        <v>95</v>
      </c>
      <c r="K35" s="264" t="s">
        <v>61</v>
      </c>
      <c r="L35" s="263" t="s">
        <v>37</v>
      </c>
      <c r="M35" s="263" t="s">
        <v>38</v>
      </c>
      <c r="W35" s="133">
        <v>42718</v>
      </c>
      <c r="X35" s="10">
        <v>104.25</v>
      </c>
      <c r="Y35" s="10">
        <v>104.83</v>
      </c>
      <c r="Z35" s="10">
        <v>102.67</v>
      </c>
      <c r="AA35" s="10">
        <v>102.82</v>
      </c>
      <c r="AB35" s="95">
        <v>3472200</v>
      </c>
      <c r="AC35" s="10">
        <v>102.82</v>
      </c>
      <c r="AD35" s="2">
        <f t="shared" si="0"/>
        <v>2.1599999999999966</v>
      </c>
      <c r="AE35" s="138">
        <f t="shared" si="1"/>
        <v>-1.1726259131103589E-2</v>
      </c>
    </row>
    <row r="36" spans="1:31" x14ac:dyDescent="0.25">
      <c r="A36" s="265" t="s">
        <v>42</v>
      </c>
      <c r="B36" s="266">
        <v>42184</v>
      </c>
      <c r="C36" s="261">
        <v>10</v>
      </c>
      <c r="D36" s="262">
        <v>99.05</v>
      </c>
      <c r="E36" s="262">
        <v>0</v>
      </c>
      <c r="F36" s="262">
        <f>C36*D36</f>
        <v>990.5</v>
      </c>
      <c r="G36" s="266">
        <v>42216</v>
      </c>
      <c r="H36" s="261">
        <v>40</v>
      </c>
      <c r="I36" s="262">
        <v>95.1</v>
      </c>
      <c r="J36" s="262">
        <v>7.0000000000000007E-2</v>
      </c>
      <c r="K36" s="262">
        <f>H36*I36-J36</f>
        <v>3803.93</v>
      </c>
      <c r="L36" s="266">
        <v>42277</v>
      </c>
      <c r="M36" s="262">
        <v>33</v>
      </c>
      <c r="W36" s="133">
        <v>42717</v>
      </c>
      <c r="X36" s="10">
        <v>104.59</v>
      </c>
      <c r="Y36" s="10">
        <v>104.74</v>
      </c>
      <c r="Z36" s="10">
        <v>103.12</v>
      </c>
      <c r="AA36" s="10">
        <v>104.04</v>
      </c>
      <c r="AB36" s="95">
        <v>4081800</v>
      </c>
      <c r="AC36" s="10">
        <v>104.04</v>
      </c>
      <c r="AD36" s="2">
        <f t="shared" si="0"/>
        <v>1.6199999999999903</v>
      </c>
      <c r="AE36" s="138">
        <f t="shared" si="1"/>
        <v>-2.6840490797545025E-3</v>
      </c>
    </row>
    <row r="37" spans="1:31" x14ac:dyDescent="0.25">
      <c r="A37" s="268" t="s">
        <v>71</v>
      </c>
      <c r="B37" s="266">
        <v>42184</v>
      </c>
      <c r="C37" s="261">
        <v>20</v>
      </c>
      <c r="D37" s="262">
        <v>99.5</v>
      </c>
      <c r="E37" s="262">
        <v>0</v>
      </c>
      <c r="F37" s="262">
        <f t="shared" ref="F37:F43" si="2">C37*D37</f>
        <v>1990</v>
      </c>
      <c r="G37" s="266">
        <v>42216</v>
      </c>
      <c r="H37" s="261">
        <v>20</v>
      </c>
      <c r="I37" s="262">
        <v>95.6</v>
      </c>
      <c r="J37" s="262">
        <v>0.04</v>
      </c>
      <c r="K37" s="262">
        <f>H37*I37-J37</f>
        <v>1911.96</v>
      </c>
      <c r="L37" s="261"/>
      <c r="M37" s="261"/>
      <c r="W37" s="133">
        <v>42716</v>
      </c>
      <c r="X37" s="10">
        <v>105.33</v>
      </c>
      <c r="Y37" s="10">
        <v>105.33</v>
      </c>
      <c r="Z37" s="10">
        <v>102.91</v>
      </c>
      <c r="AA37" s="10">
        <v>104.32</v>
      </c>
      <c r="AB37" s="95">
        <v>4135600</v>
      </c>
      <c r="AC37" s="10">
        <v>104.32</v>
      </c>
      <c r="AD37" s="2">
        <f t="shared" si="0"/>
        <v>2.4200000000000017</v>
      </c>
      <c r="AE37" s="138">
        <f t="shared" si="1"/>
        <v>-6.3815601485855966E-3</v>
      </c>
    </row>
    <row r="38" spans="1:31" x14ac:dyDescent="0.25">
      <c r="A38" s="261"/>
      <c r="B38" s="266">
        <v>42184</v>
      </c>
      <c r="C38" s="261">
        <v>10</v>
      </c>
      <c r="D38" s="262">
        <v>98.35</v>
      </c>
      <c r="E38" s="262">
        <v>0</v>
      </c>
      <c r="F38" s="262">
        <f t="shared" si="2"/>
        <v>983.5</v>
      </c>
      <c r="G38" s="266">
        <v>42304</v>
      </c>
      <c r="H38" s="261">
        <v>60</v>
      </c>
      <c r="I38" s="262">
        <v>97.2</v>
      </c>
      <c r="J38" s="262">
        <v>0.11</v>
      </c>
      <c r="K38" s="262">
        <f>H38*I38-J38</f>
        <v>5831.89</v>
      </c>
      <c r="L38" s="261"/>
      <c r="M38" s="261"/>
      <c r="W38" s="133">
        <v>42713</v>
      </c>
      <c r="X38" s="10">
        <v>104.89</v>
      </c>
      <c r="Y38" s="10">
        <v>105.48</v>
      </c>
      <c r="Z38" s="10">
        <v>104.03</v>
      </c>
      <c r="AA38" s="10">
        <v>104.99</v>
      </c>
      <c r="AB38" s="95">
        <v>4093400</v>
      </c>
      <c r="AC38" s="10">
        <v>104.99</v>
      </c>
      <c r="AD38" s="2">
        <f t="shared" si="0"/>
        <v>1.4500000000000028</v>
      </c>
      <c r="AE38" s="138">
        <f t="shared" si="1"/>
        <v>-3.6063395653412877E-3</v>
      </c>
    </row>
    <row r="39" spans="1:31" x14ac:dyDescent="0.25">
      <c r="A39" s="261"/>
      <c r="B39" s="266">
        <v>42184</v>
      </c>
      <c r="C39" s="261">
        <v>20</v>
      </c>
      <c r="D39" s="262">
        <v>98.1</v>
      </c>
      <c r="E39" s="262">
        <v>0</v>
      </c>
      <c r="F39" s="262">
        <f t="shared" si="2"/>
        <v>1962</v>
      </c>
      <c r="G39" s="266">
        <v>42409</v>
      </c>
      <c r="H39" s="261">
        <v>30</v>
      </c>
      <c r="I39" s="262">
        <v>76.650000000000006</v>
      </c>
      <c r="J39" s="262">
        <v>0.04</v>
      </c>
      <c r="K39" s="262">
        <f>H39*I39-J39</f>
        <v>2299.46</v>
      </c>
      <c r="L39" s="261"/>
      <c r="M39" s="261"/>
      <c r="W39" s="133">
        <v>42712</v>
      </c>
      <c r="X39" s="10">
        <v>106.32</v>
      </c>
      <c r="Y39" s="10">
        <v>106.62</v>
      </c>
      <c r="Z39" s="10">
        <v>104.74</v>
      </c>
      <c r="AA39" s="10">
        <v>105.37</v>
      </c>
      <c r="AB39" s="95">
        <v>3850300</v>
      </c>
      <c r="AC39" s="10">
        <v>105.37</v>
      </c>
      <c r="AD39" s="2">
        <f t="shared" si="0"/>
        <v>1.8800000000000097</v>
      </c>
      <c r="AE39" s="138">
        <f t="shared" si="1"/>
        <v>-9.0284961911031303E-3</v>
      </c>
    </row>
    <row r="40" spans="1:31" x14ac:dyDescent="0.25">
      <c r="A40" s="261"/>
      <c r="B40" s="266">
        <v>42213</v>
      </c>
      <c r="C40" s="261">
        <v>10</v>
      </c>
      <c r="D40" s="262">
        <v>92.5</v>
      </c>
      <c r="E40" s="262">
        <v>0</v>
      </c>
      <c r="F40" s="262">
        <f t="shared" si="2"/>
        <v>925</v>
      </c>
      <c r="G40" s="261"/>
      <c r="H40" s="261"/>
      <c r="I40" s="262"/>
      <c r="J40" s="262"/>
      <c r="K40" s="262"/>
      <c r="L40" s="261"/>
      <c r="M40" s="261"/>
      <c r="W40" s="133">
        <v>42711</v>
      </c>
      <c r="X40" s="10">
        <v>103.49</v>
      </c>
      <c r="Y40" s="10">
        <v>106.5</v>
      </c>
      <c r="Z40" s="10">
        <v>102.72</v>
      </c>
      <c r="AA40" s="10">
        <v>106.33</v>
      </c>
      <c r="AB40" s="95">
        <v>4892500</v>
      </c>
      <c r="AC40" s="10">
        <v>106.33</v>
      </c>
      <c r="AD40" s="2">
        <f t="shared" si="0"/>
        <v>3.7800000000000011</v>
      </c>
      <c r="AE40" s="138">
        <f t="shared" si="1"/>
        <v>3.0828889966068695E-2</v>
      </c>
    </row>
    <row r="41" spans="1:31" x14ac:dyDescent="0.25">
      <c r="A41" s="261"/>
      <c r="B41" s="266">
        <v>42213</v>
      </c>
      <c r="C41" s="261">
        <v>10</v>
      </c>
      <c r="D41" s="262">
        <v>91.65</v>
      </c>
      <c r="E41" s="262">
        <v>0</v>
      </c>
      <c r="F41" s="262">
        <f t="shared" si="2"/>
        <v>916.5</v>
      </c>
      <c r="G41" s="261"/>
      <c r="H41" s="261"/>
      <c r="I41" s="262"/>
      <c r="J41" s="262"/>
      <c r="K41" s="262"/>
      <c r="L41" s="261"/>
      <c r="M41" s="261"/>
      <c r="W41" s="133">
        <v>42710</v>
      </c>
      <c r="X41" s="10">
        <v>103</v>
      </c>
      <c r="Y41" s="10">
        <v>103.31</v>
      </c>
      <c r="Z41" s="10">
        <v>102.3</v>
      </c>
      <c r="AA41" s="10">
        <v>103.15</v>
      </c>
      <c r="AB41" s="95">
        <v>3187400</v>
      </c>
      <c r="AC41" s="10">
        <v>103.15</v>
      </c>
      <c r="AD41" s="2">
        <f t="shared" si="0"/>
        <v>1.0100000000000051</v>
      </c>
      <c r="AE41" s="138">
        <f t="shared" si="1"/>
        <v>3.0143912874367462E-3</v>
      </c>
    </row>
    <row r="42" spans="1:31" ht="20.25" thickBot="1" x14ac:dyDescent="0.35">
      <c r="A42" s="261"/>
      <c r="B42" s="266">
        <v>42213</v>
      </c>
      <c r="C42" s="261">
        <v>15</v>
      </c>
      <c r="D42" s="262">
        <v>94</v>
      </c>
      <c r="E42" s="262">
        <v>0</v>
      </c>
      <c r="F42" s="262">
        <f t="shared" si="2"/>
        <v>1410</v>
      </c>
      <c r="G42" s="261"/>
      <c r="H42" s="261"/>
      <c r="I42" s="262"/>
      <c r="J42" s="262"/>
      <c r="K42" s="262"/>
      <c r="L42" s="261"/>
      <c r="M42" s="261"/>
      <c r="T42" s="91" t="s">
        <v>113</v>
      </c>
      <c r="W42" s="133">
        <v>42709</v>
      </c>
      <c r="X42" s="10">
        <v>103.32</v>
      </c>
      <c r="Y42" s="10">
        <v>103.75</v>
      </c>
      <c r="Z42" s="10">
        <v>102.81</v>
      </c>
      <c r="AA42" s="10">
        <v>102.84</v>
      </c>
      <c r="AB42" s="95">
        <v>3437700</v>
      </c>
      <c r="AC42" s="10">
        <v>102.84</v>
      </c>
      <c r="AD42" s="2">
        <f t="shared" si="0"/>
        <v>0.93999999999999773</v>
      </c>
      <c r="AE42" s="138">
        <f t="shared" si="1"/>
        <v>1.8509498295178339E-3</v>
      </c>
    </row>
    <row r="43" spans="1:31" ht="15.75" thickTop="1" x14ac:dyDescent="0.25">
      <c r="A43" s="261"/>
      <c r="B43" s="266">
        <v>42213</v>
      </c>
      <c r="C43" s="261">
        <v>15</v>
      </c>
      <c r="D43" s="262">
        <v>92.75</v>
      </c>
      <c r="E43" s="262">
        <v>0</v>
      </c>
      <c r="F43" s="262">
        <f t="shared" si="2"/>
        <v>1391.25</v>
      </c>
      <c r="G43" s="261"/>
      <c r="H43" s="261"/>
      <c r="I43" s="262"/>
      <c r="J43" s="262"/>
      <c r="K43" s="262"/>
      <c r="L43" s="261"/>
      <c r="M43" s="261"/>
      <c r="T43" s="97" t="s">
        <v>98</v>
      </c>
      <c r="U43" s="129">
        <v>119.93</v>
      </c>
      <c r="W43" s="133">
        <v>42706</v>
      </c>
      <c r="X43" s="10">
        <v>103.38</v>
      </c>
      <c r="Y43" s="10">
        <v>103.6</v>
      </c>
      <c r="Z43" s="10">
        <v>102.02</v>
      </c>
      <c r="AA43" s="10">
        <v>102.65</v>
      </c>
      <c r="AB43" s="95">
        <v>3510100</v>
      </c>
      <c r="AC43" s="10">
        <v>102.65</v>
      </c>
      <c r="AD43" s="2">
        <f t="shared" si="0"/>
        <v>1.5799999999999983</v>
      </c>
      <c r="AE43" s="138">
        <f t="shared" si="1"/>
        <v>-7.1573653157944728E-3</v>
      </c>
    </row>
    <row r="44" spans="1:31" x14ac:dyDescent="0.25">
      <c r="A44" s="261"/>
      <c r="B44" s="266">
        <v>42226</v>
      </c>
      <c r="C44" s="261">
        <v>10</v>
      </c>
      <c r="D44" s="262">
        <v>94.99</v>
      </c>
      <c r="E44" s="262">
        <v>0</v>
      </c>
      <c r="F44" s="262">
        <f>C44*D44</f>
        <v>949.9</v>
      </c>
      <c r="G44" s="261"/>
      <c r="H44" s="261"/>
      <c r="I44" s="262"/>
      <c r="J44" s="262"/>
      <c r="K44" s="262"/>
      <c r="L44" s="261"/>
      <c r="M44" s="261"/>
      <c r="T44" s="87" t="s">
        <v>99</v>
      </c>
      <c r="U44" s="130">
        <v>119.12</v>
      </c>
      <c r="W44" s="133">
        <v>42705</v>
      </c>
      <c r="X44" s="10">
        <v>101.84</v>
      </c>
      <c r="Y44" s="10">
        <v>103.96</v>
      </c>
      <c r="Z44" s="10">
        <v>101.61</v>
      </c>
      <c r="AA44" s="10">
        <v>103.39</v>
      </c>
      <c r="AB44" s="95">
        <v>4730600</v>
      </c>
      <c r="AC44" s="10">
        <v>103.39</v>
      </c>
      <c r="AD44" s="2">
        <f t="shared" si="0"/>
        <v>2.3499999999999943</v>
      </c>
      <c r="AE44" s="138">
        <f t="shared" si="1"/>
        <v>2.0329616105792869E-2</v>
      </c>
    </row>
    <row r="45" spans="1:31" x14ac:dyDescent="0.25">
      <c r="A45" s="261"/>
      <c r="B45" s="266">
        <v>42375</v>
      </c>
      <c r="C45" s="261">
        <v>30</v>
      </c>
      <c r="D45" s="262">
        <v>74.45</v>
      </c>
      <c r="E45" s="262">
        <v>0</v>
      </c>
      <c r="F45" s="262">
        <f>C45*D45</f>
        <v>2233.5</v>
      </c>
      <c r="G45" s="261"/>
      <c r="H45" s="261"/>
      <c r="I45" s="262"/>
      <c r="J45" s="262"/>
      <c r="K45" s="262"/>
      <c r="L45" s="261"/>
      <c r="M45" s="261"/>
      <c r="T45" s="87" t="s">
        <v>100</v>
      </c>
      <c r="U45" s="130" t="s">
        <v>129</v>
      </c>
      <c r="W45" s="133">
        <v>42704</v>
      </c>
      <c r="X45" s="10">
        <v>101.36</v>
      </c>
      <c r="Y45" s="10">
        <v>102.73</v>
      </c>
      <c r="Z45" s="10">
        <v>101.26</v>
      </c>
      <c r="AA45" s="10">
        <v>101.33</v>
      </c>
      <c r="AB45" s="95">
        <v>6140900</v>
      </c>
      <c r="AC45" s="10">
        <v>101.33</v>
      </c>
      <c r="AD45" s="2">
        <f t="shared" si="0"/>
        <v>1.4699999999999989</v>
      </c>
      <c r="AE45" s="138">
        <f t="shared" si="1"/>
        <v>7.5569255245102607E-3</v>
      </c>
    </row>
    <row r="46" spans="1:31" ht="20.25" thickBot="1" x14ac:dyDescent="0.35">
      <c r="A46" s="261"/>
      <c r="B46" s="261"/>
      <c r="C46" s="261"/>
      <c r="D46" s="262"/>
      <c r="E46" s="262"/>
      <c r="F46" s="262"/>
      <c r="G46" s="261"/>
      <c r="H46" s="261"/>
      <c r="I46" s="262"/>
      <c r="J46" s="262"/>
      <c r="K46" s="262"/>
      <c r="L46" s="261"/>
      <c r="M46" s="261"/>
      <c r="O46" s="638" t="s">
        <v>78</v>
      </c>
      <c r="P46" s="638"/>
      <c r="Q46" s="34"/>
      <c r="R46"/>
      <c r="T46" s="87" t="s">
        <v>101</v>
      </c>
      <c r="U46" s="130" t="s">
        <v>129</v>
      </c>
      <c r="W46" s="133">
        <v>42703</v>
      </c>
      <c r="X46" s="10">
        <v>100.53</v>
      </c>
      <c r="Y46" s="10">
        <v>101.05</v>
      </c>
      <c r="Z46" s="10">
        <v>100.1</v>
      </c>
      <c r="AA46" s="10">
        <v>100.57</v>
      </c>
      <c r="AB46" s="95">
        <v>2936700</v>
      </c>
      <c r="AC46" s="10">
        <v>100.57</v>
      </c>
      <c r="AD46" s="2">
        <f t="shared" si="0"/>
        <v>0.95000000000000284</v>
      </c>
      <c r="AE46" s="138">
        <f t="shared" si="1"/>
        <v>-1.1917767404906465E-3</v>
      </c>
    </row>
    <row r="47" spans="1:31" ht="15.75" thickTop="1" x14ac:dyDescent="0.25">
      <c r="A47" s="261"/>
      <c r="B47" s="261"/>
      <c r="C47" s="261"/>
      <c r="D47" s="262"/>
      <c r="E47" s="262"/>
      <c r="F47" s="262"/>
      <c r="G47" s="261"/>
      <c r="H47" s="261"/>
      <c r="I47" s="262"/>
      <c r="J47" s="262"/>
      <c r="K47" s="262"/>
      <c r="L47" s="261"/>
      <c r="M47" s="261"/>
      <c r="O47" s="83">
        <v>1.1000000000000001</v>
      </c>
      <c r="P47" s="83">
        <f>O47*$Q$4</f>
        <v>119.36100000000002</v>
      </c>
      <c r="Q47" s="34"/>
      <c r="R47"/>
      <c r="T47" s="87" t="s">
        <v>102</v>
      </c>
      <c r="U47" s="130">
        <v>118.04</v>
      </c>
      <c r="W47" s="133">
        <v>42702</v>
      </c>
      <c r="X47" s="10">
        <v>101.32</v>
      </c>
      <c r="Y47" s="10">
        <v>101.39</v>
      </c>
      <c r="Z47" s="10">
        <v>100.43</v>
      </c>
      <c r="AA47" s="10">
        <v>100.69</v>
      </c>
      <c r="AB47" s="95">
        <v>3497500</v>
      </c>
      <c r="AC47" s="10">
        <v>100.69</v>
      </c>
      <c r="AD47" s="2">
        <f t="shared" si="0"/>
        <v>0.95999999999999375</v>
      </c>
      <c r="AE47" s="138" t="e">
        <f t="shared" si="1"/>
        <v>#DIV/0!</v>
      </c>
    </row>
    <row r="48" spans="1:31" x14ac:dyDescent="0.25">
      <c r="A48" s="261"/>
      <c r="B48" s="261"/>
      <c r="C48" s="261"/>
      <c r="D48" s="262"/>
      <c r="E48" s="262"/>
      <c r="F48" s="262"/>
      <c r="G48" s="261"/>
      <c r="H48" s="261"/>
      <c r="I48" s="262"/>
      <c r="J48" s="262"/>
      <c r="K48" s="262"/>
      <c r="L48" s="261"/>
      <c r="M48" s="261"/>
      <c r="O48" s="83">
        <v>1.0900000000000001</v>
      </c>
      <c r="P48" s="83">
        <f t="shared" ref="P48:P67" si="3">O48*$Q$4</f>
        <v>118.27590000000002</v>
      </c>
      <c r="Q48" s="34"/>
      <c r="R48"/>
      <c r="T48" s="87" t="s">
        <v>103</v>
      </c>
      <c r="U48" s="130">
        <v>1.3261700000000001</v>
      </c>
      <c r="W48" s="133">
        <v>42702</v>
      </c>
      <c r="X48" s="10" t="s">
        <v>343</v>
      </c>
      <c r="Y48" s="10"/>
      <c r="Z48" s="10"/>
      <c r="AA48" s="10"/>
      <c r="AB48" s="95"/>
      <c r="AC48" s="10"/>
      <c r="AD48" s="2">
        <f t="shared" si="0"/>
        <v>0</v>
      </c>
      <c r="AE48" s="138">
        <f t="shared" si="1"/>
        <v>-1</v>
      </c>
    </row>
    <row r="49" spans="1:31" x14ac:dyDescent="0.25">
      <c r="A49" s="32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3">
        <v>1.08</v>
      </c>
      <c r="P49" s="83">
        <f t="shared" si="3"/>
        <v>117.19080000000001</v>
      </c>
      <c r="Q49" s="34"/>
      <c r="R49"/>
      <c r="T49" s="87" t="s">
        <v>122</v>
      </c>
      <c r="U49" s="94" t="s">
        <v>473</v>
      </c>
      <c r="W49" s="133">
        <v>42699</v>
      </c>
      <c r="X49" s="10">
        <v>101.45</v>
      </c>
      <c r="Y49" s="10">
        <v>102.16</v>
      </c>
      <c r="Z49" s="10">
        <v>101.13</v>
      </c>
      <c r="AA49" s="10">
        <v>102.1</v>
      </c>
      <c r="AB49" s="95">
        <v>1680900</v>
      </c>
      <c r="AC49" s="10">
        <v>101.5</v>
      </c>
      <c r="AD49" s="2">
        <f t="shared" si="0"/>
        <v>1.0300000000000011</v>
      </c>
      <c r="AE49" s="138">
        <f t="shared" si="1"/>
        <v>7.044349637860936E-3</v>
      </c>
    </row>
    <row r="50" spans="1:31" x14ac:dyDescent="0.25">
      <c r="A50" s="261"/>
      <c r="B50" s="261"/>
      <c r="C50" s="261"/>
      <c r="D50" s="262"/>
      <c r="E50" s="262"/>
      <c r="F50" s="262"/>
      <c r="G50" s="261"/>
      <c r="H50" s="261"/>
      <c r="I50" s="262"/>
      <c r="J50" s="262"/>
      <c r="K50" s="262"/>
      <c r="L50" s="261"/>
      <c r="M50" s="261"/>
      <c r="O50" s="83">
        <v>1.07</v>
      </c>
      <c r="P50" s="83">
        <f t="shared" si="3"/>
        <v>116.10570000000001</v>
      </c>
      <c r="Q50" s="83"/>
      <c r="R50"/>
      <c r="T50" s="87"/>
      <c r="U50" s="130"/>
      <c r="W50" s="133">
        <v>42697</v>
      </c>
      <c r="X50" s="10">
        <v>100.71</v>
      </c>
      <c r="Y50" s="10">
        <v>101.7</v>
      </c>
      <c r="Z50" s="10">
        <v>100.66</v>
      </c>
      <c r="AA50" s="10">
        <v>101.39</v>
      </c>
      <c r="AB50" s="95">
        <v>3154300</v>
      </c>
      <c r="AC50" s="10">
        <v>100.79</v>
      </c>
      <c r="AD50" s="2">
        <f t="shared" si="0"/>
        <v>1.0400000000000063</v>
      </c>
      <c r="AE50" s="138">
        <f t="shared" si="1"/>
        <v>9.009910901992324E-3</v>
      </c>
    </row>
    <row r="51" spans="1:31" x14ac:dyDescent="0.25">
      <c r="O51" s="83">
        <v>1.06</v>
      </c>
      <c r="P51" s="83">
        <f t="shared" si="3"/>
        <v>115.02060000000002</v>
      </c>
      <c r="Q51" s="83"/>
      <c r="R51"/>
      <c r="T51" s="87" t="s">
        <v>105</v>
      </c>
      <c r="U51" s="130" t="s">
        <v>604</v>
      </c>
      <c r="W51" s="133">
        <v>42696</v>
      </c>
      <c r="X51" s="10">
        <v>101.1</v>
      </c>
      <c r="Y51" s="10">
        <v>101.22</v>
      </c>
      <c r="Z51" s="10">
        <v>100.39</v>
      </c>
      <c r="AA51" s="10">
        <v>100.49</v>
      </c>
      <c r="AB51" s="95">
        <v>3350900</v>
      </c>
      <c r="AC51" s="10">
        <v>99.89</v>
      </c>
      <c r="AD51" s="2">
        <f t="shared" si="0"/>
        <v>0.82999999999999829</v>
      </c>
      <c r="AE51" s="138">
        <f t="shared" si="1"/>
        <v>-2.5961058412381499E-3</v>
      </c>
    </row>
    <row r="52" spans="1:31" x14ac:dyDescent="0.25">
      <c r="O52" s="83">
        <v>1.05</v>
      </c>
      <c r="P52" s="83">
        <f t="shared" si="3"/>
        <v>113.9355</v>
      </c>
      <c r="Q52" s="83"/>
      <c r="R52"/>
      <c r="T52" s="87" t="s">
        <v>106</v>
      </c>
      <c r="U52" s="130" t="s">
        <v>605</v>
      </c>
      <c r="W52" s="133">
        <v>42695</v>
      </c>
      <c r="X52" s="10">
        <v>100.1</v>
      </c>
      <c r="Y52" s="10">
        <v>101.63</v>
      </c>
      <c r="Z52" s="10">
        <v>100</v>
      </c>
      <c r="AA52" s="10">
        <v>100.75</v>
      </c>
      <c r="AB52" s="95">
        <v>3385300</v>
      </c>
      <c r="AC52" s="10">
        <v>100.15</v>
      </c>
      <c r="AD52" s="2">
        <f t="shared" si="0"/>
        <v>1.6299999999999955</v>
      </c>
      <c r="AE52" s="138">
        <f t="shared" si="1"/>
        <v>9.1696896412738482E-3</v>
      </c>
    </row>
    <row r="53" spans="1:31" x14ac:dyDescent="0.25">
      <c r="O53" s="83">
        <v>1.04</v>
      </c>
      <c r="P53" s="83">
        <f t="shared" si="3"/>
        <v>112.85040000000001</v>
      </c>
      <c r="Q53" s="83"/>
      <c r="R53"/>
      <c r="T53" s="87" t="s">
        <v>107</v>
      </c>
      <c r="U53" s="131">
        <v>2305295</v>
      </c>
      <c r="W53" s="133">
        <v>42692</v>
      </c>
      <c r="X53" s="10">
        <v>98.93</v>
      </c>
      <c r="Y53" s="10">
        <v>100</v>
      </c>
      <c r="Z53" s="10">
        <v>98.6</v>
      </c>
      <c r="AA53" s="10">
        <v>99.83</v>
      </c>
      <c r="AB53" s="95">
        <v>3653400</v>
      </c>
      <c r="AC53" s="10">
        <v>99.24</v>
      </c>
      <c r="AD53" s="2">
        <f t="shared" si="0"/>
        <v>1.4000000000000057</v>
      </c>
      <c r="AE53" s="138">
        <f t="shared" si="1"/>
        <v>1.0384850335980467E-2</v>
      </c>
    </row>
    <row r="54" spans="1:31" x14ac:dyDescent="0.25">
      <c r="O54" s="83">
        <v>1.03</v>
      </c>
      <c r="P54" s="83">
        <f t="shared" si="3"/>
        <v>111.76530000000001</v>
      </c>
      <c r="Q54" s="83"/>
      <c r="R54"/>
      <c r="T54" s="87" t="s">
        <v>110</v>
      </c>
      <c r="U54" s="131">
        <v>2124900</v>
      </c>
      <c r="W54" s="133">
        <v>42691</v>
      </c>
      <c r="X54" s="10">
        <v>97.72</v>
      </c>
      <c r="Y54" s="10">
        <v>98.94</v>
      </c>
      <c r="Z54" s="10">
        <v>97.48</v>
      </c>
      <c r="AA54" s="10">
        <v>98.81</v>
      </c>
      <c r="AB54" s="95">
        <v>4379500</v>
      </c>
      <c r="AC54" s="10">
        <v>98.22</v>
      </c>
      <c r="AD54" s="2">
        <f t="shared" si="0"/>
        <v>1.4599999999999937</v>
      </c>
      <c r="AE54" s="138">
        <f t="shared" si="1"/>
        <v>8.1083855075438915E-3</v>
      </c>
    </row>
    <row r="55" spans="1:31" x14ac:dyDescent="0.25">
      <c r="O55" s="83">
        <v>1.02</v>
      </c>
      <c r="P55" s="83">
        <f t="shared" si="3"/>
        <v>110.68020000000001</v>
      </c>
      <c r="Q55" s="83"/>
      <c r="R55"/>
      <c r="T55" s="87" t="s">
        <v>108</v>
      </c>
      <c r="U55" s="130" t="s">
        <v>606</v>
      </c>
      <c r="W55" s="133">
        <v>42690</v>
      </c>
      <c r="X55" s="10">
        <v>98.38</v>
      </c>
      <c r="Y55" s="10">
        <v>99.06</v>
      </c>
      <c r="Z55" s="10">
        <v>97.72</v>
      </c>
      <c r="AA55" s="10">
        <v>98.01</v>
      </c>
      <c r="AB55" s="95">
        <v>2866100</v>
      </c>
      <c r="AC55" s="10">
        <v>97.43</v>
      </c>
      <c r="AD55" s="2">
        <f t="shared" si="0"/>
        <v>1.3400000000000034</v>
      </c>
      <c r="AE55" s="138">
        <f t="shared" si="1"/>
        <v>-1.106374340235472E-2</v>
      </c>
    </row>
    <row r="56" spans="1:31" x14ac:dyDescent="0.25">
      <c r="O56" s="83">
        <v>1.01</v>
      </c>
      <c r="P56" s="83">
        <f t="shared" si="3"/>
        <v>109.5951</v>
      </c>
      <c r="Q56" s="83"/>
      <c r="R56"/>
      <c r="T56" s="87" t="s">
        <v>111</v>
      </c>
      <c r="U56" s="130">
        <v>21.26</v>
      </c>
      <c r="W56" s="133">
        <v>42689</v>
      </c>
      <c r="X56" s="10">
        <v>99.18</v>
      </c>
      <c r="Y56" s="10">
        <v>99.54</v>
      </c>
      <c r="Z56" s="10">
        <v>97.92</v>
      </c>
      <c r="AA56" s="10">
        <v>99.11</v>
      </c>
      <c r="AB56" s="95">
        <v>4263200</v>
      </c>
      <c r="AC56" s="10">
        <v>98.52</v>
      </c>
      <c r="AD56" s="2">
        <f t="shared" si="0"/>
        <v>1.6200000000000045</v>
      </c>
      <c r="AE56" s="138">
        <f t="shared" si="1"/>
        <v>-3.2375556454877774E-3</v>
      </c>
    </row>
    <row r="57" spans="1:31" x14ac:dyDescent="0.25">
      <c r="O57" s="83">
        <v>1</v>
      </c>
      <c r="P57" s="83">
        <f t="shared" si="3"/>
        <v>108.51</v>
      </c>
      <c r="Q57" s="83"/>
      <c r="R57"/>
      <c r="T57" s="87" t="s">
        <v>112</v>
      </c>
      <c r="U57" s="130">
        <v>5.62</v>
      </c>
      <c r="W57" s="133">
        <v>42688</v>
      </c>
      <c r="X57" s="10">
        <v>97.52</v>
      </c>
      <c r="Y57" s="10">
        <v>100.63</v>
      </c>
      <c r="Z57" s="10">
        <v>97.51</v>
      </c>
      <c r="AA57" s="10">
        <v>99.43</v>
      </c>
      <c r="AB57" s="95">
        <v>6617000</v>
      </c>
      <c r="AC57" s="10">
        <v>98.84</v>
      </c>
      <c r="AD57" s="2">
        <f t="shared" si="0"/>
        <v>3.1199999999999903</v>
      </c>
      <c r="AE57" s="138">
        <f t="shared" si="1"/>
        <v>2.6269338594123059E-2</v>
      </c>
    </row>
    <row r="58" spans="1:31" x14ac:dyDescent="0.25">
      <c r="O58" s="83">
        <v>0.99</v>
      </c>
      <c r="P58" s="83">
        <f t="shared" si="3"/>
        <v>107.42490000000001</v>
      </c>
      <c r="Q58" s="83"/>
      <c r="R58"/>
      <c r="T58" s="87" t="s">
        <v>109</v>
      </c>
      <c r="U58" s="130" t="s">
        <v>607</v>
      </c>
      <c r="W58" s="133">
        <v>42685</v>
      </c>
      <c r="X58" s="10">
        <v>97.05</v>
      </c>
      <c r="Y58" s="10">
        <v>97.7</v>
      </c>
      <c r="Z58" s="10">
        <v>95.67</v>
      </c>
      <c r="AA58" s="10">
        <v>96.88</v>
      </c>
      <c r="AB58" s="95">
        <v>6664200</v>
      </c>
      <c r="AC58" s="10">
        <v>96.31</v>
      </c>
      <c r="AD58" s="2">
        <f t="shared" si="0"/>
        <v>2.0300000000000011</v>
      </c>
      <c r="AE58" s="138">
        <f t="shared" si="1"/>
        <v>-6.1913115261582607E-3</v>
      </c>
    </row>
    <row r="59" spans="1:31" x14ac:dyDescent="0.25">
      <c r="O59" s="83">
        <v>0.98</v>
      </c>
      <c r="P59" s="83">
        <f t="shared" si="3"/>
        <v>106.3398</v>
      </c>
      <c r="Q59" s="83"/>
      <c r="R59"/>
      <c r="W59" s="133">
        <v>42684</v>
      </c>
      <c r="X59" s="10">
        <v>95.13</v>
      </c>
      <c r="Y59" s="10">
        <v>98.79</v>
      </c>
      <c r="Z59" s="10">
        <v>95.03</v>
      </c>
      <c r="AA59" s="10">
        <v>97.49</v>
      </c>
      <c r="AB59" s="95">
        <v>8952900</v>
      </c>
      <c r="AC59" s="10">
        <v>96.91</v>
      </c>
      <c r="AD59" s="2">
        <f t="shared" si="0"/>
        <v>3.7600000000000051</v>
      </c>
      <c r="AE59" s="138">
        <f t="shared" si="1"/>
        <v>3.7691401648998868E-2</v>
      </c>
    </row>
    <row r="60" spans="1:31" x14ac:dyDescent="0.25">
      <c r="O60" s="83">
        <v>0.97</v>
      </c>
      <c r="P60" s="83">
        <f t="shared" si="3"/>
        <v>105.2547</v>
      </c>
      <c r="Q60" s="83"/>
      <c r="R60"/>
      <c r="W60" s="133">
        <v>42683</v>
      </c>
      <c r="X60" s="10">
        <v>87.88</v>
      </c>
      <c r="Y60" s="10">
        <v>94.96</v>
      </c>
      <c r="Z60" s="10">
        <v>87.88</v>
      </c>
      <c r="AA60" s="10">
        <v>93.95</v>
      </c>
      <c r="AB60" s="95">
        <v>9655200</v>
      </c>
      <c r="AC60" s="10">
        <v>93.39</v>
      </c>
      <c r="AD60" s="2">
        <f t="shared" si="0"/>
        <v>7.0799999999999983</v>
      </c>
      <c r="AE60" s="138">
        <f t="shared" si="1"/>
        <v>3.6975349766822152E-2</v>
      </c>
    </row>
    <row r="61" spans="1:31" x14ac:dyDescent="0.25">
      <c r="O61" s="83">
        <v>0.96</v>
      </c>
      <c r="P61" s="83">
        <f t="shared" si="3"/>
        <v>104.1696</v>
      </c>
      <c r="Q61" s="83"/>
      <c r="R61"/>
      <c r="W61" s="133">
        <v>42682</v>
      </c>
      <c r="X61" s="10">
        <v>90.79</v>
      </c>
      <c r="Y61" s="10">
        <v>90.96</v>
      </c>
      <c r="Z61" s="10">
        <v>89.72</v>
      </c>
      <c r="AA61" s="10">
        <v>90.6</v>
      </c>
      <c r="AB61" s="95">
        <v>4268500</v>
      </c>
      <c r="AC61" s="10">
        <v>90.06</v>
      </c>
      <c r="AD61" s="2">
        <f t="shared" si="0"/>
        <v>1.2399999999999949</v>
      </c>
      <c r="AE61" s="138">
        <f t="shared" si="1"/>
        <v>-1.6627868307281801E-3</v>
      </c>
    </row>
    <row r="62" spans="1:31" x14ac:dyDescent="0.25">
      <c r="O62" s="83">
        <v>0.95</v>
      </c>
      <c r="P62" s="83">
        <f t="shared" si="3"/>
        <v>103.08450000000001</v>
      </c>
      <c r="Q62" s="83"/>
      <c r="R62"/>
      <c r="W62" s="133">
        <v>42681</v>
      </c>
      <c r="X62" s="10">
        <v>90</v>
      </c>
      <c r="Y62" s="10">
        <v>90.88</v>
      </c>
      <c r="Z62" s="10">
        <v>89.85</v>
      </c>
      <c r="AA62" s="10">
        <v>90.75</v>
      </c>
      <c r="AB62" s="95">
        <v>4556500</v>
      </c>
      <c r="AC62" s="10">
        <v>90.21</v>
      </c>
      <c r="AD62" s="2">
        <f t="shared" si="0"/>
        <v>1.0300000000000011</v>
      </c>
      <c r="AE62" s="138">
        <f t="shared" si="1"/>
        <v>2.244134648078866E-2</v>
      </c>
    </row>
    <row r="63" spans="1:31" x14ac:dyDescent="0.25">
      <c r="O63" s="83">
        <v>0.94</v>
      </c>
      <c r="P63" s="83">
        <f t="shared" si="3"/>
        <v>101.99939999999999</v>
      </c>
      <c r="Q63" s="83"/>
      <c r="R63"/>
      <c r="T63" s="86"/>
      <c r="W63" s="133">
        <v>42678</v>
      </c>
      <c r="X63" s="10">
        <v>88.7</v>
      </c>
      <c r="Y63" s="10">
        <v>89.48</v>
      </c>
      <c r="Z63" s="10">
        <v>88.38</v>
      </c>
      <c r="AA63" s="10">
        <v>88.76</v>
      </c>
      <c r="AB63" s="95">
        <v>3745700</v>
      </c>
      <c r="AC63" s="10">
        <v>88.23</v>
      </c>
      <c r="AD63" s="2">
        <f t="shared" si="0"/>
        <v>1.1000000000000085</v>
      </c>
      <c r="AE63" s="138">
        <f t="shared" si="1"/>
        <v>-1.1332728921109592E-4</v>
      </c>
    </row>
    <row r="64" spans="1:31" x14ac:dyDescent="0.25">
      <c r="O64" s="83">
        <v>0.93</v>
      </c>
      <c r="P64" s="83">
        <f t="shared" si="3"/>
        <v>100.91430000000001</v>
      </c>
      <c r="Q64" s="83"/>
      <c r="R64"/>
      <c r="S64" s="86"/>
      <c r="T64"/>
      <c r="W64" s="133">
        <v>42677</v>
      </c>
      <c r="X64" s="10">
        <v>88.68</v>
      </c>
      <c r="Y64" s="10">
        <v>89.64</v>
      </c>
      <c r="Z64" s="10">
        <v>88.25</v>
      </c>
      <c r="AA64" s="10">
        <v>88.77</v>
      </c>
      <c r="AB64" s="95">
        <v>4468600</v>
      </c>
      <c r="AC64" s="10">
        <v>88.24</v>
      </c>
      <c r="AD64" s="2">
        <f t="shared" si="0"/>
        <v>1.3900000000000006</v>
      </c>
      <c r="AE64" s="138">
        <f t="shared" si="1"/>
        <v>9.0744101633388752E-4</v>
      </c>
    </row>
    <row r="65" spans="15:31" x14ac:dyDescent="0.25">
      <c r="O65" s="83">
        <v>0.92</v>
      </c>
      <c r="P65" s="83">
        <f t="shared" si="3"/>
        <v>99.829200000000014</v>
      </c>
      <c r="Q65" s="83"/>
      <c r="R65"/>
      <c r="S65" s="86"/>
      <c r="T65"/>
      <c r="W65" s="133">
        <v>42676</v>
      </c>
      <c r="X65" s="10">
        <v>88.08</v>
      </c>
      <c r="Y65" s="10">
        <v>89.31</v>
      </c>
      <c r="Z65" s="10">
        <v>87.74</v>
      </c>
      <c r="AA65" s="10">
        <v>88.69</v>
      </c>
      <c r="AB65" s="95">
        <v>4437400</v>
      </c>
      <c r="AC65" s="10">
        <v>88.16</v>
      </c>
      <c r="AD65" s="2">
        <f t="shared" si="0"/>
        <v>1.5700000000000074</v>
      </c>
      <c r="AE65" s="138">
        <f t="shared" si="1"/>
        <v>9.042005264964903E-3</v>
      </c>
    </row>
    <row r="66" spans="15:31" x14ac:dyDescent="0.25">
      <c r="O66" s="83">
        <v>0.91</v>
      </c>
      <c r="P66" s="83">
        <f t="shared" si="3"/>
        <v>98.744100000000003</v>
      </c>
      <c r="Q66" s="83"/>
      <c r="R66"/>
      <c r="S66" s="86"/>
      <c r="T66"/>
      <c r="W66" s="133">
        <v>42675</v>
      </c>
      <c r="X66" s="10">
        <v>88.65</v>
      </c>
      <c r="Y66" s="10">
        <v>88.89</v>
      </c>
      <c r="Z66" s="10">
        <v>87.06</v>
      </c>
      <c r="AA66" s="10">
        <v>87.89</v>
      </c>
      <c r="AB66" s="95">
        <v>3980500</v>
      </c>
      <c r="AC66" s="10">
        <v>87.37</v>
      </c>
      <c r="AD66" s="2">
        <f t="shared" si="0"/>
        <v>1.8299999999999983</v>
      </c>
      <c r="AE66" s="138">
        <f t="shared" si="1"/>
        <v>-3.308236367784545E-3</v>
      </c>
    </row>
    <row r="67" spans="15:31" x14ac:dyDescent="0.25">
      <c r="O67" s="83">
        <v>0.9</v>
      </c>
      <c r="P67" s="83">
        <f t="shared" si="3"/>
        <v>97.659000000000006</v>
      </c>
      <c r="Q67" s="83"/>
      <c r="R67"/>
      <c r="S67" s="86"/>
      <c r="T67"/>
      <c r="W67" s="133">
        <v>42674</v>
      </c>
      <c r="X67" s="10">
        <v>88.75</v>
      </c>
      <c r="Y67" s="10">
        <v>89.07</v>
      </c>
      <c r="Z67" s="10">
        <v>88.11</v>
      </c>
      <c r="AA67" s="10">
        <v>88.18</v>
      </c>
      <c r="AB67" s="95">
        <v>3681200</v>
      </c>
      <c r="AC67" s="10">
        <v>87.66</v>
      </c>
      <c r="AD67" s="2">
        <f>Y67-Z67</f>
        <v>0.95999999999999375</v>
      </c>
      <c r="AE67" s="138">
        <f>AC67/AC68-1</f>
        <v>-2.1627774615822215E-3</v>
      </c>
    </row>
    <row r="68" spans="15:31" x14ac:dyDescent="0.25">
      <c r="W68" s="133">
        <v>42671</v>
      </c>
      <c r="X68" s="10">
        <v>88.94</v>
      </c>
      <c r="Y68" s="10">
        <v>89.32</v>
      </c>
      <c r="Z68" s="10">
        <v>87.79</v>
      </c>
      <c r="AA68" s="10">
        <v>88.37</v>
      </c>
      <c r="AB68" s="95">
        <v>3784400</v>
      </c>
      <c r="AC68" s="10">
        <v>87.85</v>
      </c>
      <c r="AD68" s="2">
        <f>Y68-Z68</f>
        <v>1.5299999999999869</v>
      </c>
      <c r="AE68" s="138" t="e">
        <f>AC68/AC69-1</f>
        <v>#DIV/0!</v>
      </c>
    </row>
    <row r="69" spans="15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{75E8698F-0213-4831-AF39-04C38F26C73F}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4 F26:F30">
    <cfRule type="expression" dxfId="509" priority="11">
      <formula>F24&gt;0</formula>
    </cfRule>
    <cfRule type="expression" dxfId="508" priority="12">
      <formula>F24&lt;0</formula>
    </cfRule>
  </conditionalFormatting>
  <conditionalFormatting sqref="H27:H30">
    <cfRule type="expression" dxfId="507" priority="9">
      <formula>H27&gt;0</formula>
    </cfRule>
    <cfRule type="expression" dxfId="506" priority="10">
      <formula>H27&lt;0</formula>
    </cfRule>
  </conditionalFormatting>
  <conditionalFormatting sqref="F25">
    <cfRule type="expression" dxfId="505" priority="7">
      <formula>F25&gt;0</formula>
    </cfRule>
    <cfRule type="expression" dxfId="504" priority="8">
      <formula>F25&lt;0</formula>
    </cfRule>
  </conditionalFormatting>
  <conditionalFormatting sqref="H24:H26">
    <cfRule type="expression" dxfId="503" priority="5">
      <formula>H24&gt;0</formula>
    </cfRule>
    <cfRule type="expression" dxfId="502" priority="6">
      <formula>H24&lt;0</formula>
    </cfRule>
  </conditionalFormatting>
  <conditionalFormatting sqref="Q7">
    <cfRule type="expression" dxfId="501" priority="3">
      <formula>Q7&gt;0</formula>
    </cfRule>
    <cfRule type="expression" dxfId="500" priority="4">
      <formula>Q7&lt;0</formula>
    </cfRule>
  </conditionalFormatting>
  <conditionalFormatting sqref="Q8">
    <cfRule type="expression" dxfId="499" priority="1">
      <formula>Q8&gt;0</formula>
    </cfRule>
    <cfRule type="expression" dxfId="498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E8698F-0213-4831-AF39-04C38F26C7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6" customWidth="1"/>
    <col min="21" max="21" width="19.28515625" customWidth="1"/>
    <col min="23" max="23" width="16.42578125" style="34" customWidth="1"/>
    <col min="24" max="24" width="5.85546875" customWidth="1"/>
    <col min="25" max="26" width="5.5703125" style="2" customWidth="1"/>
    <col min="27" max="27" width="5.85546875" customWidth="1"/>
    <col min="28" max="28" width="10.140625" customWidth="1"/>
    <col min="29" max="29" width="10.28515625" style="196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/>
      <c r="W1" s="92" t="s">
        <v>114</v>
      </c>
      <c r="X1" s="93" t="s">
        <v>115</v>
      </c>
      <c r="Y1" s="102" t="s">
        <v>116</v>
      </c>
      <c r="Z1" s="102" t="s">
        <v>117</v>
      </c>
      <c r="AA1" s="93" t="s">
        <v>118</v>
      </c>
      <c r="AB1" s="93" t="s">
        <v>119</v>
      </c>
      <c r="AC1" s="244" t="s">
        <v>120</v>
      </c>
      <c r="AD1" s="11" t="s">
        <v>126</v>
      </c>
      <c r="AE1" s="11" t="s">
        <v>128</v>
      </c>
    </row>
    <row r="2" spans="1:40" ht="14.25" customHeight="1" x14ac:dyDescent="0.25">
      <c r="A2" s="6" t="s">
        <v>286</v>
      </c>
      <c r="B2" s="74"/>
      <c r="C2" s="4"/>
      <c r="D2" s="3"/>
      <c r="E2" s="3"/>
      <c r="F2" s="3"/>
      <c r="G2" s="74"/>
      <c r="H2" s="185"/>
      <c r="I2" s="3"/>
      <c r="J2" s="3"/>
      <c r="K2" s="3"/>
      <c r="L2" s="1"/>
      <c r="M2" s="3"/>
      <c r="O2" s="11" t="s">
        <v>57</v>
      </c>
      <c r="Q2">
        <f>C18-H18</f>
        <v>0</v>
      </c>
      <c r="T2" s="85"/>
      <c r="W2" s="94">
        <v>42768</v>
      </c>
      <c r="X2" s="365">
        <v>48.17</v>
      </c>
      <c r="Y2" s="40">
        <v>48.5</v>
      </c>
      <c r="Z2" s="40">
        <v>47.55</v>
      </c>
      <c r="AA2" s="365">
        <v>47.66</v>
      </c>
      <c r="AB2" s="95">
        <v>694700</v>
      </c>
      <c r="AC2" s="243">
        <v>47.66</v>
      </c>
      <c r="AD2" s="2">
        <f>Y2-Z2</f>
        <v>0.95000000000000284</v>
      </c>
      <c r="AE2" s="138">
        <f>AC2/AC3-1</f>
        <v>-8.7354409317803583E-3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O3" s="11" t="s">
        <v>58</v>
      </c>
      <c r="Q3" s="80">
        <f>IF(Q2=0, Q4, (F18-K18-M18)/Q2)</f>
        <v>47.74</v>
      </c>
      <c r="T3" s="121"/>
      <c r="W3" s="94">
        <v>42767</v>
      </c>
      <c r="X3" s="365">
        <v>47.3</v>
      </c>
      <c r="Y3" s="40">
        <v>48.45</v>
      </c>
      <c r="Z3" s="40">
        <v>46.83</v>
      </c>
      <c r="AA3" s="365">
        <v>48.08</v>
      </c>
      <c r="AB3" s="95">
        <v>1288500</v>
      </c>
      <c r="AC3" s="243">
        <v>48.08</v>
      </c>
      <c r="AD3" s="2">
        <f>Y3-Z3</f>
        <v>1.6200000000000045</v>
      </c>
      <c r="AE3" s="138">
        <f>AC3/AC4-1</f>
        <v>2.297872340425533E-2</v>
      </c>
      <c r="AN3" s="234"/>
    </row>
    <row r="4" spans="1:40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O4" s="11" t="s">
        <v>66</v>
      </c>
      <c r="Q4" s="55">
        <v>47.74</v>
      </c>
      <c r="R4" s="527">
        <v>1.6999999999999999E-3</v>
      </c>
      <c r="T4" s="121"/>
      <c r="W4" s="94">
        <v>42766</v>
      </c>
      <c r="X4" s="365">
        <v>47.88</v>
      </c>
      <c r="Y4" s="40">
        <v>48.11</v>
      </c>
      <c r="Z4" s="40">
        <v>46.83</v>
      </c>
      <c r="AA4" s="365">
        <v>47</v>
      </c>
      <c r="AB4" s="95">
        <v>1625200</v>
      </c>
      <c r="AC4" s="243">
        <v>47</v>
      </c>
      <c r="AD4" s="2">
        <f t="shared" ref="AD4:AD67" si="0">Y4-Z4</f>
        <v>1.2800000000000011</v>
      </c>
      <c r="AE4" s="138">
        <f t="shared" ref="AE4:AE67" si="1">AC4/AC5-1</f>
        <v>-2.1444930251925953E-2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O5" s="11" t="s">
        <v>67</v>
      </c>
      <c r="Q5" s="3">
        <f>Q4*Q2</f>
        <v>0</v>
      </c>
      <c r="W5" s="94">
        <v>42765</v>
      </c>
      <c r="X5" s="365">
        <v>48.8</v>
      </c>
      <c r="Y5" s="40">
        <v>48.88</v>
      </c>
      <c r="Z5" s="40">
        <v>47.94</v>
      </c>
      <c r="AA5" s="365">
        <v>48.03</v>
      </c>
      <c r="AB5" s="95">
        <v>1323500</v>
      </c>
      <c r="AC5" s="243">
        <v>48.03</v>
      </c>
      <c r="AD5" s="2">
        <f t="shared" si="0"/>
        <v>0.94000000000000483</v>
      </c>
      <c r="AE5" s="138">
        <f t="shared" si="1"/>
        <v>-2.0195838433292534E-2</v>
      </c>
      <c r="AK5" s="234"/>
      <c r="AN5" s="234"/>
    </row>
    <row r="6" spans="1:40" x14ac:dyDescent="0.25">
      <c r="B6" s="4"/>
      <c r="C6" s="4"/>
      <c r="D6" s="3"/>
      <c r="E6" s="3"/>
      <c r="F6" s="3"/>
      <c r="G6" s="4"/>
      <c r="H6" s="185"/>
      <c r="I6" s="3"/>
      <c r="J6" s="3"/>
      <c r="K6" s="3"/>
      <c r="O6" s="11" t="s">
        <v>64</v>
      </c>
      <c r="Q6" s="2">
        <f>Q3*Q2</f>
        <v>0</v>
      </c>
      <c r="W6" s="94">
        <v>42762</v>
      </c>
      <c r="X6" s="365">
        <v>49.35</v>
      </c>
      <c r="Y6" s="40">
        <v>49.56</v>
      </c>
      <c r="Z6" s="40">
        <v>48.61</v>
      </c>
      <c r="AA6" s="365">
        <v>49.02</v>
      </c>
      <c r="AB6" s="95">
        <v>945300</v>
      </c>
      <c r="AC6" s="243">
        <v>49.02</v>
      </c>
      <c r="AD6" s="2">
        <f t="shared" si="0"/>
        <v>0.95000000000000284</v>
      </c>
      <c r="AE6" s="138">
        <f t="shared" si="1"/>
        <v>-6.284208392458801E-3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181</v>
      </c>
      <c r="P7"/>
      <c r="Q7" s="2">
        <f>Q10+Q8</f>
        <v>427.92000000000007</v>
      </c>
      <c r="R7">
        <v>0</v>
      </c>
      <c r="T7" s="85"/>
      <c r="W7" s="94">
        <v>42761</v>
      </c>
      <c r="X7" s="365">
        <v>49.22</v>
      </c>
      <c r="Y7" s="40">
        <v>50.05</v>
      </c>
      <c r="Z7" s="40">
        <v>48.77</v>
      </c>
      <c r="AA7" s="365">
        <v>49.33</v>
      </c>
      <c r="AB7" s="95">
        <v>2613500</v>
      </c>
      <c r="AC7" s="243">
        <v>49.33</v>
      </c>
      <c r="AD7" s="2">
        <f t="shared" si="0"/>
        <v>1.279999999999994</v>
      </c>
      <c r="AE7" s="138">
        <f t="shared" si="1"/>
        <v>2.5784986483676331E-2</v>
      </c>
      <c r="AK7" s="234"/>
      <c r="AN7" s="234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184</v>
      </c>
      <c r="Q8" s="2">
        <f>K18+M18-F18+Q2*Q4</f>
        <v>0</v>
      </c>
      <c r="W8" s="94">
        <v>42760</v>
      </c>
      <c r="X8" s="365">
        <v>47.22</v>
      </c>
      <c r="Y8" s="40">
        <v>48.24</v>
      </c>
      <c r="Z8" s="40">
        <v>46.96</v>
      </c>
      <c r="AA8" s="365">
        <v>48.09</v>
      </c>
      <c r="AB8" s="95">
        <v>1275800</v>
      </c>
      <c r="AC8" s="243">
        <v>48.09</v>
      </c>
      <c r="AD8" s="2">
        <f t="shared" si="0"/>
        <v>1.2800000000000011</v>
      </c>
      <c r="AE8" s="138">
        <f t="shared" si="1"/>
        <v>2.6686592655849717E-2</v>
      </c>
    </row>
    <row r="9" spans="1:40" x14ac:dyDescent="0.25">
      <c r="O9" s="11" t="s">
        <v>214</v>
      </c>
      <c r="P9"/>
      <c r="Q9" s="138">
        <f>IF(Q2=0, 0, Q8/Q6)</f>
        <v>0</v>
      </c>
      <c r="W9" s="94">
        <v>42759</v>
      </c>
      <c r="X9" s="365">
        <v>45.92</v>
      </c>
      <c r="Y9" s="40">
        <v>46.95</v>
      </c>
      <c r="Z9" s="40">
        <v>45.83</v>
      </c>
      <c r="AA9" s="365">
        <v>46.84</v>
      </c>
      <c r="AB9" s="95">
        <v>1239400</v>
      </c>
      <c r="AC9" s="243">
        <v>46.84</v>
      </c>
      <c r="AD9" s="2">
        <f t="shared" si="0"/>
        <v>1.1200000000000045</v>
      </c>
      <c r="AE9" s="138">
        <f t="shared" si="1"/>
        <v>1.8260869565217552E-2</v>
      </c>
      <c r="AK9" s="234"/>
      <c r="AN9" s="234"/>
    </row>
    <row r="10" spans="1:40" ht="12.75" customHeight="1" x14ac:dyDescent="0.25">
      <c r="O10" s="11" t="s">
        <v>213</v>
      </c>
      <c r="Q10" s="2">
        <f>M37</f>
        <v>427.92000000000007</v>
      </c>
      <c r="W10" s="94">
        <v>42758</v>
      </c>
      <c r="X10" s="365">
        <v>45.47</v>
      </c>
      <c r="Y10" s="40">
        <v>46.15</v>
      </c>
      <c r="Z10" s="40">
        <v>45.15</v>
      </c>
      <c r="AA10" s="365">
        <v>46</v>
      </c>
      <c r="AB10" s="95">
        <v>826800</v>
      </c>
      <c r="AC10" s="243">
        <v>46</v>
      </c>
      <c r="AD10" s="2">
        <f t="shared" si="0"/>
        <v>1</v>
      </c>
      <c r="AE10" s="138">
        <f t="shared" si="1"/>
        <v>8.1087004163926668E-3</v>
      </c>
    </row>
    <row r="11" spans="1:40" x14ac:dyDescent="0.25">
      <c r="O11" s="11" t="s">
        <v>178</v>
      </c>
      <c r="Q11" s="138">
        <v>0</v>
      </c>
      <c r="W11" s="94">
        <v>42755</v>
      </c>
      <c r="X11" s="365">
        <v>45.93</v>
      </c>
      <c r="Y11" s="40">
        <v>46.41</v>
      </c>
      <c r="Z11" s="40">
        <v>45.41</v>
      </c>
      <c r="AA11" s="365">
        <v>45.63</v>
      </c>
      <c r="AB11" s="95">
        <v>736000</v>
      </c>
      <c r="AC11" s="243">
        <v>45.63</v>
      </c>
      <c r="AD11" s="2">
        <f t="shared" si="0"/>
        <v>1</v>
      </c>
      <c r="AE11" s="138">
        <f t="shared" si="1"/>
        <v>2.192021043403436E-4</v>
      </c>
      <c r="AK11" s="234"/>
      <c r="AN11" s="234"/>
    </row>
    <row r="12" spans="1:40" x14ac:dyDescent="0.25">
      <c r="W12" s="94">
        <v>42754</v>
      </c>
      <c r="X12" s="365">
        <v>45.76</v>
      </c>
      <c r="Y12" s="40">
        <v>46.36</v>
      </c>
      <c r="Z12" s="40">
        <v>45.39</v>
      </c>
      <c r="AA12" s="365">
        <v>45.62</v>
      </c>
      <c r="AB12" s="95">
        <v>1031300</v>
      </c>
      <c r="AC12" s="243">
        <v>45.62</v>
      </c>
      <c r="AD12" s="2">
        <f t="shared" si="0"/>
        <v>0.96999999999999886</v>
      </c>
      <c r="AE12" s="138">
        <f t="shared" si="1"/>
        <v>-1.0948105977667266E-3</v>
      </c>
    </row>
    <row r="13" spans="1:40" x14ac:dyDescent="0.25">
      <c r="W13" s="94">
        <v>42753</v>
      </c>
      <c r="X13" s="365">
        <v>44.97</v>
      </c>
      <c r="Y13" s="40">
        <v>45.77</v>
      </c>
      <c r="Z13" s="40">
        <v>44.56</v>
      </c>
      <c r="AA13" s="365">
        <v>45.67</v>
      </c>
      <c r="AB13" s="95">
        <v>943000</v>
      </c>
      <c r="AC13" s="243">
        <v>45.67</v>
      </c>
      <c r="AD13" s="2">
        <f t="shared" si="0"/>
        <v>1.2100000000000009</v>
      </c>
      <c r="AE13" s="138">
        <f t="shared" si="1"/>
        <v>2.078676799284751E-2</v>
      </c>
      <c r="AK13" s="234"/>
      <c r="AN13" s="234"/>
    </row>
    <row r="14" spans="1:40" x14ac:dyDescent="0.25">
      <c r="T14" s="84"/>
      <c r="U14" s="11"/>
      <c r="W14" s="94">
        <v>42752</v>
      </c>
      <c r="X14" s="365">
        <v>45.08</v>
      </c>
      <c r="Y14" s="40">
        <v>45.22</v>
      </c>
      <c r="Z14" s="40">
        <v>44.2</v>
      </c>
      <c r="AA14" s="365">
        <v>44.74</v>
      </c>
      <c r="AB14" s="95">
        <v>905400</v>
      </c>
      <c r="AC14" s="243">
        <v>44.74</v>
      </c>
      <c r="AD14" s="2">
        <f t="shared" si="0"/>
        <v>1.019999999999996</v>
      </c>
      <c r="AE14" s="138">
        <f t="shared" si="1"/>
        <v>-4.6718576195773354E-3</v>
      </c>
    </row>
    <row r="15" spans="1:40" x14ac:dyDescent="0.25">
      <c r="W15" s="94">
        <v>42748</v>
      </c>
      <c r="X15" s="365">
        <v>45.49</v>
      </c>
      <c r="Y15" s="40">
        <v>45.49</v>
      </c>
      <c r="Z15" s="40">
        <v>44.84</v>
      </c>
      <c r="AA15" s="365">
        <v>44.95</v>
      </c>
      <c r="AB15" s="95">
        <v>547700</v>
      </c>
      <c r="AC15" s="243">
        <v>44.95</v>
      </c>
      <c r="AD15" s="2">
        <f t="shared" si="0"/>
        <v>0.64999999999999858</v>
      </c>
      <c r="AE15" s="138">
        <f t="shared" si="1"/>
        <v>-8.8202866593164453E-3</v>
      </c>
      <c r="AK15" s="234"/>
      <c r="AN15" s="234"/>
    </row>
    <row r="16" spans="1:40" x14ac:dyDescent="0.25">
      <c r="W16" s="94">
        <v>42747</v>
      </c>
      <c r="X16" s="365">
        <v>45.47</v>
      </c>
      <c r="Y16" s="40">
        <v>45.83</v>
      </c>
      <c r="Z16" s="40">
        <v>44.67</v>
      </c>
      <c r="AA16" s="365">
        <v>45.35</v>
      </c>
      <c r="AB16" s="95">
        <v>731500</v>
      </c>
      <c r="AC16" s="243">
        <v>45.35</v>
      </c>
      <c r="AD16" s="2">
        <f t="shared" si="0"/>
        <v>1.1599999999999966</v>
      </c>
      <c r="AE16" s="138">
        <f t="shared" si="1"/>
        <v>-8.7431693989070691E-3</v>
      </c>
    </row>
    <row r="17" spans="1:40" x14ac:dyDescent="0.25">
      <c r="W17" s="94">
        <v>42746</v>
      </c>
      <c r="X17" s="365">
        <v>45.01</v>
      </c>
      <c r="Y17" s="40">
        <v>45.82</v>
      </c>
      <c r="Z17" s="40">
        <v>44.72</v>
      </c>
      <c r="AA17" s="365">
        <v>45.75</v>
      </c>
      <c r="AB17" s="95">
        <v>870500</v>
      </c>
      <c r="AC17" s="243">
        <v>45.75</v>
      </c>
      <c r="AD17" s="2">
        <f t="shared" si="0"/>
        <v>1.1000000000000014</v>
      </c>
      <c r="AE17" s="138">
        <f t="shared" si="1"/>
        <v>1.1720477664750151E-2</v>
      </c>
      <c r="AK17" s="234"/>
      <c r="AN17" s="234"/>
    </row>
    <row r="18" spans="1:40" x14ac:dyDescent="0.25">
      <c r="A18" s="32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3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4">
        <v>42745</v>
      </c>
      <c r="X18" s="365">
        <v>44.33</v>
      </c>
      <c r="Y18" s="40">
        <v>45.36</v>
      </c>
      <c r="Z18" s="40">
        <v>44.33</v>
      </c>
      <c r="AA18" s="365">
        <v>45.22</v>
      </c>
      <c r="AB18" s="95">
        <v>1065500</v>
      </c>
      <c r="AC18" s="243">
        <v>45.22</v>
      </c>
      <c r="AD18" s="2">
        <f t="shared" si="0"/>
        <v>1.0300000000000011</v>
      </c>
      <c r="AE18" s="138">
        <f t="shared" si="1"/>
        <v>1.8697904933543619E-2</v>
      </c>
    </row>
    <row r="19" spans="1:40" x14ac:dyDescent="0.25">
      <c r="W19" s="94">
        <v>42744</v>
      </c>
      <c r="X19" s="365">
        <v>44.14</v>
      </c>
      <c r="Y19" s="40">
        <v>44.7</v>
      </c>
      <c r="Z19" s="40">
        <v>43.9</v>
      </c>
      <c r="AA19" s="365">
        <v>44.39</v>
      </c>
      <c r="AB19" s="95">
        <v>855800</v>
      </c>
      <c r="AC19" s="243">
        <v>44.39</v>
      </c>
      <c r="AD19" s="2">
        <f t="shared" si="0"/>
        <v>0.80000000000000426</v>
      </c>
      <c r="AE19" s="138">
        <f t="shared" si="1"/>
        <v>3.1638418079096287E-3</v>
      </c>
      <c r="AK19" s="234"/>
      <c r="AN19" s="234"/>
    </row>
    <row r="20" spans="1:40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4" t="s">
        <v>65</v>
      </c>
      <c r="G20" s="229" t="s">
        <v>152</v>
      </c>
      <c r="H20" s="229" t="s">
        <v>88</v>
      </c>
      <c r="I20" s="229" t="s">
        <v>155</v>
      </c>
      <c r="W20" s="94">
        <v>42741</v>
      </c>
      <c r="X20" s="365">
        <v>44.75</v>
      </c>
      <c r="Y20" s="40">
        <v>44.92</v>
      </c>
      <c r="Z20" s="40">
        <v>44.06</v>
      </c>
      <c r="AA20" s="365">
        <v>44.25</v>
      </c>
      <c r="AB20" s="95">
        <v>932900</v>
      </c>
      <c r="AC20" s="243">
        <v>44.25</v>
      </c>
      <c r="AD20" s="2">
        <f t="shared" si="0"/>
        <v>0.85999999999999943</v>
      </c>
      <c r="AE20" s="138">
        <f t="shared" si="1"/>
        <v>-6.7340067340067034E-3</v>
      </c>
    </row>
    <row r="21" spans="1:40" x14ac:dyDescent="0.25">
      <c r="B21" s="193">
        <v>42622</v>
      </c>
      <c r="C21" s="10">
        <v>50</v>
      </c>
      <c r="D21" s="40">
        <v>34.68</v>
      </c>
      <c r="E21" s="40">
        <v>34.5</v>
      </c>
      <c r="F21" s="40">
        <f t="shared" ref="F21:F26" si="2">C21*(E21-D21)</f>
        <v>-8.9999999999999858</v>
      </c>
      <c r="G21" s="40">
        <f t="shared" ref="G21:G26" si="3">D21*C21</f>
        <v>1734</v>
      </c>
      <c r="H21" s="231">
        <f t="shared" ref="H21:H26" si="4">(E21-D21)/D21</f>
        <v>-5.190311418685113E-3</v>
      </c>
      <c r="I21" s="40"/>
      <c r="W21" s="94">
        <v>42740</v>
      </c>
      <c r="X21" s="365">
        <v>44.51</v>
      </c>
      <c r="Y21" s="40">
        <v>44.79</v>
      </c>
      <c r="Z21" s="40">
        <v>44.02</v>
      </c>
      <c r="AA21" s="365">
        <v>44.55</v>
      </c>
      <c r="AB21" s="95">
        <v>933700</v>
      </c>
      <c r="AC21" s="243">
        <v>44.55</v>
      </c>
      <c r="AD21" s="2">
        <f t="shared" si="0"/>
        <v>0.76999999999999602</v>
      </c>
      <c r="AE21" s="138">
        <f t="shared" si="1"/>
        <v>-4.9140049140050657E-3</v>
      </c>
      <c r="AK21" s="234"/>
      <c r="AN21" s="234"/>
    </row>
    <row r="22" spans="1:40" x14ac:dyDescent="0.25">
      <c r="B22" s="193">
        <v>42629</v>
      </c>
      <c r="C22" s="10">
        <v>50</v>
      </c>
      <c r="D22" s="40">
        <v>34.68</v>
      </c>
      <c r="E22" s="40">
        <v>35.75</v>
      </c>
      <c r="F22" s="40">
        <f t="shared" si="2"/>
        <v>53.500000000000014</v>
      </c>
      <c r="G22" s="40">
        <f t="shared" si="3"/>
        <v>1734</v>
      </c>
      <c r="H22" s="231">
        <f t="shared" si="4"/>
        <v>3.085351787773934E-2</v>
      </c>
      <c r="I22" s="40"/>
      <c r="W22" s="94">
        <v>42739</v>
      </c>
      <c r="X22" s="365">
        <v>43.1</v>
      </c>
      <c r="Y22" s="40">
        <v>44.89</v>
      </c>
      <c r="Z22" s="40">
        <v>42.78</v>
      </c>
      <c r="AA22" s="365">
        <v>44.77</v>
      </c>
      <c r="AB22" s="95">
        <v>1852500</v>
      </c>
      <c r="AC22" s="243">
        <v>44.77</v>
      </c>
      <c r="AD22" s="2">
        <f t="shared" si="0"/>
        <v>2.1099999999999994</v>
      </c>
      <c r="AE22" s="138">
        <f t="shared" si="1"/>
        <v>4.6272493573264795E-2</v>
      </c>
    </row>
    <row r="23" spans="1:40" x14ac:dyDescent="0.25">
      <c r="B23" s="193">
        <v>42632</v>
      </c>
      <c r="C23" s="10">
        <v>50</v>
      </c>
      <c r="D23" s="40">
        <v>34.68</v>
      </c>
      <c r="E23" s="40">
        <v>35.340000000000003</v>
      </c>
      <c r="F23" s="40">
        <f t="shared" si="2"/>
        <v>33.000000000000185</v>
      </c>
      <c r="G23" s="40">
        <f t="shared" si="3"/>
        <v>1734</v>
      </c>
      <c r="H23" s="231">
        <f t="shared" si="4"/>
        <v>1.9031141868512218E-2</v>
      </c>
      <c r="I23" s="40"/>
      <c r="W23" s="94">
        <v>42738</v>
      </c>
      <c r="X23" s="365">
        <v>43.13</v>
      </c>
      <c r="Y23" s="40">
        <v>43.87</v>
      </c>
      <c r="Z23" s="40">
        <v>42.64</v>
      </c>
      <c r="AA23" s="365">
        <v>42.79</v>
      </c>
      <c r="AB23" s="95">
        <v>1618500</v>
      </c>
      <c r="AC23" s="243">
        <v>42.79</v>
      </c>
      <c r="AD23" s="2">
        <f t="shared" si="0"/>
        <v>1.2299999999999969</v>
      </c>
      <c r="AE23" s="138">
        <f t="shared" si="1"/>
        <v>6.1133317658124131E-3</v>
      </c>
      <c r="AK23" s="234"/>
    </row>
    <row r="24" spans="1:40" x14ac:dyDescent="0.25">
      <c r="B24" s="193">
        <v>42633</v>
      </c>
      <c r="C24" s="10">
        <v>50</v>
      </c>
      <c r="D24" s="40">
        <v>34.68</v>
      </c>
      <c r="E24" s="40">
        <v>36.31</v>
      </c>
      <c r="F24" s="40">
        <f t="shared" si="2"/>
        <v>81.500000000000128</v>
      </c>
      <c r="G24" s="40">
        <f t="shared" si="3"/>
        <v>1734</v>
      </c>
      <c r="H24" s="231">
        <f t="shared" si="4"/>
        <v>4.7001153402537563E-2</v>
      </c>
      <c r="I24" s="40"/>
      <c r="W24" s="94">
        <v>42734</v>
      </c>
      <c r="X24" s="365">
        <v>42.62</v>
      </c>
      <c r="Y24" s="40">
        <v>42.97</v>
      </c>
      <c r="Z24" s="40">
        <v>42.1</v>
      </c>
      <c r="AA24" s="365">
        <v>42.53</v>
      </c>
      <c r="AB24" s="95">
        <v>856900</v>
      </c>
      <c r="AC24" s="243">
        <v>42.53</v>
      </c>
      <c r="AD24" s="2">
        <f t="shared" si="0"/>
        <v>0.86999999999999744</v>
      </c>
      <c r="AE24" s="138">
        <f t="shared" si="1"/>
        <v>-3.0473511486168725E-3</v>
      </c>
    </row>
    <row r="25" spans="1:40" x14ac:dyDescent="0.25">
      <c r="B25" s="193">
        <v>42635</v>
      </c>
      <c r="C25" s="10">
        <v>50</v>
      </c>
      <c r="D25" s="40">
        <v>34.68</v>
      </c>
      <c r="E25" s="40">
        <v>37.17</v>
      </c>
      <c r="F25" s="40">
        <f t="shared" si="2"/>
        <v>124.5000000000001</v>
      </c>
      <c r="G25" s="40">
        <f t="shared" si="3"/>
        <v>1734</v>
      </c>
      <c r="H25" s="231">
        <f t="shared" si="4"/>
        <v>7.1799307958477568E-2</v>
      </c>
      <c r="I25" s="40"/>
      <c r="W25" s="94">
        <v>42733</v>
      </c>
      <c r="X25" s="365">
        <v>42.93</v>
      </c>
      <c r="Y25" s="40">
        <v>43.45</v>
      </c>
      <c r="Z25" s="40">
        <v>42.04</v>
      </c>
      <c r="AA25" s="365">
        <v>42.66</v>
      </c>
      <c r="AB25" s="95">
        <v>2178400</v>
      </c>
      <c r="AC25" s="243">
        <v>42.66</v>
      </c>
      <c r="AD25" s="2">
        <f t="shared" si="0"/>
        <v>1.4100000000000037</v>
      </c>
      <c r="AE25" s="138">
        <f t="shared" si="1"/>
        <v>-6.2893081761007386E-3</v>
      </c>
    </row>
    <row r="26" spans="1:40" x14ac:dyDescent="0.25">
      <c r="B26" s="193">
        <v>42645</v>
      </c>
      <c r="C26" s="10">
        <v>50</v>
      </c>
      <c r="D26" s="40">
        <v>34.68</v>
      </c>
      <c r="E26" s="40">
        <v>37.700000000000003</v>
      </c>
      <c r="F26" s="40">
        <f t="shared" si="2"/>
        <v>151.00000000000017</v>
      </c>
      <c r="G26" s="40">
        <f t="shared" si="3"/>
        <v>1734</v>
      </c>
      <c r="H26" s="231">
        <f t="shared" si="4"/>
        <v>8.7081891580161566E-2</v>
      </c>
      <c r="I26" s="40"/>
      <c r="W26" s="94">
        <v>42732</v>
      </c>
      <c r="X26" s="365">
        <v>43.68</v>
      </c>
      <c r="Y26" s="40">
        <v>43.68</v>
      </c>
      <c r="Z26" s="40">
        <v>42.89</v>
      </c>
      <c r="AA26" s="365">
        <v>42.93</v>
      </c>
      <c r="AB26" s="95">
        <v>718800</v>
      </c>
      <c r="AC26" s="243">
        <v>42.93</v>
      </c>
      <c r="AD26" s="2">
        <f t="shared" si="0"/>
        <v>0.78999999999999915</v>
      </c>
      <c r="AE26" s="138">
        <f t="shared" si="1"/>
        <v>-1.7395284962233859E-2</v>
      </c>
    </row>
    <row r="27" spans="1:40" x14ac:dyDescent="0.25">
      <c r="B27" s="193">
        <v>42649</v>
      </c>
      <c r="C27" s="10">
        <v>50</v>
      </c>
      <c r="D27" s="40">
        <v>34.68</v>
      </c>
      <c r="E27" s="40">
        <v>38.64</v>
      </c>
      <c r="F27" s="40">
        <f t="shared" ref="F27" si="5">C27*(E27-D27)</f>
        <v>198.00000000000006</v>
      </c>
      <c r="G27" s="40">
        <f t="shared" ref="G27" si="6">D27*C27</f>
        <v>1734</v>
      </c>
      <c r="H27" s="231">
        <f t="shared" ref="H27" si="7">(E27-D27)/D27</f>
        <v>0.11418685121107269</v>
      </c>
      <c r="I27" s="40"/>
      <c r="W27" s="94">
        <v>42731</v>
      </c>
      <c r="X27" s="365">
        <v>43.62</v>
      </c>
      <c r="Y27" s="40">
        <v>44.53</v>
      </c>
      <c r="Z27" s="40">
        <v>43.53</v>
      </c>
      <c r="AA27" s="365">
        <v>43.69</v>
      </c>
      <c r="AB27" s="95">
        <v>442700</v>
      </c>
      <c r="AC27" s="243">
        <v>43.69</v>
      </c>
      <c r="AD27" s="2">
        <f t="shared" si="0"/>
        <v>1</v>
      </c>
      <c r="AE27" s="138">
        <f t="shared" si="1"/>
        <v>4.1369800045967242E-3</v>
      </c>
    </row>
    <row r="28" spans="1:40" x14ac:dyDescent="0.25">
      <c r="B28" s="193">
        <v>42663</v>
      </c>
      <c r="C28" s="10">
        <v>0</v>
      </c>
      <c r="D28" s="40"/>
      <c r="E28" s="40"/>
      <c r="F28" s="40">
        <v>192.96</v>
      </c>
      <c r="G28" s="40"/>
      <c r="H28" s="231"/>
      <c r="I28" s="40"/>
      <c r="W28" s="94">
        <v>42727</v>
      </c>
      <c r="X28" s="365">
        <v>43.51</v>
      </c>
      <c r="Y28" s="40">
        <v>43.7</v>
      </c>
      <c r="Z28" s="40">
        <v>43.16</v>
      </c>
      <c r="AA28" s="365">
        <v>43.51</v>
      </c>
      <c r="AB28" s="95">
        <v>1474300</v>
      </c>
      <c r="AC28" s="243">
        <v>43.51</v>
      </c>
      <c r="AD28" s="2">
        <f t="shared" si="0"/>
        <v>0.54000000000000625</v>
      </c>
      <c r="AE28" s="138">
        <f t="shared" si="1"/>
        <v>2.9967727063162641E-3</v>
      </c>
    </row>
    <row r="29" spans="1:40" x14ac:dyDescent="0.25">
      <c r="B29" s="193">
        <v>42670</v>
      </c>
      <c r="C29" s="10">
        <v>50</v>
      </c>
      <c r="D29" s="40">
        <v>36.58</v>
      </c>
      <c r="E29" s="40">
        <v>35.71</v>
      </c>
      <c r="F29" s="40">
        <f t="shared" ref="F29" si="8">C29*(E29-D29)</f>
        <v>-43.499999999999872</v>
      </c>
      <c r="G29" s="40">
        <f t="shared" ref="G29" si="9">D29*C29</f>
        <v>1829</v>
      </c>
      <c r="H29" s="231">
        <f t="shared" ref="H29" si="10">(E29-D29)/D29</f>
        <v>-2.3783488244942523E-2</v>
      </c>
      <c r="I29" s="40"/>
      <c r="W29" s="94">
        <v>42726</v>
      </c>
      <c r="X29" s="365">
        <v>44.83</v>
      </c>
      <c r="Y29" s="40">
        <v>44.87</v>
      </c>
      <c r="Z29" s="40">
        <v>43.33</v>
      </c>
      <c r="AA29" s="365">
        <v>43.38</v>
      </c>
      <c r="AB29" s="95">
        <v>1050700</v>
      </c>
      <c r="AC29" s="243">
        <v>43.38</v>
      </c>
      <c r="AD29" s="2">
        <f t="shared" si="0"/>
        <v>1.5399999999999991</v>
      </c>
      <c r="AE29" s="138">
        <f t="shared" si="1"/>
        <v>-3.449810816826171E-2</v>
      </c>
    </row>
    <row r="30" spans="1:40" x14ac:dyDescent="0.25">
      <c r="B30" s="193">
        <v>42674</v>
      </c>
      <c r="C30" s="10">
        <v>50</v>
      </c>
      <c r="D30" s="40">
        <v>36.58</v>
      </c>
      <c r="E30" s="40">
        <v>38.869999999999997</v>
      </c>
      <c r="F30" s="40">
        <f t="shared" ref="F30" si="11">C30*(E30-D30)</f>
        <v>114.49999999999996</v>
      </c>
      <c r="G30" s="40">
        <f t="shared" ref="G30" si="12">D30*C30</f>
        <v>1829</v>
      </c>
      <c r="H30" s="231">
        <f t="shared" ref="H30" si="13">(E30-D30)/D30</f>
        <v>6.2602515035538528E-2</v>
      </c>
      <c r="I30" s="40"/>
      <c r="W30" s="94">
        <v>42725</v>
      </c>
      <c r="X30" s="365">
        <v>45.02</v>
      </c>
      <c r="Y30" s="40">
        <v>45.16</v>
      </c>
      <c r="Z30" s="40">
        <v>44.63</v>
      </c>
      <c r="AA30" s="365">
        <v>44.93</v>
      </c>
      <c r="AB30" s="95">
        <v>658600</v>
      </c>
      <c r="AC30" s="243">
        <v>44.93</v>
      </c>
      <c r="AD30" s="2">
        <f t="shared" si="0"/>
        <v>0.52999999999999403</v>
      </c>
      <c r="AE30" s="138">
        <f t="shared" si="1"/>
        <v>2.2261798753331341E-4</v>
      </c>
    </row>
    <row r="31" spans="1:40" x14ac:dyDescent="0.25">
      <c r="B31" s="193">
        <v>42701</v>
      </c>
      <c r="C31" s="10">
        <v>50</v>
      </c>
      <c r="D31" s="40">
        <v>36.58</v>
      </c>
      <c r="E31" s="40">
        <v>40.58</v>
      </c>
      <c r="F31" s="40">
        <f t="shared" ref="F31" si="14">C31*(E31-D31)</f>
        <v>200</v>
      </c>
      <c r="G31" s="40">
        <f t="shared" ref="G31" si="15">D31*C31</f>
        <v>1829</v>
      </c>
      <c r="H31" s="231">
        <f t="shared" ref="H31" si="16">(E31-D31)/D31</f>
        <v>0.10934937124111536</v>
      </c>
      <c r="I31" s="40"/>
      <c r="W31" s="94">
        <v>42724</v>
      </c>
      <c r="X31" s="365">
        <v>43.52</v>
      </c>
      <c r="Y31" s="40">
        <v>45.5</v>
      </c>
      <c r="Z31" s="40">
        <v>43.26</v>
      </c>
      <c r="AA31" s="365">
        <v>44.92</v>
      </c>
      <c r="AB31" s="95">
        <v>1891900</v>
      </c>
      <c r="AC31" s="243">
        <v>44.92</v>
      </c>
      <c r="AD31" s="2">
        <f t="shared" si="0"/>
        <v>2.240000000000002</v>
      </c>
      <c r="AE31" s="138">
        <f t="shared" si="1"/>
        <v>4.3195541105434332E-2</v>
      </c>
    </row>
    <row r="32" spans="1:40" x14ac:dyDescent="0.25">
      <c r="B32" s="193">
        <v>42705</v>
      </c>
      <c r="C32" s="10">
        <v>50</v>
      </c>
      <c r="D32" s="40">
        <v>36.58</v>
      </c>
      <c r="E32" s="40">
        <v>38.85</v>
      </c>
      <c r="F32" s="40">
        <f t="shared" ref="F32" si="17">C32*(E32-D32)</f>
        <v>113.50000000000016</v>
      </c>
      <c r="G32" s="40">
        <f t="shared" ref="G32" si="18">D32*C32</f>
        <v>1829</v>
      </c>
      <c r="H32" s="231">
        <f t="shared" ref="H32" si="19">(E32-D32)/D32</f>
        <v>6.205576817933306E-2</v>
      </c>
      <c r="I32" s="40"/>
      <c r="W32" s="94">
        <v>42723</v>
      </c>
      <c r="X32" s="365">
        <v>43.97</v>
      </c>
      <c r="Y32" s="40">
        <v>43.97</v>
      </c>
      <c r="Z32" s="40">
        <v>42.9</v>
      </c>
      <c r="AA32" s="365">
        <v>43.06</v>
      </c>
      <c r="AB32" s="95">
        <v>1362900</v>
      </c>
      <c r="AC32" s="243">
        <v>43.06</v>
      </c>
      <c r="AD32" s="2">
        <f t="shared" si="0"/>
        <v>1.0700000000000003</v>
      </c>
      <c r="AE32" s="138">
        <f t="shared" si="1"/>
        <v>-2.4246544300929096E-2</v>
      </c>
    </row>
    <row r="33" spans="1:31" x14ac:dyDescent="0.25">
      <c r="B33" s="193">
        <v>42710</v>
      </c>
      <c r="C33" s="10">
        <v>0</v>
      </c>
      <c r="D33" s="40"/>
      <c r="E33" s="40"/>
      <c r="F33" s="40">
        <v>234.96</v>
      </c>
      <c r="G33" s="40"/>
      <c r="H33" s="231"/>
      <c r="I33" s="40"/>
      <c r="W33" s="94">
        <v>42720</v>
      </c>
      <c r="X33" s="365">
        <v>45.2</v>
      </c>
      <c r="Y33" s="40">
        <v>45.2</v>
      </c>
      <c r="Z33" s="40">
        <v>43.81</v>
      </c>
      <c r="AA33" s="365">
        <v>44.13</v>
      </c>
      <c r="AB33" s="95">
        <v>1968000</v>
      </c>
      <c r="AC33" s="243">
        <v>44.13</v>
      </c>
      <c r="AD33" s="2">
        <f t="shared" si="0"/>
        <v>1.3900000000000006</v>
      </c>
      <c r="AE33" s="138">
        <f t="shared" si="1"/>
        <v>-2.2374833850243636E-2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94">
        <v>42719</v>
      </c>
      <c r="X34" s="365">
        <v>44.17</v>
      </c>
      <c r="Y34" s="40">
        <v>45.37</v>
      </c>
      <c r="Z34" s="40">
        <v>43.52</v>
      </c>
      <c r="AA34" s="365">
        <v>45.14</v>
      </c>
      <c r="AB34" s="95">
        <v>2064000</v>
      </c>
      <c r="AC34" s="243">
        <v>45.14</v>
      </c>
      <c r="AD34" s="2">
        <f t="shared" si="0"/>
        <v>1.8499999999999943</v>
      </c>
      <c r="AE34" s="138">
        <f t="shared" si="1"/>
        <v>2.5210084033613356E-2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94">
        <v>42718</v>
      </c>
      <c r="X35" s="365">
        <v>43.92</v>
      </c>
      <c r="Y35" s="40">
        <v>44.91</v>
      </c>
      <c r="Z35" s="40">
        <v>43.65</v>
      </c>
      <c r="AA35" s="365">
        <v>44.03</v>
      </c>
      <c r="AB35" s="95">
        <v>1342800</v>
      </c>
      <c r="AC35" s="243">
        <v>44.03</v>
      </c>
      <c r="AD35" s="2">
        <f t="shared" si="0"/>
        <v>1.259999999999998</v>
      </c>
      <c r="AE35" s="138">
        <f t="shared" si="1"/>
        <v>2.9612756264236761E-3</v>
      </c>
    </row>
    <row r="36" spans="1:31" x14ac:dyDescent="0.25">
      <c r="W36" s="94">
        <v>42717</v>
      </c>
      <c r="X36" s="365">
        <v>44.04</v>
      </c>
      <c r="Y36" s="40">
        <v>44.16</v>
      </c>
      <c r="Z36" s="40">
        <v>43.58</v>
      </c>
      <c r="AA36" s="365">
        <v>43.9</v>
      </c>
      <c r="AB36" s="95">
        <v>1274800</v>
      </c>
      <c r="AC36" s="243">
        <v>43.9</v>
      </c>
      <c r="AD36" s="2">
        <f t="shared" si="0"/>
        <v>0.57999999999999829</v>
      </c>
      <c r="AE36" s="138">
        <f t="shared" si="1"/>
        <v>-2.0459195271653741E-3</v>
      </c>
    </row>
    <row r="37" spans="1:31" x14ac:dyDescent="0.25">
      <c r="L37" t="s">
        <v>213</v>
      </c>
      <c r="M37" s="2">
        <f>M55+K55-F55</f>
        <v>427.92000000000007</v>
      </c>
      <c r="W37" s="94">
        <v>42716</v>
      </c>
      <c r="X37" s="365">
        <v>44.21</v>
      </c>
      <c r="Y37" s="40">
        <v>44.38</v>
      </c>
      <c r="Z37" s="40">
        <v>43.32</v>
      </c>
      <c r="AA37" s="365">
        <v>43.99</v>
      </c>
      <c r="AB37" s="95">
        <v>1906800</v>
      </c>
      <c r="AC37" s="243">
        <v>43.99</v>
      </c>
      <c r="AD37" s="2">
        <f t="shared" si="0"/>
        <v>1.0600000000000023</v>
      </c>
      <c r="AE37" s="138">
        <f t="shared" si="1"/>
        <v>-1.1460674157303341E-2</v>
      </c>
    </row>
    <row r="38" spans="1:31" x14ac:dyDescent="0.25">
      <c r="A38" s="263" t="s">
        <v>1</v>
      </c>
      <c r="B38" s="263" t="s">
        <v>2</v>
      </c>
      <c r="C38" s="263" t="s">
        <v>4</v>
      </c>
      <c r="D38" s="264" t="s">
        <v>5</v>
      </c>
      <c r="E38" s="264" t="s">
        <v>90</v>
      </c>
      <c r="F38" s="264" t="s">
        <v>60</v>
      </c>
      <c r="G38" s="263" t="s">
        <v>3</v>
      </c>
      <c r="H38" s="263" t="s">
        <v>6</v>
      </c>
      <c r="I38" s="264" t="s">
        <v>7</v>
      </c>
      <c r="J38" s="264" t="s">
        <v>89</v>
      </c>
      <c r="K38" s="264" t="s">
        <v>61</v>
      </c>
      <c r="L38" s="263" t="s">
        <v>77</v>
      </c>
      <c r="M38" s="263" t="s">
        <v>38</v>
      </c>
      <c r="W38" s="94">
        <v>42713</v>
      </c>
      <c r="X38" s="365">
        <v>44.19</v>
      </c>
      <c r="Y38" s="40">
        <v>44.7</v>
      </c>
      <c r="Z38" s="40">
        <v>43.76</v>
      </c>
      <c r="AA38" s="365">
        <v>44.5</v>
      </c>
      <c r="AB38" s="95">
        <v>1182900</v>
      </c>
      <c r="AC38" s="243">
        <v>44.5</v>
      </c>
      <c r="AD38" s="2">
        <f t="shared" si="0"/>
        <v>0.94000000000000483</v>
      </c>
      <c r="AE38" s="138">
        <f t="shared" si="1"/>
        <v>1.0904134484325256E-2</v>
      </c>
    </row>
    <row r="39" spans="1:31" ht="20.25" thickBot="1" x14ac:dyDescent="0.35">
      <c r="A39" s="265" t="s">
        <v>286</v>
      </c>
      <c r="B39" s="266">
        <v>42621</v>
      </c>
      <c r="C39" s="261">
        <v>50</v>
      </c>
      <c r="D39" s="262">
        <v>34.68</v>
      </c>
      <c r="E39" s="262">
        <v>0</v>
      </c>
      <c r="F39" s="262">
        <f>D39*C39+E39</f>
        <v>1734</v>
      </c>
      <c r="G39" s="266">
        <v>42663</v>
      </c>
      <c r="H39" s="267">
        <v>50</v>
      </c>
      <c r="I39" s="262">
        <v>38.54</v>
      </c>
      <c r="J39" s="262">
        <v>0.04</v>
      </c>
      <c r="K39" s="262">
        <f>H39*I39-J39</f>
        <v>1926.96</v>
      </c>
      <c r="L39" s="266"/>
      <c r="M39" s="262"/>
      <c r="O39" s="11"/>
      <c r="P39" s="638" t="s">
        <v>78</v>
      </c>
      <c r="Q39" s="638"/>
      <c r="R39" s="34"/>
      <c r="T39" s="91" t="s">
        <v>113</v>
      </c>
      <c r="W39" s="94">
        <v>42712</v>
      </c>
      <c r="X39" s="365">
        <v>42.77</v>
      </c>
      <c r="Y39" s="40">
        <v>44.17</v>
      </c>
      <c r="Z39" s="40">
        <v>42.38</v>
      </c>
      <c r="AA39" s="365">
        <v>44.02</v>
      </c>
      <c r="AB39" s="95">
        <v>2234100</v>
      </c>
      <c r="AC39" s="243">
        <v>44.02</v>
      </c>
      <c r="AD39" s="2">
        <f t="shared" si="0"/>
        <v>1.7899999999999991</v>
      </c>
      <c r="AE39" s="138">
        <f t="shared" si="1"/>
        <v>3.1879981247070033E-2</v>
      </c>
    </row>
    <row r="40" spans="1:31" ht="15.75" thickTop="1" x14ac:dyDescent="0.25">
      <c r="A40" s="268" t="s">
        <v>71</v>
      </c>
      <c r="B40" s="266">
        <v>42670</v>
      </c>
      <c r="C40" s="261">
        <v>50</v>
      </c>
      <c r="D40" s="262">
        <v>36.58</v>
      </c>
      <c r="E40" s="262">
        <v>0</v>
      </c>
      <c r="F40" s="262">
        <f>C40*D40+E40</f>
        <v>1829</v>
      </c>
      <c r="G40" s="266">
        <v>42710</v>
      </c>
      <c r="H40" s="267">
        <v>50</v>
      </c>
      <c r="I40" s="262">
        <v>41.28</v>
      </c>
      <c r="J40" s="262">
        <v>0.04</v>
      </c>
      <c r="K40" s="262">
        <f>H40*I40-J40</f>
        <v>2063.96</v>
      </c>
      <c r="L40" s="261"/>
      <c r="M40" s="261"/>
      <c r="O40" s="2"/>
      <c r="P40" s="83">
        <v>1.1000000000000001</v>
      </c>
      <c r="Q40" s="83">
        <f>P40*$Q$4</f>
        <v>52.514000000000003</v>
      </c>
      <c r="R40" s="34"/>
      <c r="T40" s="97" t="s">
        <v>98</v>
      </c>
      <c r="U40" s="129">
        <v>48.08</v>
      </c>
      <c r="W40" s="94">
        <v>42711</v>
      </c>
      <c r="X40" s="365">
        <v>41.27</v>
      </c>
      <c r="Y40" s="40">
        <v>42.86</v>
      </c>
      <c r="Z40" s="40">
        <v>41.08</v>
      </c>
      <c r="AA40" s="365">
        <v>42.66</v>
      </c>
      <c r="AB40" s="95">
        <v>1446100</v>
      </c>
      <c r="AC40" s="243">
        <v>42.66</v>
      </c>
      <c r="AD40" s="2">
        <f t="shared" si="0"/>
        <v>1.7800000000000011</v>
      </c>
      <c r="AE40" s="138">
        <f t="shared" si="1"/>
        <v>3.4181818181818091E-2</v>
      </c>
    </row>
    <row r="41" spans="1:31" x14ac:dyDescent="0.25">
      <c r="A41" s="261"/>
      <c r="B41" s="266"/>
      <c r="C41" s="261"/>
      <c r="D41" s="262"/>
      <c r="E41" s="262"/>
      <c r="F41" s="262"/>
      <c r="G41" s="266"/>
      <c r="H41" s="267"/>
      <c r="I41" s="262"/>
      <c r="J41" s="262"/>
      <c r="K41" s="262"/>
      <c r="L41" s="261"/>
      <c r="M41" s="261"/>
      <c r="O41" s="2"/>
      <c r="P41" s="83">
        <v>1.0900000000000001</v>
      </c>
      <c r="Q41" s="83">
        <f t="shared" ref="Q41:Q60" si="20">P41*$Q$4</f>
        <v>52.036600000000007</v>
      </c>
      <c r="R41" s="34"/>
      <c r="T41" s="87" t="s">
        <v>99</v>
      </c>
      <c r="U41" s="130">
        <v>48.17</v>
      </c>
      <c r="W41" s="94">
        <v>42710</v>
      </c>
      <c r="X41" s="365">
        <v>40.880000000000003</v>
      </c>
      <c r="Y41" s="40">
        <v>41.41</v>
      </c>
      <c r="Z41" s="40">
        <v>40.47</v>
      </c>
      <c r="AA41" s="365">
        <v>41.25</v>
      </c>
      <c r="AB41" s="95">
        <v>1151400</v>
      </c>
      <c r="AC41" s="243">
        <v>41.25</v>
      </c>
      <c r="AD41" s="2">
        <f t="shared" si="0"/>
        <v>0.93999999999999773</v>
      </c>
      <c r="AE41" s="138">
        <f t="shared" si="1"/>
        <v>1.5009842519684957E-2</v>
      </c>
    </row>
    <row r="42" spans="1:31" x14ac:dyDescent="0.25">
      <c r="A42" s="261"/>
      <c r="B42" s="266"/>
      <c r="C42" s="261"/>
      <c r="D42" s="262"/>
      <c r="E42" s="262"/>
      <c r="F42" s="262"/>
      <c r="G42" s="266"/>
      <c r="H42" s="267"/>
      <c r="I42" s="262"/>
      <c r="J42" s="262"/>
      <c r="K42" s="262"/>
      <c r="L42" s="261"/>
      <c r="M42" s="261"/>
      <c r="O42" s="2"/>
      <c r="P42" s="83">
        <v>1.08</v>
      </c>
      <c r="Q42" s="83">
        <f t="shared" si="20"/>
        <v>51.559200000000004</v>
      </c>
      <c r="R42" s="34"/>
      <c r="T42" s="87" t="s">
        <v>100</v>
      </c>
      <c r="U42" s="130" t="s">
        <v>608</v>
      </c>
      <c r="W42" s="94">
        <v>42709</v>
      </c>
      <c r="X42" s="365">
        <v>39.700000000000003</v>
      </c>
      <c r="Y42" s="40">
        <v>40.99</v>
      </c>
      <c r="Z42" s="40">
        <v>39.479999999999997</v>
      </c>
      <c r="AA42" s="365">
        <v>40.64</v>
      </c>
      <c r="AB42" s="95">
        <v>1406200</v>
      </c>
      <c r="AC42" s="243">
        <v>40.64</v>
      </c>
      <c r="AD42" s="2">
        <f t="shared" si="0"/>
        <v>1.5100000000000051</v>
      </c>
      <c r="AE42" s="138">
        <f t="shared" si="1"/>
        <v>3.4623217922606919E-2</v>
      </c>
    </row>
    <row r="43" spans="1:31" x14ac:dyDescent="0.25">
      <c r="A43" s="261"/>
      <c r="B43" s="261"/>
      <c r="C43" s="261"/>
      <c r="D43" s="262"/>
      <c r="E43" s="262"/>
      <c r="F43" s="262"/>
      <c r="G43" s="261"/>
      <c r="H43" s="267"/>
      <c r="I43" s="262"/>
      <c r="J43" s="262"/>
      <c r="K43" s="262"/>
      <c r="L43" s="261"/>
      <c r="M43" s="261"/>
      <c r="O43" s="2"/>
      <c r="P43" s="83">
        <v>1.07</v>
      </c>
      <c r="Q43" s="83">
        <f t="shared" si="20"/>
        <v>51.081800000000008</v>
      </c>
      <c r="R43" s="83"/>
      <c r="T43" s="87" t="s">
        <v>101</v>
      </c>
      <c r="U43" s="130" t="s">
        <v>514</v>
      </c>
      <c r="W43" s="94">
        <v>42706</v>
      </c>
      <c r="X43" s="365">
        <v>38.71</v>
      </c>
      <c r="Y43" s="40">
        <v>39.33</v>
      </c>
      <c r="Z43" s="40">
        <v>38.659999999999997</v>
      </c>
      <c r="AA43" s="365">
        <v>39.28</v>
      </c>
      <c r="AB43" s="95">
        <v>1092300</v>
      </c>
      <c r="AC43" s="243">
        <v>39.28</v>
      </c>
      <c r="AD43" s="2">
        <f t="shared" si="0"/>
        <v>0.67000000000000171</v>
      </c>
      <c r="AE43" s="138">
        <f t="shared" si="1"/>
        <v>1.1068211068210987E-2</v>
      </c>
    </row>
    <row r="44" spans="1:31" x14ac:dyDescent="0.25">
      <c r="A44" s="261"/>
      <c r="B44" s="261"/>
      <c r="C44" s="261"/>
      <c r="D44" s="262"/>
      <c r="E44" s="262"/>
      <c r="F44" s="262"/>
      <c r="G44" s="261"/>
      <c r="H44" s="261"/>
      <c r="I44" s="262"/>
      <c r="J44" s="262"/>
      <c r="K44" s="262"/>
      <c r="L44" s="261"/>
      <c r="M44" s="261"/>
      <c r="O44" s="2"/>
      <c r="P44" s="83">
        <v>1.06</v>
      </c>
      <c r="Q44" s="83">
        <f t="shared" si="20"/>
        <v>50.604400000000005</v>
      </c>
      <c r="R44" s="83"/>
      <c r="T44" s="87" t="s">
        <v>102</v>
      </c>
      <c r="U44" s="130">
        <v>46.06</v>
      </c>
      <c r="W44" s="94">
        <v>42705</v>
      </c>
      <c r="X44" s="365">
        <v>39.869999999999997</v>
      </c>
      <c r="Y44" s="40">
        <v>40.28</v>
      </c>
      <c r="Z44" s="40">
        <v>38.68</v>
      </c>
      <c r="AA44" s="365">
        <v>38.85</v>
      </c>
      <c r="AB44" s="95">
        <v>1323700</v>
      </c>
      <c r="AC44" s="243">
        <v>38.85</v>
      </c>
      <c r="AD44" s="2">
        <f t="shared" si="0"/>
        <v>1.6000000000000014</v>
      </c>
      <c r="AE44" s="138">
        <f t="shared" si="1"/>
        <v>-2.4114544084400946E-2</v>
      </c>
    </row>
    <row r="45" spans="1:31" x14ac:dyDescent="0.25">
      <c r="A45" s="261"/>
      <c r="B45" s="261"/>
      <c r="C45" s="261"/>
      <c r="D45" s="262"/>
      <c r="E45" s="262"/>
      <c r="F45" s="262"/>
      <c r="G45" s="261"/>
      <c r="H45" s="261"/>
      <c r="I45" s="262"/>
      <c r="J45" s="262"/>
      <c r="K45" s="262"/>
      <c r="L45" s="261"/>
      <c r="M45" s="261"/>
      <c r="O45" s="2"/>
      <c r="P45" s="83">
        <v>1.05</v>
      </c>
      <c r="Q45" s="83">
        <f t="shared" si="20"/>
        <v>50.127000000000002</v>
      </c>
      <c r="R45" s="83"/>
      <c r="T45" s="87" t="s">
        <v>103</v>
      </c>
      <c r="U45" s="130">
        <v>1.37337</v>
      </c>
      <c r="W45" s="94">
        <v>42704</v>
      </c>
      <c r="X45" s="365">
        <v>40.479999999999997</v>
      </c>
      <c r="Y45" s="40">
        <v>40.479999999999997</v>
      </c>
      <c r="Z45" s="40">
        <v>39.32</v>
      </c>
      <c r="AA45" s="365">
        <v>39.81</v>
      </c>
      <c r="AB45" s="95">
        <v>1752300</v>
      </c>
      <c r="AC45" s="243">
        <v>39.81</v>
      </c>
      <c r="AD45" s="2">
        <f t="shared" si="0"/>
        <v>1.1599999999999966</v>
      </c>
      <c r="AE45" s="138">
        <f t="shared" si="1"/>
        <v>-2.2107590272660294E-2</v>
      </c>
    </row>
    <row r="46" spans="1:31" x14ac:dyDescent="0.25">
      <c r="A46" s="261"/>
      <c r="B46" s="261"/>
      <c r="C46" s="261"/>
      <c r="D46" s="262"/>
      <c r="E46" s="262"/>
      <c r="F46" s="262"/>
      <c r="G46" s="261"/>
      <c r="H46" s="261"/>
      <c r="I46" s="262"/>
      <c r="J46" s="262"/>
      <c r="K46" s="262"/>
      <c r="L46" s="261"/>
      <c r="M46" s="261"/>
      <c r="O46" s="2"/>
      <c r="P46" s="83">
        <v>1.04</v>
      </c>
      <c r="Q46" s="83">
        <f t="shared" si="20"/>
        <v>49.649600000000007</v>
      </c>
      <c r="R46" s="83"/>
      <c r="T46" s="87" t="s">
        <v>122</v>
      </c>
      <c r="U46" s="232" t="s">
        <v>333</v>
      </c>
      <c r="W46" s="94">
        <v>42703</v>
      </c>
      <c r="X46" s="365">
        <v>40.31</v>
      </c>
      <c r="Y46" s="40">
        <v>40.71</v>
      </c>
      <c r="Z46" s="40">
        <v>40.090000000000003</v>
      </c>
      <c r="AA46" s="365">
        <v>40.71</v>
      </c>
      <c r="AB46" s="95">
        <v>1220600</v>
      </c>
      <c r="AC46" s="243">
        <v>40.71</v>
      </c>
      <c r="AD46" s="2">
        <f t="shared" si="0"/>
        <v>0.61999999999999744</v>
      </c>
      <c r="AE46" s="138">
        <f t="shared" si="1"/>
        <v>1.5211970074813008E-2</v>
      </c>
    </row>
    <row r="47" spans="1:31" x14ac:dyDescent="0.25">
      <c r="A47" s="261"/>
      <c r="B47" s="261"/>
      <c r="C47" s="261"/>
      <c r="D47" s="262"/>
      <c r="E47" s="262"/>
      <c r="F47" s="262"/>
      <c r="G47" s="261"/>
      <c r="H47" s="261"/>
      <c r="I47" s="262"/>
      <c r="J47" s="262"/>
      <c r="K47" s="262"/>
      <c r="L47" s="261"/>
      <c r="M47" s="261"/>
      <c r="O47" s="2"/>
      <c r="P47" s="83">
        <v>1.03</v>
      </c>
      <c r="Q47" s="83">
        <f t="shared" si="20"/>
        <v>49.172200000000004</v>
      </c>
      <c r="R47" s="83"/>
      <c r="T47" s="87"/>
      <c r="U47" s="130"/>
      <c r="W47" s="94">
        <v>42702</v>
      </c>
      <c r="X47" s="365">
        <v>40.51</v>
      </c>
      <c r="Y47" s="40">
        <v>40.659999999999997</v>
      </c>
      <c r="Z47" s="40">
        <v>39.770000000000003</v>
      </c>
      <c r="AA47" s="365">
        <v>40.1</v>
      </c>
      <c r="AB47" s="95">
        <v>1525400</v>
      </c>
      <c r="AC47" s="243">
        <v>40.1</v>
      </c>
      <c r="AD47" s="2">
        <f t="shared" si="0"/>
        <v>0.88999999999999346</v>
      </c>
      <c r="AE47" s="138">
        <f t="shared" si="1"/>
        <v>-1.1828486939378879E-2</v>
      </c>
    </row>
    <row r="48" spans="1:31" x14ac:dyDescent="0.25">
      <c r="A48" s="261"/>
      <c r="B48" s="261"/>
      <c r="C48" s="261"/>
      <c r="D48" s="262"/>
      <c r="E48" s="262"/>
      <c r="F48" s="262"/>
      <c r="G48" s="261"/>
      <c r="H48" s="261"/>
      <c r="I48" s="262"/>
      <c r="J48" s="262"/>
      <c r="K48" s="262"/>
      <c r="L48" s="261"/>
      <c r="M48" s="261"/>
      <c r="O48" s="2"/>
      <c r="P48" s="83">
        <v>1.02</v>
      </c>
      <c r="Q48" s="83">
        <f t="shared" si="20"/>
        <v>48.694800000000001</v>
      </c>
      <c r="R48" s="83"/>
      <c r="T48" s="87" t="s">
        <v>105</v>
      </c>
      <c r="U48" s="130" t="s">
        <v>609</v>
      </c>
      <c r="W48" s="94">
        <v>42699</v>
      </c>
      <c r="X48" s="365">
        <v>39.96</v>
      </c>
      <c r="Y48" s="40">
        <v>40.590000000000003</v>
      </c>
      <c r="Z48" s="40">
        <v>39.65</v>
      </c>
      <c r="AA48" s="365">
        <v>40.58</v>
      </c>
      <c r="AB48" s="95">
        <v>510700</v>
      </c>
      <c r="AC48" s="243">
        <v>40.58</v>
      </c>
      <c r="AD48" s="2">
        <f t="shared" si="0"/>
        <v>0.94000000000000483</v>
      </c>
      <c r="AE48" s="138">
        <f t="shared" si="1"/>
        <v>1.5007503751875984E-2</v>
      </c>
    </row>
    <row r="49" spans="1:31" x14ac:dyDescent="0.25">
      <c r="A49" s="261"/>
      <c r="B49" s="261"/>
      <c r="C49" s="261"/>
      <c r="D49" s="262"/>
      <c r="E49" s="262"/>
      <c r="F49" s="262"/>
      <c r="G49" s="261"/>
      <c r="H49" s="261"/>
      <c r="I49" s="262"/>
      <c r="J49" s="262"/>
      <c r="K49" s="262"/>
      <c r="L49" s="261"/>
      <c r="M49" s="261"/>
      <c r="O49" s="2"/>
      <c r="P49" s="83">
        <v>1.01</v>
      </c>
      <c r="Q49" s="83">
        <f t="shared" si="20"/>
        <v>48.217400000000005</v>
      </c>
      <c r="R49" s="83"/>
      <c r="T49" s="87" t="s">
        <v>106</v>
      </c>
      <c r="U49" s="130" t="s">
        <v>401</v>
      </c>
      <c r="W49" s="94">
        <v>42697</v>
      </c>
      <c r="X49" s="365">
        <v>39.31</v>
      </c>
      <c r="Y49" s="40">
        <v>40.21</v>
      </c>
      <c r="Z49" s="40">
        <v>39.31</v>
      </c>
      <c r="AA49" s="365">
        <v>39.979999999999997</v>
      </c>
      <c r="AB49" s="95">
        <v>1123000</v>
      </c>
      <c r="AC49" s="243">
        <v>39.979999999999997</v>
      </c>
      <c r="AD49" s="2">
        <f t="shared" si="0"/>
        <v>0.89999999999999858</v>
      </c>
      <c r="AE49" s="138">
        <f t="shared" si="1"/>
        <v>-6.7080745341615566E-3</v>
      </c>
    </row>
    <row r="50" spans="1:31" x14ac:dyDescent="0.25">
      <c r="A50" s="261"/>
      <c r="B50" s="261"/>
      <c r="C50" s="261"/>
      <c r="D50" s="262"/>
      <c r="E50" s="262"/>
      <c r="F50" s="262"/>
      <c r="G50" s="261"/>
      <c r="H50" s="261"/>
      <c r="I50" s="262"/>
      <c r="J50" s="262"/>
      <c r="K50" s="262"/>
      <c r="L50" s="261"/>
      <c r="M50" s="261"/>
      <c r="O50" s="2"/>
      <c r="P50" s="83">
        <v>1</v>
      </c>
      <c r="Q50" s="83">
        <f t="shared" si="20"/>
        <v>47.74</v>
      </c>
      <c r="R50" s="83"/>
      <c r="T50" s="87" t="s">
        <v>107</v>
      </c>
      <c r="U50" s="131">
        <v>694731</v>
      </c>
      <c r="W50" s="94">
        <v>42696</v>
      </c>
      <c r="X50" s="365">
        <v>39.85</v>
      </c>
      <c r="Y50" s="40">
        <v>40.35</v>
      </c>
      <c r="Z50" s="40">
        <v>39.46</v>
      </c>
      <c r="AA50" s="365">
        <v>40.25</v>
      </c>
      <c r="AB50" s="95">
        <v>1451900</v>
      </c>
      <c r="AC50" s="243">
        <v>40.25</v>
      </c>
      <c r="AD50" s="2">
        <f t="shared" si="0"/>
        <v>0.89000000000000057</v>
      </c>
      <c r="AE50" s="138">
        <f t="shared" si="1"/>
        <v>1.6670876483960484E-2</v>
      </c>
    </row>
    <row r="51" spans="1:31" x14ac:dyDescent="0.25">
      <c r="A51" s="261"/>
      <c r="B51" s="261"/>
      <c r="C51" s="261"/>
      <c r="D51" s="262"/>
      <c r="E51" s="262"/>
      <c r="F51" s="262"/>
      <c r="G51" s="261"/>
      <c r="H51" s="261"/>
      <c r="I51" s="262"/>
      <c r="J51" s="262"/>
      <c r="K51" s="262"/>
      <c r="L51" s="261"/>
      <c r="M51" s="261"/>
      <c r="O51" s="2"/>
      <c r="P51" s="83">
        <v>0.99</v>
      </c>
      <c r="Q51" s="83">
        <f t="shared" si="20"/>
        <v>47.262599999999999</v>
      </c>
      <c r="R51" s="83"/>
      <c r="T51" s="87" t="s">
        <v>110</v>
      </c>
      <c r="U51" s="131">
        <v>1524930</v>
      </c>
      <c r="W51" s="94">
        <v>42695</v>
      </c>
      <c r="X51" s="365">
        <v>39.79</v>
      </c>
      <c r="Y51" s="40">
        <v>40.119999999999997</v>
      </c>
      <c r="Z51" s="40">
        <v>39.46</v>
      </c>
      <c r="AA51" s="365">
        <v>39.590000000000003</v>
      </c>
      <c r="AB51" s="95">
        <v>1324100</v>
      </c>
      <c r="AC51" s="243">
        <v>39.590000000000003</v>
      </c>
      <c r="AD51" s="2">
        <f t="shared" si="0"/>
        <v>0.65999999999999659</v>
      </c>
      <c r="AE51" s="138">
        <f t="shared" si="1"/>
        <v>-2.2681451612902581E-3</v>
      </c>
    </row>
    <row r="52" spans="1:31" x14ac:dyDescent="0.25">
      <c r="A52" s="261"/>
      <c r="B52" s="261"/>
      <c r="C52" s="261"/>
      <c r="D52" s="262"/>
      <c r="E52" s="262"/>
      <c r="F52" s="262"/>
      <c r="G52" s="261"/>
      <c r="H52" s="261"/>
      <c r="I52" s="262"/>
      <c r="J52" s="262"/>
      <c r="K52" s="262"/>
      <c r="L52" s="261"/>
      <c r="M52" s="261"/>
      <c r="O52" s="2"/>
      <c r="P52" s="83">
        <v>0.98</v>
      </c>
      <c r="Q52" s="83">
        <f t="shared" si="20"/>
        <v>46.785200000000003</v>
      </c>
      <c r="R52" s="83"/>
      <c r="T52" s="87" t="s">
        <v>108</v>
      </c>
      <c r="U52" s="130" t="s">
        <v>610</v>
      </c>
      <c r="W52" s="94">
        <v>42692</v>
      </c>
      <c r="X52" s="365">
        <v>39.68</v>
      </c>
      <c r="Y52" s="40">
        <v>40.07</v>
      </c>
      <c r="Z52" s="40">
        <v>39.14</v>
      </c>
      <c r="AA52" s="365">
        <v>39.68</v>
      </c>
      <c r="AB52" s="95">
        <v>1597400</v>
      </c>
      <c r="AC52" s="243">
        <v>39.68</v>
      </c>
      <c r="AD52" s="2">
        <f t="shared" si="0"/>
        <v>0.92999999999999972</v>
      </c>
      <c r="AE52" s="138">
        <f t="shared" si="1"/>
        <v>-3.7660055234747247E-3</v>
      </c>
    </row>
    <row r="53" spans="1:31" x14ac:dyDescent="0.25">
      <c r="A53" s="261"/>
      <c r="B53" s="261"/>
      <c r="C53" s="261"/>
      <c r="D53" s="262"/>
      <c r="E53" s="262"/>
      <c r="F53" s="262"/>
      <c r="G53" s="261"/>
      <c r="H53" s="261"/>
      <c r="I53" s="262"/>
      <c r="J53" s="262"/>
      <c r="K53" s="262"/>
      <c r="L53" s="261"/>
      <c r="M53" s="261"/>
      <c r="O53" s="2"/>
      <c r="P53" s="83">
        <v>0.97</v>
      </c>
      <c r="Q53" s="83">
        <f t="shared" si="20"/>
        <v>46.3078</v>
      </c>
      <c r="R53" s="83"/>
      <c r="T53" s="87" t="s">
        <v>111</v>
      </c>
      <c r="U53" s="130">
        <v>18.16</v>
      </c>
      <c r="W53" s="94">
        <v>42691</v>
      </c>
      <c r="X53" s="365">
        <v>39.6</v>
      </c>
      <c r="Y53" s="40">
        <v>40.049999999999997</v>
      </c>
      <c r="Z53" s="40">
        <v>39.33</v>
      </c>
      <c r="AA53" s="365">
        <v>39.83</v>
      </c>
      <c r="AB53" s="95">
        <v>1294200</v>
      </c>
      <c r="AC53" s="243">
        <v>39.83</v>
      </c>
      <c r="AD53" s="2">
        <f t="shared" si="0"/>
        <v>0.71999999999999886</v>
      </c>
      <c r="AE53" s="138">
        <f t="shared" si="1"/>
        <v>6.5706343189284588E-3</v>
      </c>
    </row>
    <row r="54" spans="1:31" x14ac:dyDescent="0.25">
      <c r="A54" s="261"/>
      <c r="B54" s="261"/>
      <c r="C54" s="261"/>
      <c r="D54" s="262"/>
      <c r="E54" s="262"/>
      <c r="F54" s="262"/>
      <c r="G54" s="261"/>
      <c r="H54" s="261"/>
      <c r="I54" s="262"/>
      <c r="J54" s="262"/>
      <c r="K54" s="262"/>
      <c r="L54" s="261"/>
      <c r="M54" s="261"/>
      <c r="O54" s="2"/>
      <c r="P54" s="83">
        <v>0.96</v>
      </c>
      <c r="Q54" s="83">
        <f t="shared" si="20"/>
        <v>45.830399999999997</v>
      </c>
      <c r="R54" s="83"/>
      <c r="T54" s="87" t="s">
        <v>112</v>
      </c>
      <c r="U54" s="130">
        <v>2.63</v>
      </c>
      <c r="W54" s="94">
        <v>42690</v>
      </c>
      <c r="X54" s="365">
        <v>40.130000000000003</v>
      </c>
      <c r="Y54" s="40">
        <v>40.130000000000003</v>
      </c>
      <c r="Z54" s="40">
        <v>39.1</v>
      </c>
      <c r="AA54" s="365">
        <v>39.57</v>
      </c>
      <c r="AB54" s="95">
        <v>1252400</v>
      </c>
      <c r="AC54" s="243">
        <v>39.57</v>
      </c>
      <c r="AD54" s="2">
        <f t="shared" si="0"/>
        <v>1.0300000000000011</v>
      </c>
      <c r="AE54" s="138">
        <f t="shared" si="1"/>
        <v>-1.4936519790888725E-2</v>
      </c>
    </row>
    <row r="55" spans="1:31" x14ac:dyDescent="0.25">
      <c r="A55" s="32" t="s">
        <v>81</v>
      </c>
      <c r="B55" s="14"/>
      <c r="C55" s="14">
        <f>SUM(C39:C43)</f>
        <v>100</v>
      </c>
      <c r="D55" s="14"/>
      <c r="E55" s="14"/>
      <c r="F55" s="18">
        <f>SUM(F39:F43)</f>
        <v>3563</v>
      </c>
      <c r="G55" s="18"/>
      <c r="H55" s="73">
        <f>SUM(H39:H43)</f>
        <v>100</v>
      </c>
      <c r="I55" s="18"/>
      <c r="J55" s="18"/>
      <c r="K55" s="18">
        <f>SUM(K39:K43)</f>
        <v>3990.92</v>
      </c>
      <c r="L55" s="18"/>
      <c r="M55" s="18">
        <f>SUM(M39:M43)</f>
        <v>0</v>
      </c>
      <c r="O55" s="2"/>
      <c r="P55" s="83">
        <v>0.95</v>
      </c>
      <c r="Q55" s="83">
        <f t="shared" si="20"/>
        <v>45.353000000000002</v>
      </c>
      <c r="R55" s="83"/>
      <c r="T55" s="87" t="s">
        <v>109</v>
      </c>
      <c r="U55" s="130" t="s">
        <v>123</v>
      </c>
      <c r="W55" s="94">
        <v>42689</v>
      </c>
      <c r="X55" s="365">
        <v>41.49</v>
      </c>
      <c r="Y55" s="40">
        <v>41.49</v>
      </c>
      <c r="Z55" s="40">
        <v>40.1</v>
      </c>
      <c r="AA55" s="365">
        <v>40.17</v>
      </c>
      <c r="AB55" s="95">
        <v>1996800</v>
      </c>
      <c r="AC55" s="243">
        <v>40.17</v>
      </c>
      <c r="AD55" s="2">
        <f t="shared" si="0"/>
        <v>1.3900000000000006</v>
      </c>
      <c r="AE55" s="138">
        <f t="shared" si="1"/>
        <v>-2.8301886792452824E-2</v>
      </c>
    </row>
    <row r="56" spans="1:31" x14ac:dyDescent="0.25">
      <c r="O56" s="2"/>
      <c r="P56" s="83">
        <v>0.94</v>
      </c>
      <c r="Q56" s="83">
        <f t="shared" si="20"/>
        <v>44.875599999999999</v>
      </c>
      <c r="R56" s="83"/>
      <c r="W56" s="94">
        <v>42688</v>
      </c>
      <c r="X56" s="365">
        <v>38.5</v>
      </c>
      <c r="Y56" s="40">
        <v>41.61</v>
      </c>
      <c r="Z56" s="40">
        <v>38.5</v>
      </c>
      <c r="AA56" s="365">
        <v>41.34</v>
      </c>
      <c r="AB56" s="95">
        <v>3492900</v>
      </c>
      <c r="AC56" s="243">
        <v>41.34</v>
      </c>
      <c r="AD56" s="2">
        <f t="shared" si="0"/>
        <v>3.1099999999999994</v>
      </c>
      <c r="AE56" s="138">
        <f t="shared" si="1"/>
        <v>7.6002082248828762E-2</v>
      </c>
    </row>
    <row r="57" spans="1:31" x14ac:dyDescent="0.25">
      <c r="O57" s="2"/>
      <c r="P57" s="83">
        <v>0.93</v>
      </c>
      <c r="Q57" s="83">
        <f t="shared" si="20"/>
        <v>44.398200000000003</v>
      </c>
      <c r="R57" s="83"/>
      <c r="W57" s="94">
        <v>42685</v>
      </c>
      <c r="X57" s="365">
        <v>37.68</v>
      </c>
      <c r="Y57" s="40">
        <v>39.04</v>
      </c>
      <c r="Z57" s="40">
        <v>37.07</v>
      </c>
      <c r="AA57" s="365">
        <v>38.42</v>
      </c>
      <c r="AB57" s="95">
        <v>3202300</v>
      </c>
      <c r="AC57" s="243">
        <v>38.42</v>
      </c>
      <c r="AD57" s="2">
        <f t="shared" si="0"/>
        <v>1.9699999999999989</v>
      </c>
      <c r="AE57" s="138">
        <f t="shared" si="1"/>
        <v>1.1851461680274067E-2</v>
      </c>
    </row>
    <row r="58" spans="1:31" x14ac:dyDescent="0.25">
      <c r="O58" s="2"/>
      <c r="P58" s="83">
        <v>0.92</v>
      </c>
      <c r="Q58" s="83">
        <f t="shared" si="20"/>
        <v>43.920800000000007</v>
      </c>
      <c r="R58" s="83"/>
      <c r="W58" s="94">
        <v>42684</v>
      </c>
      <c r="X58" s="365">
        <v>35.799999999999997</v>
      </c>
      <c r="Y58" s="40">
        <v>38.520000000000003</v>
      </c>
      <c r="Z58" s="40">
        <v>35.799999999999997</v>
      </c>
      <c r="AA58" s="365">
        <v>37.97</v>
      </c>
      <c r="AB58" s="95">
        <v>4985600</v>
      </c>
      <c r="AC58" s="243">
        <v>37.97</v>
      </c>
      <c r="AD58" s="2">
        <f t="shared" si="0"/>
        <v>2.720000000000006</v>
      </c>
      <c r="AE58" s="138">
        <f t="shared" si="1"/>
        <v>6.8674359696031528E-2</v>
      </c>
    </row>
    <row r="59" spans="1:31" x14ac:dyDescent="0.25">
      <c r="O59" s="2"/>
      <c r="P59" s="83">
        <v>0.91</v>
      </c>
      <c r="Q59" s="83">
        <f t="shared" si="20"/>
        <v>43.443400000000004</v>
      </c>
      <c r="R59" s="83"/>
      <c r="W59" s="94">
        <v>42683</v>
      </c>
      <c r="X59" s="365">
        <v>36.82</v>
      </c>
      <c r="Y59" s="40">
        <v>38.299999999999997</v>
      </c>
      <c r="Z59" s="40">
        <v>35.21</v>
      </c>
      <c r="AA59" s="365">
        <v>35.53</v>
      </c>
      <c r="AB59" s="95">
        <v>5487500</v>
      </c>
      <c r="AC59" s="243">
        <v>35.53</v>
      </c>
      <c r="AD59" s="2">
        <f t="shared" si="0"/>
        <v>3.0899999999999963</v>
      </c>
      <c r="AE59" s="138">
        <f t="shared" si="1"/>
        <v>-9.2001022233580421E-2</v>
      </c>
    </row>
    <row r="60" spans="1:31" x14ac:dyDescent="0.25">
      <c r="O60" s="2"/>
      <c r="P60" s="83">
        <v>0.9</v>
      </c>
      <c r="Q60" s="83">
        <f t="shared" si="20"/>
        <v>42.966000000000001</v>
      </c>
      <c r="R60" s="83"/>
      <c r="W60" s="94">
        <v>42682</v>
      </c>
      <c r="X60" s="365">
        <v>37.840000000000003</v>
      </c>
      <c r="Y60" s="40">
        <v>39.25</v>
      </c>
      <c r="Z60" s="40">
        <v>37.47</v>
      </c>
      <c r="AA60" s="365">
        <v>39.130000000000003</v>
      </c>
      <c r="AB60" s="95">
        <v>3036100</v>
      </c>
      <c r="AC60" s="243">
        <v>39.130000000000003</v>
      </c>
      <c r="AD60" s="2">
        <f t="shared" si="0"/>
        <v>1.7800000000000011</v>
      </c>
      <c r="AE60" s="138">
        <f t="shared" si="1"/>
        <v>3.436426116838498E-2</v>
      </c>
    </row>
    <row r="61" spans="1:31" x14ac:dyDescent="0.25">
      <c r="W61" s="94">
        <v>42681</v>
      </c>
      <c r="X61" s="365">
        <v>37.69</v>
      </c>
      <c r="Y61" s="40">
        <v>37.86</v>
      </c>
      <c r="Z61" s="40">
        <v>37.42</v>
      </c>
      <c r="AA61" s="365">
        <v>37.83</v>
      </c>
      <c r="AB61" s="95">
        <v>2555400</v>
      </c>
      <c r="AC61" s="243">
        <v>37.83</v>
      </c>
      <c r="AD61" s="2">
        <f t="shared" si="0"/>
        <v>0.43999999999999773</v>
      </c>
      <c r="AE61" s="138">
        <f t="shared" si="1"/>
        <v>2.2432432432432314E-2</v>
      </c>
    </row>
    <row r="62" spans="1:31" x14ac:dyDescent="0.25">
      <c r="W62" s="94">
        <v>42678</v>
      </c>
      <c r="X62" s="365">
        <v>36.869999999999997</v>
      </c>
      <c r="Y62" s="40">
        <v>37.79</v>
      </c>
      <c r="Z62" s="40">
        <v>36.869999999999997</v>
      </c>
      <c r="AA62" s="365">
        <v>37</v>
      </c>
      <c r="AB62" s="95">
        <v>1232300</v>
      </c>
      <c r="AC62" s="243">
        <v>37</v>
      </c>
      <c r="AD62" s="2">
        <f t="shared" si="0"/>
        <v>0.92000000000000171</v>
      </c>
      <c r="AE62" s="138">
        <f t="shared" si="1"/>
        <v>-5.6436441816716254E-3</v>
      </c>
    </row>
    <row r="63" spans="1:31" x14ac:dyDescent="0.25">
      <c r="W63" s="94">
        <v>42677</v>
      </c>
      <c r="X63" s="365">
        <v>37.6</v>
      </c>
      <c r="Y63" s="40">
        <v>37.85</v>
      </c>
      <c r="Z63" s="40">
        <v>37.020000000000003</v>
      </c>
      <c r="AA63" s="365">
        <v>37.21</v>
      </c>
      <c r="AB63" s="95">
        <v>1502000</v>
      </c>
      <c r="AC63" s="243">
        <v>37.21</v>
      </c>
      <c r="AD63" s="2">
        <f t="shared" si="0"/>
        <v>0.82999999999999829</v>
      </c>
      <c r="AE63" s="138">
        <f t="shared" si="1"/>
        <v>-7.4686583088824365E-3</v>
      </c>
    </row>
    <row r="64" spans="1:31" x14ac:dyDescent="0.25">
      <c r="W64" s="94">
        <v>42676</v>
      </c>
      <c r="X64" s="365">
        <v>37.79</v>
      </c>
      <c r="Y64" s="40">
        <v>38.32</v>
      </c>
      <c r="Z64" s="40">
        <v>37.21</v>
      </c>
      <c r="AA64" s="365">
        <v>37.49</v>
      </c>
      <c r="AB64" s="95">
        <v>1170600</v>
      </c>
      <c r="AC64" s="243">
        <v>37.49</v>
      </c>
      <c r="AD64" s="2">
        <f t="shared" si="0"/>
        <v>1.1099999999999994</v>
      </c>
      <c r="AE64" s="138">
        <f t="shared" si="1"/>
        <v>-5.5702917771883742E-3</v>
      </c>
    </row>
    <row r="65" spans="23:31" x14ac:dyDescent="0.25">
      <c r="W65" s="94">
        <v>42675</v>
      </c>
      <c r="X65" s="365">
        <v>39.11</v>
      </c>
      <c r="Y65" s="40">
        <v>39.14</v>
      </c>
      <c r="Z65" s="40">
        <v>37.21</v>
      </c>
      <c r="AA65" s="365">
        <v>37.700000000000003</v>
      </c>
      <c r="AB65" s="95">
        <v>1760000</v>
      </c>
      <c r="AC65" s="243">
        <v>37.700000000000003</v>
      </c>
      <c r="AD65" s="2">
        <f t="shared" si="0"/>
        <v>1.9299999999999997</v>
      </c>
      <c r="AE65" s="138">
        <f t="shared" si="1"/>
        <v>-3.0100334448160404E-2</v>
      </c>
    </row>
    <row r="66" spans="23:31" x14ac:dyDescent="0.25">
      <c r="W66" s="94">
        <v>42674</v>
      </c>
      <c r="X66" s="365">
        <v>38.44</v>
      </c>
      <c r="Y66" s="40">
        <v>38.96</v>
      </c>
      <c r="Z66" s="40">
        <v>38.18</v>
      </c>
      <c r="AA66" s="365">
        <v>38.869999999999997</v>
      </c>
      <c r="AB66" s="95">
        <v>1593700</v>
      </c>
      <c r="AC66" s="243">
        <v>38.869999999999997</v>
      </c>
      <c r="AD66" s="2">
        <f t="shared" si="0"/>
        <v>0.78000000000000114</v>
      </c>
      <c r="AE66" s="138">
        <f t="shared" si="1"/>
        <v>1.6474895397489364E-2</v>
      </c>
    </row>
    <row r="67" spans="23:31" x14ac:dyDescent="0.25">
      <c r="W67" s="94">
        <v>42671</v>
      </c>
      <c r="X67" s="365">
        <v>36.78</v>
      </c>
      <c r="Y67" s="40">
        <v>38.35</v>
      </c>
      <c r="Z67" s="40">
        <v>36.51</v>
      </c>
      <c r="AA67" s="365">
        <v>38.24</v>
      </c>
      <c r="AB67" s="95">
        <v>2817100</v>
      </c>
      <c r="AC67" s="243">
        <v>38.24</v>
      </c>
      <c r="AD67" s="2">
        <f t="shared" si="0"/>
        <v>1.8400000000000034</v>
      </c>
      <c r="AE67" s="138" t="e">
        <f t="shared" si="1"/>
        <v>#DIV/0!</v>
      </c>
    </row>
    <row r="68" spans="23:31" x14ac:dyDescent="0.25">
      <c r="W68" s="94" t="s">
        <v>121</v>
      </c>
      <c r="X68" s="10"/>
      <c r="Y68" s="40"/>
      <c r="Z68" s="40"/>
      <c r="AA68" s="10"/>
      <c r="AB68" s="95"/>
      <c r="AC68" s="243"/>
      <c r="AD68" s="2">
        <f>Y68-Z68</f>
        <v>0</v>
      </c>
      <c r="AE68" s="138" t="e">
        <f>AC68/AC69-1</f>
        <v>#DIV/0!</v>
      </c>
    </row>
    <row r="69" spans="23:31" x14ac:dyDescent="0.25">
      <c r="W69" s="215"/>
      <c r="X69" s="96"/>
      <c r="Y69" s="243"/>
      <c r="Z69" s="243"/>
      <c r="AA69" s="96"/>
      <c r="AB69" s="216"/>
      <c r="AC69" s="243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P40:P60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{FEBF55CF-01AE-4918-A7C8-1539C34256C0}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8 F33:F35">
    <cfRule type="expression" dxfId="497" priority="17">
      <formula>F28&gt;0</formula>
    </cfRule>
    <cfRule type="expression" dxfId="496" priority="18">
      <formula>F28&lt;0</formula>
    </cfRule>
  </conditionalFormatting>
  <conditionalFormatting sqref="F28 F33:F35">
    <cfRule type="expression" dxfId="495" priority="19">
      <formula>F28&gt;0</formula>
    </cfRule>
    <cfRule type="expression" dxfId="494" priority="20">
      <formula>F28&lt;0</formula>
    </cfRule>
  </conditionalFormatting>
  <conditionalFormatting sqref="H28 H33:H35">
    <cfRule type="expression" dxfId="493" priority="15">
      <formula>H28&gt;0</formula>
    </cfRule>
    <cfRule type="expression" dxfId="492" priority="16">
      <formula>H28&lt;0</formula>
    </cfRule>
  </conditionalFormatting>
  <conditionalFormatting sqref="F21:F27">
    <cfRule type="expression" dxfId="491" priority="13">
      <formula>F21&gt;0</formula>
    </cfRule>
    <cfRule type="expression" dxfId="490" priority="14">
      <formula>F21&lt;0</formula>
    </cfRule>
  </conditionalFormatting>
  <conditionalFormatting sqref="H21:H27">
    <cfRule type="expression" dxfId="489" priority="11">
      <formula>H21&gt;0</formula>
    </cfRule>
    <cfRule type="expression" dxfId="488" priority="12">
      <formula>H21&lt;0</formula>
    </cfRule>
  </conditionalFormatting>
  <conditionalFormatting sqref="Q8">
    <cfRule type="expression" dxfId="487" priority="7">
      <formula>Q8&gt;0</formula>
    </cfRule>
    <cfRule type="expression" dxfId="486" priority="8">
      <formula>Q8&lt;0</formula>
    </cfRule>
  </conditionalFormatting>
  <conditionalFormatting sqref="Q7">
    <cfRule type="expression" dxfId="485" priority="9">
      <formula>Q7&gt;0</formula>
    </cfRule>
    <cfRule type="expression" dxfId="484" priority="10">
      <formula>Q7&lt;0</formula>
    </cfRule>
  </conditionalFormatting>
  <conditionalFormatting sqref="F29:F32">
    <cfRule type="expression" dxfId="483" priority="5">
      <formula>F29&gt;0</formula>
    </cfRule>
    <cfRule type="expression" dxfId="482" priority="6">
      <formula>F29&lt;0</formula>
    </cfRule>
  </conditionalFormatting>
  <conditionalFormatting sqref="H29:H32">
    <cfRule type="expression" dxfId="481" priority="3">
      <formula>H29&gt;0</formula>
    </cfRule>
    <cfRule type="expression" dxfId="480" priority="4">
      <formula>H29&lt;0</formula>
    </cfRule>
  </conditionalFormatting>
  <conditionalFormatting sqref="M37">
    <cfRule type="expression" dxfId="479" priority="1">
      <formula>M37&gt;0</formula>
    </cfRule>
    <cfRule type="expression" dxfId="478" priority="2">
      <formula>M37&lt;0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EBF55CF-01AE-4918-A7C8-1539C34256C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7.85546875" style="86" customWidth="1"/>
    <col min="21" max="21" width="13.85546875" customWidth="1"/>
    <col min="23" max="23" width="21" style="34" customWidth="1"/>
    <col min="24" max="24" width="13.140625" bestFit="1" customWidth="1"/>
    <col min="25" max="26" width="6.5703125" style="2" bestFit="1" customWidth="1"/>
    <col min="27" max="27" width="7" bestFit="1" customWidth="1"/>
    <col min="28" max="28" width="11.140625" bestFit="1" customWidth="1"/>
    <col min="29" max="29" width="10.28515625" style="196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/>
      <c r="W1" s="92" t="s">
        <v>114</v>
      </c>
      <c r="X1" s="93" t="s">
        <v>115</v>
      </c>
      <c r="Y1" s="102" t="s">
        <v>116</v>
      </c>
      <c r="Z1" s="102" t="s">
        <v>117</v>
      </c>
      <c r="AA1" s="93" t="s">
        <v>118</v>
      </c>
      <c r="AB1" s="93" t="s">
        <v>119</v>
      </c>
      <c r="AC1" s="244" t="s">
        <v>120</v>
      </c>
      <c r="AD1" s="11" t="s">
        <v>126</v>
      </c>
      <c r="AE1" s="11" t="s">
        <v>128</v>
      </c>
    </row>
    <row r="2" spans="1:40" ht="14.25" customHeight="1" x14ac:dyDescent="0.25">
      <c r="A2" s="6" t="s">
        <v>177</v>
      </c>
      <c r="B2" s="74"/>
      <c r="C2" s="4"/>
      <c r="D2" s="3"/>
      <c r="E2" s="3"/>
      <c r="F2" s="3"/>
      <c r="G2" s="74"/>
      <c r="H2" s="185"/>
      <c r="I2" s="3"/>
      <c r="J2" s="3"/>
      <c r="K2" s="3"/>
      <c r="L2" s="1"/>
      <c r="M2" s="3"/>
      <c r="O2" s="11" t="s">
        <v>57</v>
      </c>
      <c r="Q2">
        <f>C18-H18</f>
        <v>0</v>
      </c>
      <c r="T2" s="85"/>
      <c r="W2" s="94">
        <v>42768</v>
      </c>
      <c r="X2" s="365">
        <v>227.62</v>
      </c>
      <c r="Y2" s="40">
        <v>228.1</v>
      </c>
      <c r="Z2" s="40">
        <v>226.82</v>
      </c>
      <c r="AA2" s="365">
        <v>227.77</v>
      </c>
      <c r="AB2" s="95">
        <v>67943600</v>
      </c>
      <c r="AC2" s="243">
        <v>227.77</v>
      </c>
      <c r="AD2" s="2">
        <f>Y2-Z2</f>
        <v>1.2800000000000011</v>
      </c>
      <c r="AE2" s="138">
        <f>AC2/AC3-1</f>
        <v>6.5899305860650514E-4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O3" s="11" t="s">
        <v>58</v>
      </c>
      <c r="Q3" s="80">
        <f>IF(Q2=0, Q4, (F18-K18-M18)/Q2)</f>
        <v>229.34</v>
      </c>
      <c r="T3" s="121"/>
      <c r="W3" s="94">
        <v>42767</v>
      </c>
      <c r="X3" s="365">
        <v>227.53</v>
      </c>
      <c r="Y3" s="40">
        <v>228.59</v>
      </c>
      <c r="Z3" s="40">
        <v>226.94</v>
      </c>
      <c r="AA3" s="365">
        <v>227.62</v>
      </c>
      <c r="AB3" s="95">
        <v>74366500</v>
      </c>
      <c r="AC3" s="243">
        <v>227.62</v>
      </c>
      <c r="AD3" s="2">
        <f>Y3-Z3</f>
        <v>1.6500000000000057</v>
      </c>
      <c r="AE3" s="138">
        <f>AC3/AC4-1</f>
        <v>3.9555223487020008E-4</v>
      </c>
      <c r="AN3" s="234"/>
    </row>
    <row r="4" spans="1:40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O4" s="11" t="s">
        <v>66</v>
      </c>
      <c r="Q4" s="55">
        <v>229.34</v>
      </c>
      <c r="R4" s="505">
        <v>6.8999999999999999E-3</v>
      </c>
      <c r="T4" s="121"/>
      <c r="W4" s="94">
        <v>42766</v>
      </c>
      <c r="X4" s="365">
        <v>226.98</v>
      </c>
      <c r="Y4" s="40">
        <v>227.6</v>
      </c>
      <c r="Z4" s="40">
        <v>226.32</v>
      </c>
      <c r="AA4" s="365">
        <v>227.53</v>
      </c>
      <c r="AB4" s="95">
        <v>71553600</v>
      </c>
      <c r="AC4" s="243">
        <v>227.53</v>
      </c>
      <c r="AD4" s="2">
        <f t="shared" ref="AD4:AD67" si="0">Y4-Z4</f>
        <v>1.2800000000000011</v>
      </c>
      <c r="AE4" s="138">
        <f t="shared" ref="AE4:AE67" si="1">AC4/AC5-1</f>
        <v>-8.7892770819664179E-5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O5" s="11" t="s">
        <v>67</v>
      </c>
      <c r="Q5" s="3">
        <f>Q4*Q2</f>
        <v>0</v>
      </c>
      <c r="W5" s="94">
        <v>42765</v>
      </c>
      <c r="X5" s="365">
        <v>228.17</v>
      </c>
      <c r="Y5" s="40">
        <v>228.2</v>
      </c>
      <c r="Z5" s="40">
        <v>226.41</v>
      </c>
      <c r="AA5" s="365">
        <v>227.55</v>
      </c>
      <c r="AB5" s="95">
        <v>74930800</v>
      </c>
      <c r="AC5" s="243">
        <v>227.55</v>
      </c>
      <c r="AD5" s="2">
        <f t="shared" si="0"/>
        <v>1.789999999999992</v>
      </c>
      <c r="AE5" s="138">
        <f t="shared" si="1"/>
        <v>-6.2016858103680628E-3</v>
      </c>
      <c r="AK5" s="234"/>
      <c r="AN5" s="234"/>
    </row>
    <row r="6" spans="1:40" x14ac:dyDescent="0.25">
      <c r="B6" s="4"/>
      <c r="C6" s="4"/>
      <c r="D6" s="3"/>
      <c r="E6" s="3"/>
      <c r="F6" s="3"/>
      <c r="G6" s="4"/>
      <c r="H6" s="185"/>
      <c r="I6" s="3"/>
      <c r="J6" s="3"/>
      <c r="K6" s="3"/>
      <c r="O6" s="11" t="s">
        <v>64</v>
      </c>
      <c r="Q6" s="2">
        <f>Q3*Q2</f>
        <v>0</v>
      </c>
      <c r="W6" s="94">
        <v>42762</v>
      </c>
      <c r="X6" s="365">
        <v>229.42</v>
      </c>
      <c r="Y6" s="40">
        <v>229.59</v>
      </c>
      <c r="Z6" s="40">
        <v>228.76</v>
      </c>
      <c r="AA6" s="365">
        <v>228.97</v>
      </c>
      <c r="AB6" s="95">
        <v>56311600</v>
      </c>
      <c r="AC6" s="243">
        <v>228.97</v>
      </c>
      <c r="AD6" s="2">
        <f t="shared" si="0"/>
        <v>0.83000000000001251</v>
      </c>
      <c r="AE6" s="138">
        <f t="shared" si="1"/>
        <v>-1.5697902585793955E-3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181</v>
      </c>
      <c r="P7"/>
      <c r="Q7" s="2">
        <f>Q10+Q8</f>
        <v>160.82999999999993</v>
      </c>
      <c r="R7">
        <v>0</v>
      </c>
      <c r="T7" s="85"/>
      <c r="W7" s="94">
        <v>42761</v>
      </c>
      <c r="X7" s="365">
        <v>229.4</v>
      </c>
      <c r="Y7" s="40">
        <v>229.71</v>
      </c>
      <c r="Z7" s="40">
        <v>229.01</v>
      </c>
      <c r="AA7" s="365">
        <v>229.33</v>
      </c>
      <c r="AB7" s="95">
        <v>58208000</v>
      </c>
      <c r="AC7" s="243">
        <v>229.33</v>
      </c>
      <c r="AD7" s="2">
        <f t="shared" si="0"/>
        <v>0.70000000000001705</v>
      </c>
      <c r="AE7" s="138">
        <f t="shared" si="1"/>
        <v>-1.0454327656052032E-3</v>
      </c>
      <c r="AK7" s="234"/>
      <c r="AN7" s="234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184</v>
      </c>
      <c r="Q8" s="2">
        <f>K18+M18-F18+Q2*Q4</f>
        <v>0</v>
      </c>
      <c r="W8" s="94">
        <v>42760</v>
      </c>
      <c r="X8" s="365">
        <v>228.7</v>
      </c>
      <c r="Y8" s="40">
        <v>229.57</v>
      </c>
      <c r="Z8" s="40">
        <v>228.51</v>
      </c>
      <c r="AA8" s="365">
        <v>229.57</v>
      </c>
      <c r="AB8" s="95">
        <v>80932500</v>
      </c>
      <c r="AC8" s="243">
        <v>229.57</v>
      </c>
      <c r="AD8" s="2">
        <f t="shared" si="0"/>
        <v>1.0600000000000023</v>
      </c>
      <c r="AE8" s="138">
        <f t="shared" si="1"/>
        <v>8.6555360281195259E-3</v>
      </c>
    </row>
    <row r="9" spans="1:40" x14ac:dyDescent="0.25">
      <c r="O9" s="11" t="s">
        <v>214</v>
      </c>
      <c r="P9"/>
      <c r="Q9" s="138">
        <f>IF(Q2=0, 0, Q8/Q6)</f>
        <v>0</v>
      </c>
      <c r="W9" s="94">
        <v>42759</v>
      </c>
      <c r="X9" s="365">
        <v>226.4</v>
      </c>
      <c r="Y9" s="40">
        <v>228.08</v>
      </c>
      <c r="Z9" s="40">
        <v>226.27</v>
      </c>
      <c r="AA9" s="365">
        <v>227.6</v>
      </c>
      <c r="AB9" s="95">
        <v>89144800</v>
      </c>
      <c r="AC9" s="243">
        <v>227.6</v>
      </c>
      <c r="AD9" s="2">
        <f t="shared" si="0"/>
        <v>1.8100000000000023</v>
      </c>
      <c r="AE9" s="138">
        <f t="shared" si="1"/>
        <v>6.4116736679193931E-3</v>
      </c>
      <c r="AK9" s="234"/>
      <c r="AN9" s="234"/>
    </row>
    <row r="10" spans="1:40" ht="12.75" customHeight="1" x14ac:dyDescent="0.25">
      <c r="O10" s="11" t="s">
        <v>213</v>
      </c>
      <c r="Q10" s="2">
        <f>M37</f>
        <v>160.82999999999993</v>
      </c>
      <c r="W10" s="94">
        <v>42758</v>
      </c>
      <c r="X10" s="365">
        <v>226.74</v>
      </c>
      <c r="Y10" s="40">
        <v>226.81</v>
      </c>
      <c r="Z10" s="40">
        <v>225.27</v>
      </c>
      <c r="AA10" s="365">
        <v>226.15</v>
      </c>
      <c r="AB10" s="95">
        <v>72331900</v>
      </c>
      <c r="AC10" s="243">
        <v>226.15</v>
      </c>
      <c r="AD10" s="2">
        <f t="shared" si="0"/>
        <v>1.539999999999992</v>
      </c>
      <c r="AE10" s="138">
        <f t="shared" si="1"/>
        <v>-2.6020993208080156E-3</v>
      </c>
    </row>
    <row r="11" spans="1:40" x14ac:dyDescent="0.25">
      <c r="O11" s="11" t="s">
        <v>178</v>
      </c>
      <c r="Q11" s="138">
        <v>0</v>
      </c>
      <c r="W11" s="94">
        <v>42755</v>
      </c>
      <c r="X11" s="365">
        <v>226.7</v>
      </c>
      <c r="Y11" s="40">
        <v>227.31</v>
      </c>
      <c r="Z11" s="40">
        <v>225.97</v>
      </c>
      <c r="AA11" s="365">
        <v>226.74</v>
      </c>
      <c r="AB11" s="95">
        <v>116431700</v>
      </c>
      <c r="AC11" s="243">
        <v>226.74</v>
      </c>
      <c r="AD11" s="2">
        <f t="shared" si="0"/>
        <v>1.3400000000000034</v>
      </c>
      <c r="AE11" s="138">
        <f t="shared" si="1"/>
        <v>3.6740294807666718E-3</v>
      </c>
      <c r="AK11" s="234"/>
      <c r="AN11" s="234"/>
    </row>
    <row r="12" spans="1:40" x14ac:dyDescent="0.25">
      <c r="W12" s="94">
        <v>42754</v>
      </c>
      <c r="X12" s="365">
        <v>226.84</v>
      </c>
      <c r="Y12" s="40">
        <v>227</v>
      </c>
      <c r="Z12" s="40">
        <v>225.41</v>
      </c>
      <c r="AA12" s="365">
        <v>225.91</v>
      </c>
      <c r="AB12" s="95">
        <v>65357500</v>
      </c>
      <c r="AC12" s="243">
        <v>225.91</v>
      </c>
      <c r="AD12" s="2">
        <f t="shared" si="0"/>
        <v>1.5900000000000034</v>
      </c>
      <c r="AE12" s="138">
        <f t="shared" si="1"/>
        <v>-3.7045203969129359E-3</v>
      </c>
    </row>
    <row r="13" spans="1:40" x14ac:dyDescent="0.25">
      <c r="W13" s="94">
        <v>42753</v>
      </c>
      <c r="X13" s="365">
        <v>226.54</v>
      </c>
      <c r="Y13" s="40">
        <v>226.8</v>
      </c>
      <c r="Z13" s="40">
        <v>225.9</v>
      </c>
      <c r="AA13" s="365">
        <v>226.75</v>
      </c>
      <c r="AB13" s="95">
        <v>51146400</v>
      </c>
      <c r="AC13" s="243">
        <v>226.75</v>
      </c>
      <c r="AD13" s="2">
        <f t="shared" si="0"/>
        <v>0.90000000000000568</v>
      </c>
      <c r="AE13" s="138">
        <f t="shared" si="1"/>
        <v>2.2099447513812542E-3</v>
      </c>
      <c r="AK13" s="234"/>
      <c r="AN13" s="234"/>
    </row>
    <row r="14" spans="1:40" x14ac:dyDescent="0.25">
      <c r="T14" s="84"/>
      <c r="U14" s="11"/>
      <c r="W14" s="94">
        <v>42752</v>
      </c>
      <c r="X14" s="365">
        <v>226.31</v>
      </c>
      <c r="Y14" s="40">
        <v>226.78</v>
      </c>
      <c r="Z14" s="40">
        <v>225.8</v>
      </c>
      <c r="AA14" s="365">
        <v>226.25</v>
      </c>
      <c r="AB14" s="95">
        <v>59261200</v>
      </c>
      <c r="AC14" s="243">
        <v>226.25</v>
      </c>
      <c r="AD14" s="2">
        <f t="shared" si="0"/>
        <v>0.97999999999998977</v>
      </c>
      <c r="AE14" s="138">
        <f t="shared" si="1"/>
        <v>-3.5234529839243134E-3</v>
      </c>
    </row>
    <row r="15" spans="1:40" x14ac:dyDescent="0.25">
      <c r="W15" s="94">
        <v>42748</v>
      </c>
      <c r="X15" s="365">
        <v>226.73</v>
      </c>
      <c r="Y15" s="40">
        <v>227.4</v>
      </c>
      <c r="Z15" s="40">
        <v>226.69</v>
      </c>
      <c r="AA15" s="365">
        <v>227.05</v>
      </c>
      <c r="AB15" s="95">
        <v>61907200</v>
      </c>
      <c r="AC15" s="243">
        <v>227.05</v>
      </c>
      <c r="AD15" s="2">
        <f t="shared" si="0"/>
        <v>0.71000000000000796</v>
      </c>
      <c r="AE15" s="138">
        <f t="shared" si="1"/>
        <v>2.295501699554281E-3</v>
      </c>
      <c r="AK15" s="234"/>
      <c r="AN15" s="234"/>
    </row>
    <row r="16" spans="1:40" x14ac:dyDescent="0.25">
      <c r="W16" s="94">
        <v>42747</v>
      </c>
      <c r="X16" s="365">
        <v>226.5</v>
      </c>
      <c r="Y16" s="40">
        <v>226.75</v>
      </c>
      <c r="Z16" s="40">
        <v>224.96</v>
      </c>
      <c r="AA16" s="365">
        <v>226.53</v>
      </c>
      <c r="AB16" s="95">
        <v>70354400</v>
      </c>
      <c r="AC16" s="243">
        <v>226.53</v>
      </c>
      <c r="AD16" s="2">
        <f t="shared" si="0"/>
        <v>1.789999999999992</v>
      </c>
      <c r="AE16" s="138">
        <f t="shared" si="1"/>
        <v>-2.509907529722577E-3</v>
      </c>
    </row>
    <row r="17" spans="1:40" x14ac:dyDescent="0.25">
      <c r="W17" s="94">
        <v>42746</v>
      </c>
      <c r="X17" s="365">
        <v>226.36</v>
      </c>
      <c r="Y17" s="40">
        <v>227.1</v>
      </c>
      <c r="Z17" s="40">
        <v>225.59</v>
      </c>
      <c r="AA17" s="365">
        <v>227.1</v>
      </c>
      <c r="AB17" s="95">
        <v>71423200</v>
      </c>
      <c r="AC17" s="243">
        <v>227.1</v>
      </c>
      <c r="AD17" s="2">
        <f t="shared" si="0"/>
        <v>1.5099999999999909</v>
      </c>
      <c r="AE17" s="138">
        <f t="shared" si="1"/>
        <v>2.8261061556125178E-3</v>
      </c>
      <c r="AK17" s="234"/>
      <c r="AN17" s="234"/>
    </row>
    <row r="18" spans="1:40" x14ac:dyDescent="0.25">
      <c r="A18" s="32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3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4">
        <v>42745</v>
      </c>
      <c r="X18" s="365">
        <v>226.48</v>
      </c>
      <c r="Y18" s="40">
        <v>227.45</v>
      </c>
      <c r="Z18" s="40">
        <v>226.01</v>
      </c>
      <c r="AA18" s="365">
        <v>226.46</v>
      </c>
      <c r="AB18" s="95">
        <v>61045000</v>
      </c>
      <c r="AC18" s="243">
        <v>226.46</v>
      </c>
      <c r="AD18" s="2">
        <f t="shared" si="0"/>
        <v>1.4399999999999977</v>
      </c>
      <c r="AE18" s="138">
        <f t="shared" si="1"/>
        <v>0</v>
      </c>
    </row>
    <row r="19" spans="1:40" x14ac:dyDescent="0.25">
      <c r="W19" s="94">
        <v>42744</v>
      </c>
      <c r="X19" s="365">
        <v>226.91</v>
      </c>
      <c r="Y19" s="40">
        <v>227.07</v>
      </c>
      <c r="Z19" s="40">
        <v>226.42</v>
      </c>
      <c r="AA19" s="365">
        <v>226.46</v>
      </c>
      <c r="AB19" s="95">
        <v>46265300</v>
      </c>
      <c r="AC19" s="243">
        <v>226.46</v>
      </c>
      <c r="AD19" s="2">
        <f t="shared" si="0"/>
        <v>0.65000000000000568</v>
      </c>
      <c r="AE19" s="138">
        <f t="shared" si="1"/>
        <v>-3.3009110514502504E-3</v>
      </c>
      <c r="AK19" s="234"/>
      <c r="AN19" s="234"/>
    </row>
    <row r="20" spans="1:40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4" t="s">
        <v>65</v>
      </c>
      <c r="G20" s="229" t="s">
        <v>152</v>
      </c>
      <c r="H20" s="229" t="s">
        <v>88</v>
      </c>
      <c r="I20" s="229" t="s">
        <v>155</v>
      </c>
      <c r="W20" s="94">
        <v>42741</v>
      </c>
      <c r="X20" s="365">
        <v>226.53</v>
      </c>
      <c r="Y20" s="40">
        <v>227.75</v>
      </c>
      <c r="Z20" s="40">
        <v>225.9</v>
      </c>
      <c r="AA20" s="365">
        <v>227.21</v>
      </c>
      <c r="AB20" s="95">
        <v>69536300</v>
      </c>
      <c r="AC20" s="243">
        <v>227.21</v>
      </c>
      <c r="AD20" s="2">
        <f t="shared" si="0"/>
        <v>1.8499999999999943</v>
      </c>
      <c r="AE20" s="138">
        <f t="shared" si="1"/>
        <v>3.5777385159010411E-3</v>
      </c>
    </row>
    <row r="21" spans="1:40" x14ac:dyDescent="0.25">
      <c r="B21" s="193">
        <v>42377</v>
      </c>
      <c r="C21" s="10">
        <v>20</v>
      </c>
      <c r="D21" s="40">
        <v>192.9</v>
      </c>
      <c r="E21" s="40">
        <v>191.92</v>
      </c>
      <c r="F21" s="40">
        <f>C21*(E21-D21)</f>
        <v>-19.600000000000364</v>
      </c>
      <c r="G21" s="40">
        <f>D21*C21</f>
        <v>3858</v>
      </c>
      <c r="H21" s="231">
        <f>(E21-D21)/D21</f>
        <v>-5.0803525142561852E-3</v>
      </c>
      <c r="I21" s="40"/>
      <c r="W21" s="94">
        <v>42740</v>
      </c>
      <c r="X21" s="365">
        <v>226.27</v>
      </c>
      <c r="Y21" s="40">
        <v>226.58</v>
      </c>
      <c r="Z21" s="40">
        <v>225.48</v>
      </c>
      <c r="AA21" s="365">
        <v>226.4</v>
      </c>
      <c r="AB21" s="95">
        <v>77145900</v>
      </c>
      <c r="AC21" s="243">
        <v>226.4</v>
      </c>
      <c r="AD21" s="2">
        <f t="shared" si="0"/>
        <v>1.1000000000000227</v>
      </c>
      <c r="AE21" s="138">
        <f t="shared" si="1"/>
        <v>-7.9442139641627829E-4</v>
      </c>
      <c r="AK21" s="234"/>
      <c r="AN21" s="234"/>
    </row>
    <row r="22" spans="1:40" x14ac:dyDescent="0.25">
      <c r="B22" s="193">
        <v>42384</v>
      </c>
      <c r="C22" s="10">
        <v>25</v>
      </c>
      <c r="D22" s="40">
        <v>191.678</v>
      </c>
      <c r="E22" s="40">
        <v>187.81</v>
      </c>
      <c r="F22" s="40">
        <f t="shared" ref="F22:F28" si="2">C22*(E22-D22)</f>
        <v>-96.699999999999875</v>
      </c>
      <c r="G22" s="40">
        <f t="shared" ref="G22:G28" si="3">D22*C22</f>
        <v>4791.95</v>
      </c>
      <c r="H22" s="231">
        <f t="shared" ref="H22:H28" si="4">(E22-D22)/D22</f>
        <v>-2.0179676332182071E-2</v>
      </c>
      <c r="I22" s="40"/>
      <c r="W22" s="94">
        <v>42739</v>
      </c>
      <c r="X22" s="365">
        <v>225.24</v>
      </c>
      <c r="Y22" s="40">
        <v>226.75</v>
      </c>
      <c r="Z22" s="40">
        <v>225.24</v>
      </c>
      <c r="AA22" s="365">
        <v>226.58</v>
      </c>
      <c r="AB22" s="95">
        <v>75801800</v>
      </c>
      <c r="AC22" s="243">
        <v>226.58</v>
      </c>
      <c r="AD22" s="2">
        <f t="shared" si="0"/>
        <v>1.5099999999999909</v>
      </c>
      <c r="AE22" s="138">
        <f t="shared" si="1"/>
        <v>5.9492097318416537E-3</v>
      </c>
    </row>
    <row r="23" spans="1:40" x14ac:dyDescent="0.25">
      <c r="B23" s="193">
        <v>42398</v>
      </c>
      <c r="C23" s="10">
        <v>5</v>
      </c>
      <c r="D23" s="40">
        <v>189.52</v>
      </c>
      <c r="E23" s="40">
        <v>191.87</v>
      </c>
      <c r="F23" s="40">
        <f t="shared" si="2"/>
        <v>11.749999999999972</v>
      </c>
      <c r="G23" s="40">
        <f t="shared" si="3"/>
        <v>947.6</v>
      </c>
      <c r="H23" s="231">
        <f t="shared" si="4"/>
        <v>1.2399746728577429E-2</v>
      </c>
      <c r="I23" s="40"/>
      <c r="W23" s="94">
        <v>42738</v>
      </c>
      <c r="X23" s="365">
        <v>225.04</v>
      </c>
      <c r="Y23" s="40">
        <v>225.83</v>
      </c>
      <c r="Z23" s="40">
        <v>223.88</v>
      </c>
      <c r="AA23" s="365">
        <v>225.24</v>
      </c>
      <c r="AB23" s="95">
        <v>89895000</v>
      </c>
      <c r="AC23" s="243">
        <v>225.24</v>
      </c>
      <c r="AD23" s="2">
        <f t="shared" si="0"/>
        <v>1.9500000000000171</v>
      </c>
      <c r="AE23" s="138">
        <f t="shared" si="1"/>
        <v>7.6499798684741549E-3</v>
      </c>
      <c r="AK23" s="234"/>
    </row>
    <row r="24" spans="1:40" x14ac:dyDescent="0.25">
      <c r="B24" s="193">
        <v>42405</v>
      </c>
      <c r="C24" s="10">
        <v>20</v>
      </c>
      <c r="D24" s="40">
        <v>188.23099999999999</v>
      </c>
      <c r="E24" s="40">
        <v>187.8</v>
      </c>
      <c r="F24" s="40">
        <f t="shared" si="2"/>
        <v>-8.6199999999996635</v>
      </c>
      <c r="G24" s="40">
        <f t="shared" si="3"/>
        <v>3764.62</v>
      </c>
      <c r="H24" s="231">
        <f t="shared" si="4"/>
        <v>-2.2897397346876083E-3</v>
      </c>
      <c r="I24" s="40"/>
      <c r="W24" s="94">
        <v>42734</v>
      </c>
      <c r="X24" s="365">
        <v>224.73</v>
      </c>
      <c r="Y24" s="40">
        <v>224.83</v>
      </c>
      <c r="Z24" s="40">
        <v>222.73</v>
      </c>
      <c r="AA24" s="365">
        <v>223.53</v>
      </c>
      <c r="AB24" s="95">
        <v>101301800</v>
      </c>
      <c r="AC24" s="243">
        <v>223.53</v>
      </c>
      <c r="AD24" s="2">
        <f t="shared" si="0"/>
        <v>2.1000000000000227</v>
      </c>
      <c r="AE24" s="138">
        <f t="shared" si="1"/>
        <v>-3.6550033429908479E-3</v>
      </c>
    </row>
    <row r="25" spans="1:40" x14ac:dyDescent="0.25">
      <c r="B25" s="193">
        <v>42408</v>
      </c>
      <c r="C25" s="10">
        <v>25</v>
      </c>
      <c r="D25" s="40">
        <v>187.29480000000001</v>
      </c>
      <c r="E25" s="40">
        <v>185.42</v>
      </c>
      <c r="F25" s="40">
        <f t="shared" si="2"/>
        <v>-46.870000000000545</v>
      </c>
      <c r="G25" s="40">
        <f t="shared" si="3"/>
        <v>4682.37</v>
      </c>
      <c r="H25" s="231">
        <f t="shared" si="4"/>
        <v>-1.0009888154930204E-2</v>
      </c>
      <c r="I25" s="40"/>
      <c r="W25" s="94">
        <v>42733</v>
      </c>
      <c r="X25" s="365">
        <v>224.48</v>
      </c>
      <c r="Y25" s="40">
        <v>224.89</v>
      </c>
      <c r="Z25" s="40">
        <v>223.84</v>
      </c>
      <c r="AA25" s="365">
        <v>224.35</v>
      </c>
      <c r="AB25" s="95">
        <v>47719500</v>
      </c>
      <c r="AC25" s="243">
        <v>224.35</v>
      </c>
      <c r="AD25" s="2">
        <f t="shared" si="0"/>
        <v>1.0499999999999829</v>
      </c>
      <c r="AE25" s="138">
        <f t="shared" si="1"/>
        <v>-2.2281639928700692E-4</v>
      </c>
    </row>
    <row r="26" spans="1:40" x14ac:dyDescent="0.25">
      <c r="B26" s="193">
        <v>42416</v>
      </c>
      <c r="C26" s="10">
        <v>15</v>
      </c>
      <c r="D26" s="40">
        <v>185.994</v>
      </c>
      <c r="E26" s="40">
        <v>189.78</v>
      </c>
      <c r="F26" s="40">
        <f t="shared" si="2"/>
        <v>56.79000000000002</v>
      </c>
      <c r="G26" s="40">
        <f t="shared" si="3"/>
        <v>2789.91</v>
      </c>
      <c r="H26" s="231">
        <f t="shared" si="4"/>
        <v>2.0355495338559317E-2</v>
      </c>
      <c r="I26" s="40"/>
      <c r="W26" s="94">
        <v>42732</v>
      </c>
      <c r="X26" s="365">
        <v>226.57</v>
      </c>
      <c r="Y26" s="40">
        <v>226.59</v>
      </c>
      <c r="Z26" s="40">
        <v>224.27</v>
      </c>
      <c r="AA26" s="365">
        <v>224.4</v>
      </c>
      <c r="AB26" s="95">
        <v>59776300</v>
      </c>
      <c r="AC26" s="243">
        <v>224.4</v>
      </c>
      <c r="AD26" s="2">
        <f t="shared" si="0"/>
        <v>2.3199999999999932</v>
      </c>
      <c r="AE26" s="138">
        <f t="shared" si="1"/>
        <v>-8.2644628099173278E-3</v>
      </c>
    </row>
    <row r="27" spans="1:40" x14ac:dyDescent="0.25">
      <c r="B27" s="193">
        <v>42424</v>
      </c>
      <c r="C27" s="10">
        <v>5</v>
      </c>
      <c r="D27" s="40">
        <v>169.39</v>
      </c>
      <c r="E27" s="40">
        <v>193.2</v>
      </c>
      <c r="F27" s="40">
        <f t="shared" si="2"/>
        <v>119.05000000000001</v>
      </c>
      <c r="G27" s="40">
        <f t="shared" si="3"/>
        <v>846.94999999999993</v>
      </c>
      <c r="H27" s="231">
        <f t="shared" si="4"/>
        <v>0.1405631973552158</v>
      </c>
      <c r="I27" s="40"/>
      <c r="W27" s="94">
        <v>42731</v>
      </c>
      <c r="X27" s="365">
        <v>226.02</v>
      </c>
      <c r="Y27" s="40">
        <v>226.73</v>
      </c>
      <c r="Z27" s="40">
        <v>226</v>
      </c>
      <c r="AA27" s="365">
        <v>226.27</v>
      </c>
      <c r="AB27" s="95">
        <v>41054400</v>
      </c>
      <c r="AC27" s="243">
        <v>226.27</v>
      </c>
      <c r="AD27" s="2">
        <f t="shared" si="0"/>
        <v>0.72999999999998977</v>
      </c>
      <c r="AE27" s="138">
        <f t="shared" si="1"/>
        <v>2.4810597669575607E-3</v>
      </c>
    </row>
    <row r="28" spans="1:40" x14ac:dyDescent="0.25">
      <c r="B28" s="193">
        <v>42431</v>
      </c>
      <c r="C28" s="10">
        <v>5</v>
      </c>
      <c r="D28" s="40">
        <v>169.39</v>
      </c>
      <c r="E28" s="40">
        <v>199</v>
      </c>
      <c r="F28" s="40">
        <f t="shared" si="2"/>
        <v>148.05000000000007</v>
      </c>
      <c r="G28" s="40">
        <f t="shared" si="3"/>
        <v>846.94999999999993</v>
      </c>
      <c r="H28" s="231">
        <f t="shared" si="4"/>
        <v>0.17480370742074511</v>
      </c>
      <c r="I28" s="40"/>
      <c r="W28" s="94">
        <v>42727</v>
      </c>
      <c r="X28" s="365">
        <v>225.43</v>
      </c>
      <c r="Y28" s="40">
        <v>225.72</v>
      </c>
      <c r="Z28" s="40">
        <v>225.21</v>
      </c>
      <c r="AA28" s="365">
        <v>225.71</v>
      </c>
      <c r="AB28" s="95">
        <v>36251400</v>
      </c>
      <c r="AC28" s="243">
        <v>225.71</v>
      </c>
      <c r="AD28" s="2">
        <f t="shared" si="0"/>
        <v>0.50999999999999091</v>
      </c>
      <c r="AE28" s="138">
        <f t="shared" si="1"/>
        <v>1.4641938060164783E-3</v>
      </c>
    </row>
    <row r="29" spans="1:40" x14ac:dyDescent="0.25">
      <c r="B29" s="193">
        <v>42440</v>
      </c>
      <c r="C29" s="10">
        <v>0</v>
      </c>
      <c r="D29" s="40"/>
      <c r="E29" s="40"/>
      <c r="F29" s="40">
        <v>160.83000000000001</v>
      </c>
      <c r="G29" s="40"/>
      <c r="H29" s="231"/>
      <c r="I29" s="40"/>
      <c r="W29" s="94">
        <v>42726</v>
      </c>
      <c r="X29" s="365">
        <v>225.6</v>
      </c>
      <c r="Y29" s="40">
        <v>225.74</v>
      </c>
      <c r="Z29" s="40">
        <v>224.92</v>
      </c>
      <c r="AA29" s="365">
        <v>225.38</v>
      </c>
      <c r="AB29" s="95">
        <v>56219100</v>
      </c>
      <c r="AC29" s="243">
        <v>225.38</v>
      </c>
      <c r="AD29" s="2">
        <f t="shared" si="0"/>
        <v>0.8200000000000216</v>
      </c>
      <c r="AE29" s="138">
        <f t="shared" si="1"/>
        <v>-1.727421712362176E-3</v>
      </c>
    </row>
    <row r="30" spans="1:40" x14ac:dyDescent="0.25">
      <c r="B30" s="193"/>
      <c r="C30" s="10"/>
      <c r="D30" s="40"/>
      <c r="E30" s="40"/>
      <c r="F30" s="40"/>
      <c r="G30" s="40"/>
      <c r="H30" s="231"/>
      <c r="I30" s="40"/>
      <c r="W30" s="94">
        <v>42725</v>
      </c>
      <c r="X30" s="365">
        <v>226.25</v>
      </c>
      <c r="Y30" s="40">
        <v>226.45</v>
      </c>
      <c r="Z30" s="40">
        <v>225.77</v>
      </c>
      <c r="AA30" s="365">
        <v>225.77</v>
      </c>
      <c r="AB30" s="95">
        <v>67909000</v>
      </c>
      <c r="AC30" s="243">
        <v>225.77</v>
      </c>
      <c r="AD30" s="2">
        <f t="shared" si="0"/>
        <v>0.6799999999999784</v>
      </c>
      <c r="AE30" s="138">
        <f t="shared" si="1"/>
        <v>-2.7826855123674887E-3</v>
      </c>
    </row>
    <row r="31" spans="1:40" x14ac:dyDescent="0.25">
      <c r="B31" s="193"/>
      <c r="C31" s="10"/>
      <c r="D31" s="40"/>
      <c r="E31" s="40"/>
      <c r="F31" s="40"/>
      <c r="G31" s="40"/>
      <c r="H31" s="231"/>
      <c r="I31" s="40"/>
      <c r="W31" s="94">
        <v>42724</v>
      </c>
      <c r="X31" s="365">
        <v>226.15</v>
      </c>
      <c r="Y31" s="40">
        <v>226.57</v>
      </c>
      <c r="Z31" s="40">
        <v>225.88</v>
      </c>
      <c r="AA31" s="365">
        <v>226.4</v>
      </c>
      <c r="AB31" s="95">
        <v>89838800</v>
      </c>
      <c r="AC31" s="243">
        <v>226.4</v>
      </c>
      <c r="AD31" s="2">
        <f t="shared" si="0"/>
        <v>0.68999999999999773</v>
      </c>
      <c r="AE31" s="138">
        <f t="shared" si="1"/>
        <v>3.8575799228484087E-3</v>
      </c>
    </row>
    <row r="32" spans="1:40" x14ac:dyDescent="0.25">
      <c r="B32" s="193"/>
      <c r="C32" s="10"/>
      <c r="D32" s="40"/>
      <c r="E32" s="40"/>
      <c r="F32" s="40"/>
      <c r="G32" s="40"/>
      <c r="H32" s="231"/>
      <c r="I32" s="40"/>
      <c r="W32" s="94">
        <v>42723</v>
      </c>
      <c r="X32" s="365">
        <v>225.25</v>
      </c>
      <c r="Y32" s="40">
        <v>226.02</v>
      </c>
      <c r="Z32" s="40">
        <v>225.08</v>
      </c>
      <c r="AA32" s="365">
        <v>225.53</v>
      </c>
      <c r="AB32" s="95">
        <v>90341100</v>
      </c>
      <c r="AC32" s="243">
        <v>225.53</v>
      </c>
      <c r="AD32" s="2">
        <f t="shared" si="0"/>
        <v>0.93999999999999773</v>
      </c>
      <c r="AE32" s="138">
        <f t="shared" si="1"/>
        <v>2.1773906861002335E-3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40"/>
      <c r="W33" s="94">
        <v>42720</v>
      </c>
      <c r="X33" s="365">
        <v>226.01</v>
      </c>
      <c r="Y33" s="40">
        <v>226.08</v>
      </c>
      <c r="Z33" s="40">
        <v>224.67</v>
      </c>
      <c r="AA33" s="365">
        <v>225.04</v>
      </c>
      <c r="AB33" s="95">
        <v>156420200</v>
      </c>
      <c r="AC33" s="243">
        <v>225.04</v>
      </c>
      <c r="AD33" s="2">
        <f t="shared" si="0"/>
        <v>1.410000000000025</v>
      </c>
      <c r="AE33" s="138" t="e">
        <f t="shared" si="1"/>
        <v>#DIV/0!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94">
        <v>42720</v>
      </c>
      <c r="X34" s="365" t="s">
        <v>362</v>
      </c>
      <c r="Y34" s="40"/>
      <c r="Z34" s="40"/>
      <c r="AA34" s="365"/>
      <c r="AB34" s="95"/>
      <c r="AC34" s="243"/>
      <c r="AD34" s="2">
        <f t="shared" si="0"/>
        <v>0</v>
      </c>
      <c r="AE34" s="138">
        <f t="shared" si="1"/>
        <v>-1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94">
        <v>42719</v>
      </c>
      <c r="X35" s="365">
        <v>226.16</v>
      </c>
      <c r="Y35" s="40">
        <v>227.81</v>
      </c>
      <c r="Z35" s="40">
        <v>225.89</v>
      </c>
      <c r="AA35" s="365">
        <v>226.81</v>
      </c>
      <c r="AB35" s="95">
        <v>124972600</v>
      </c>
      <c r="AC35" s="243">
        <v>225.48</v>
      </c>
      <c r="AD35" s="2">
        <f t="shared" si="0"/>
        <v>1.9200000000000159</v>
      </c>
      <c r="AE35" s="138">
        <f t="shared" si="1"/>
        <v>4.0969006056288393E-3</v>
      </c>
    </row>
    <row r="36" spans="1:31" x14ac:dyDescent="0.25">
      <c r="W36" s="94">
        <v>42718</v>
      </c>
      <c r="X36" s="365">
        <v>227.41</v>
      </c>
      <c r="Y36" s="40">
        <v>228.23</v>
      </c>
      <c r="Z36" s="40">
        <v>225.37</v>
      </c>
      <c r="AA36" s="365">
        <v>225.88</v>
      </c>
      <c r="AB36" s="95">
        <v>142501800</v>
      </c>
      <c r="AC36" s="243">
        <v>224.56</v>
      </c>
      <c r="AD36" s="2">
        <f t="shared" si="0"/>
        <v>2.8599999999999852</v>
      </c>
      <c r="AE36" s="138">
        <f t="shared" si="1"/>
        <v>-8.258622973987606E-3</v>
      </c>
    </row>
    <row r="37" spans="1:31" x14ac:dyDescent="0.25">
      <c r="L37" t="s">
        <v>213</v>
      </c>
      <c r="M37" s="2">
        <f>M55+K55-F55</f>
        <v>160.82999999999993</v>
      </c>
      <c r="W37" s="94">
        <v>42717</v>
      </c>
      <c r="X37" s="365">
        <v>227.02</v>
      </c>
      <c r="Y37" s="40">
        <v>228.34</v>
      </c>
      <c r="Z37" s="40">
        <v>227</v>
      </c>
      <c r="AA37" s="365">
        <v>227.76</v>
      </c>
      <c r="AB37" s="95">
        <v>110477500</v>
      </c>
      <c r="AC37" s="243">
        <v>226.43</v>
      </c>
      <c r="AD37" s="2">
        <f t="shared" si="0"/>
        <v>1.3400000000000034</v>
      </c>
      <c r="AE37" s="138">
        <f t="shared" si="1"/>
        <v>6.7134981326695264E-3</v>
      </c>
    </row>
    <row r="38" spans="1:31" x14ac:dyDescent="0.25">
      <c r="A38" s="263" t="s">
        <v>1</v>
      </c>
      <c r="B38" s="263" t="s">
        <v>2</v>
      </c>
      <c r="C38" s="263" t="s">
        <v>4</v>
      </c>
      <c r="D38" s="264" t="s">
        <v>5</v>
      </c>
      <c r="E38" s="264" t="s">
        <v>90</v>
      </c>
      <c r="F38" s="264" t="s">
        <v>60</v>
      </c>
      <c r="G38" s="263" t="s">
        <v>3</v>
      </c>
      <c r="H38" s="263" t="s">
        <v>6</v>
      </c>
      <c r="I38" s="264" t="s">
        <v>7</v>
      </c>
      <c r="J38" s="264" t="s">
        <v>89</v>
      </c>
      <c r="K38" s="264" t="s">
        <v>61</v>
      </c>
      <c r="L38" s="263" t="s">
        <v>77</v>
      </c>
      <c r="M38" s="263" t="s">
        <v>38</v>
      </c>
      <c r="W38" s="94">
        <v>42716</v>
      </c>
      <c r="X38" s="365">
        <v>226.4</v>
      </c>
      <c r="Y38" s="40">
        <v>226.96</v>
      </c>
      <c r="Z38" s="40">
        <v>225.76</v>
      </c>
      <c r="AA38" s="365">
        <v>226.25</v>
      </c>
      <c r="AB38" s="95">
        <v>102016100</v>
      </c>
      <c r="AC38" s="243">
        <v>224.92</v>
      </c>
      <c r="AD38" s="2">
        <f t="shared" si="0"/>
        <v>1.2000000000000171</v>
      </c>
      <c r="AE38" s="138">
        <f t="shared" si="1"/>
        <v>-1.1546318500755826E-3</v>
      </c>
    </row>
    <row r="39" spans="1:31" ht="20.25" thickBot="1" x14ac:dyDescent="0.35">
      <c r="A39" s="265" t="s">
        <v>177</v>
      </c>
      <c r="B39" s="266">
        <v>42377</v>
      </c>
      <c r="C39" s="261">
        <v>20</v>
      </c>
      <c r="D39" s="262">
        <v>192.9</v>
      </c>
      <c r="E39" s="262">
        <v>0</v>
      </c>
      <c r="F39" s="262">
        <f>C39*D39+E39</f>
        <v>3858</v>
      </c>
      <c r="G39" s="266">
        <v>42398</v>
      </c>
      <c r="H39" s="267">
        <v>20</v>
      </c>
      <c r="I39" s="262">
        <v>192.22</v>
      </c>
      <c r="J39" s="262">
        <v>7.0000000000000007E-2</v>
      </c>
      <c r="K39" s="262">
        <f>H39*I39-J39</f>
        <v>3844.33</v>
      </c>
      <c r="L39" s="266"/>
      <c r="M39" s="262"/>
      <c r="O39" s="11"/>
      <c r="P39" s="638" t="s">
        <v>78</v>
      </c>
      <c r="Q39" s="638"/>
      <c r="R39" s="34"/>
      <c r="T39" s="91" t="s">
        <v>113</v>
      </c>
      <c r="W39" s="94">
        <v>42713</v>
      </c>
      <c r="X39" s="365">
        <v>225.41</v>
      </c>
      <c r="Y39" s="40">
        <v>226.53</v>
      </c>
      <c r="Z39" s="40">
        <v>225.37</v>
      </c>
      <c r="AA39" s="365">
        <v>226.51</v>
      </c>
      <c r="AB39" s="95">
        <v>88005800</v>
      </c>
      <c r="AC39" s="243">
        <v>225.18</v>
      </c>
      <c r="AD39" s="2">
        <f t="shared" si="0"/>
        <v>1.1599999999999966</v>
      </c>
      <c r="AE39" s="138">
        <f t="shared" si="1"/>
        <v>6.0313630880579616E-3</v>
      </c>
    </row>
    <row r="40" spans="1:31" ht="15.75" thickTop="1" x14ac:dyDescent="0.25">
      <c r="A40" s="268" t="s">
        <v>71</v>
      </c>
      <c r="B40" s="266">
        <v>42384</v>
      </c>
      <c r="C40" s="261">
        <v>5</v>
      </c>
      <c r="D40" s="262">
        <v>186.79</v>
      </c>
      <c r="E40" s="262">
        <v>0</v>
      </c>
      <c r="F40" s="262">
        <f>C40*D40+E40</f>
        <v>933.94999999999993</v>
      </c>
      <c r="G40" s="266">
        <v>42416</v>
      </c>
      <c r="H40" s="267">
        <v>10</v>
      </c>
      <c r="I40" s="262">
        <v>189.25</v>
      </c>
      <c r="J40" s="262">
        <v>0.04</v>
      </c>
      <c r="K40" s="262">
        <f>H40*I40-J40</f>
        <v>1892.46</v>
      </c>
      <c r="L40" s="261"/>
      <c r="M40" s="261"/>
      <c r="O40" s="2"/>
      <c r="P40" s="83">
        <v>1.1000000000000001</v>
      </c>
      <c r="Q40" s="83">
        <f>P40*$Q$4</f>
        <v>252.27400000000003</v>
      </c>
      <c r="R40" s="34"/>
      <c r="T40" s="97" t="s">
        <v>98</v>
      </c>
      <c r="U40" s="129">
        <v>227.62</v>
      </c>
      <c r="W40" s="94">
        <v>42712</v>
      </c>
      <c r="X40" s="365">
        <v>224.57</v>
      </c>
      <c r="Y40" s="40">
        <v>225.7</v>
      </c>
      <c r="Z40" s="40">
        <v>224.26</v>
      </c>
      <c r="AA40" s="365">
        <v>225.15</v>
      </c>
      <c r="AB40" s="95">
        <v>99714400</v>
      </c>
      <c r="AC40" s="243">
        <v>223.83</v>
      </c>
      <c r="AD40" s="2">
        <f t="shared" si="0"/>
        <v>1.4399999999999977</v>
      </c>
      <c r="AE40" s="138">
        <f t="shared" si="1"/>
        <v>2.463274811895344E-3</v>
      </c>
    </row>
    <row r="41" spans="1:31" x14ac:dyDescent="0.25">
      <c r="A41" s="261"/>
      <c r="B41" s="266">
        <v>42405</v>
      </c>
      <c r="C41" s="261">
        <v>15</v>
      </c>
      <c r="D41" s="262">
        <v>187.8</v>
      </c>
      <c r="E41" s="262">
        <v>0</v>
      </c>
      <c r="F41" s="262">
        <f>C41*D41+E41</f>
        <v>2817</v>
      </c>
      <c r="G41" s="266">
        <v>42424</v>
      </c>
      <c r="H41" s="267">
        <v>10</v>
      </c>
      <c r="I41" s="262">
        <v>194.3</v>
      </c>
      <c r="J41" s="262">
        <v>0.04</v>
      </c>
      <c r="K41" s="262">
        <f>H41*I41-J41</f>
        <v>1942.96</v>
      </c>
      <c r="L41" s="261"/>
      <c r="M41" s="261"/>
      <c r="O41" s="2"/>
      <c r="P41" s="83">
        <v>1.0900000000000001</v>
      </c>
      <c r="Q41" s="83">
        <f t="shared" ref="Q41:Q60" si="5">P41*$Q$4</f>
        <v>249.98060000000001</v>
      </c>
      <c r="R41" s="34"/>
      <c r="T41" s="87" t="s">
        <v>99</v>
      </c>
      <c r="U41" s="130">
        <v>227.2</v>
      </c>
      <c r="W41" s="94">
        <v>42711</v>
      </c>
      <c r="X41" s="365">
        <v>221.52</v>
      </c>
      <c r="Y41" s="40">
        <v>224.67</v>
      </c>
      <c r="Z41" s="40">
        <v>221.38</v>
      </c>
      <c r="AA41" s="365">
        <v>224.6</v>
      </c>
      <c r="AB41" s="95">
        <v>110738100</v>
      </c>
      <c r="AC41" s="243">
        <v>223.28</v>
      </c>
      <c r="AD41" s="2">
        <f t="shared" si="0"/>
        <v>3.289999999999992</v>
      </c>
      <c r="AE41" s="138">
        <f t="shared" si="1"/>
        <v>1.3067150635208691E-2</v>
      </c>
    </row>
    <row r="42" spans="1:31" x14ac:dyDescent="0.25">
      <c r="A42" s="261"/>
      <c r="B42" s="266">
        <v>42408</v>
      </c>
      <c r="C42" s="261">
        <v>5</v>
      </c>
      <c r="D42" s="262">
        <v>183.55</v>
      </c>
      <c r="E42" s="262">
        <v>0</v>
      </c>
      <c r="F42" s="262">
        <f>C42*D42+E42</f>
        <v>917.75</v>
      </c>
      <c r="G42" s="266">
        <v>42440</v>
      </c>
      <c r="H42" s="267">
        <v>5</v>
      </c>
      <c r="I42" s="262">
        <v>201.56</v>
      </c>
      <c r="J42" s="262">
        <v>0.02</v>
      </c>
      <c r="K42" s="262">
        <f>H42*I42-J42</f>
        <v>1007.78</v>
      </c>
      <c r="L42" s="261"/>
      <c r="M42" s="261"/>
      <c r="O42" s="2"/>
      <c r="P42" s="83">
        <v>1.08</v>
      </c>
      <c r="Q42" s="83">
        <f t="shared" si="5"/>
        <v>247.68720000000002</v>
      </c>
      <c r="R42" s="34"/>
      <c r="T42" s="87" t="s">
        <v>100</v>
      </c>
      <c r="U42" s="130" t="s">
        <v>129</v>
      </c>
      <c r="W42" s="94">
        <v>42710</v>
      </c>
      <c r="X42" s="365">
        <v>221.22</v>
      </c>
      <c r="Y42" s="40">
        <v>221.74</v>
      </c>
      <c r="Z42" s="40">
        <v>220.66</v>
      </c>
      <c r="AA42" s="365">
        <v>221.7</v>
      </c>
      <c r="AB42" s="95">
        <v>59877400</v>
      </c>
      <c r="AC42" s="243">
        <v>220.4</v>
      </c>
      <c r="AD42" s="2">
        <f t="shared" si="0"/>
        <v>1.0800000000000125</v>
      </c>
      <c r="AE42" s="138">
        <f t="shared" si="1"/>
        <v>3.1405033908333824E-3</v>
      </c>
    </row>
    <row r="43" spans="1:31" x14ac:dyDescent="0.25">
      <c r="A43" s="261"/>
      <c r="B43" s="261"/>
      <c r="C43" s="261"/>
      <c r="D43" s="262"/>
      <c r="E43" s="262"/>
      <c r="F43" s="262"/>
      <c r="G43" s="261"/>
      <c r="H43" s="267"/>
      <c r="I43" s="262"/>
      <c r="J43" s="262"/>
      <c r="K43" s="262"/>
      <c r="L43" s="261"/>
      <c r="M43" s="261"/>
      <c r="O43" s="2"/>
      <c r="P43" s="83">
        <v>1.07</v>
      </c>
      <c r="Q43" s="83">
        <f t="shared" si="5"/>
        <v>245.39380000000003</v>
      </c>
      <c r="R43" s="83"/>
      <c r="T43" s="87" t="s">
        <v>101</v>
      </c>
      <c r="U43" s="130" t="s">
        <v>129</v>
      </c>
      <c r="W43" s="94">
        <v>42709</v>
      </c>
      <c r="X43" s="365">
        <v>220.65</v>
      </c>
      <c r="Y43" s="40">
        <v>221.4</v>
      </c>
      <c r="Z43" s="40">
        <v>220.42</v>
      </c>
      <c r="AA43" s="365">
        <v>221</v>
      </c>
      <c r="AB43" s="95">
        <v>67837800</v>
      </c>
      <c r="AC43" s="243">
        <v>219.71</v>
      </c>
      <c r="AD43" s="2">
        <f t="shared" si="0"/>
        <v>0.98000000000001819</v>
      </c>
      <c r="AE43" s="138">
        <f t="shared" si="1"/>
        <v>6.044232794542026E-3</v>
      </c>
    </row>
    <row r="44" spans="1:31" x14ac:dyDescent="0.25">
      <c r="A44" s="261"/>
      <c r="B44" s="261"/>
      <c r="C44" s="261"/>
      <c r="D44" s="262"/>
      <c r="E44" s="262"/>
      <c r="F44" s="262"/>
      <c r="G44" s="261"/>
      <c r="H44" s="261"/>
      <c r="I44" s="262"/>
      <c r="J44" s="262"/>
      <c r="K44" s="262"/>
      <c r="L44" s="261"/>
      <c r="M44" s="261"/>
      <c r="O44" s="2"/>
      <c r="P44" s="83">
        <v>1.06</v>
      </c>
      <c r="Q44" s="83">
        <f t="shared" si="5"/>
        <v>243.10040000000001</v>
      </c>
      <c r="R44" s="83"/>
      <c r="T44" s="87" t="s">
        <v>357</v>
      </c>
      <c r="U44" s="130">
        <v>227.63</v>
      </c>
      <c r="W44" s="94">
        <v>42706</v>
      </c>
      <c r="X44" s="365">
        <v>219.67</v>
      </c>
      <c r="Y44" s="40">
        <v>220.25</v>
      </c>
      <c r="Z44" s="40">
        <v>219.26</v>
      </c>
      <c r="AA44" s="365">
        <v>219.68</v>
      </c>
      <c r="AB44" s="95">
        <v>74840300</v>
      </c>
      <c r="AC44" s="243">
        <v>218.39</v>
      </c>
      <c r="AD44" s="2">
        <f t="shared" si="0"/>
        <v>0.99000000000000909</v>
      </c>
      <c r="AE44" s="138">
        <f t="shared" si="1"/>
        <v>5.0393989371433356E-4</v>
      </c>
    </row>
    <row r="45" spans="1:31" x14ac:dyDescent="0.25">
      <c r="A45" s="261"/>
      <c r="B45" s="261"/>
      <c r="C45" s="261"/>
      <c r="D45" s="262"/>
      <c r="E45" s="262"/>
      <c r="F45" s="262"/>
      <c r="G45" s="261"/>
      <c r="H45" s="261"/>
      <c r="I45" s="262"/>
      <c r="J45" s="262"/>
      <c r="K45" s="262"/>
      <c r="L45" s="261"/>
      <c r="M45" s="261"/>
      <c r="O45" s="2"/>
      <c r="P45" s="83">
        <v>1.05</v>
      </c>
      <c r="Q45" s="83">
        <f t="shared" si="5"/>
        <v>240.80700000000002</v>
      </c>
      <c r="R45" s="83"/>
      <c r="T45" s="87" t="s">
        <v>358</v>
      </c>
      <c r="U45" s="130" t="s">
        <v>391</v>
      </c>
      <c r="W45" s="94">
        <v>42705</v>
      </c>
      <c r="X45" s="365">
        <v>220.73</v>
      </c>
      <c r="Y45" s="40">
        <v>220.73</v>
      </c>
      <c r="Z45" s="40">
        <v>219.15</v>
      </c>
      <c r="AA45" s="365">
        <v>219.57</v>
      </c>
      <c r="AB45" s="95">
        <v>79040500</v>
      </c>
      <c r="AC45" s="243">
        <v>218.28</v>
      </c>
      <c r="AD45" s="2">
        <f t="shared" si="0"/>
        <v>1.5799999999999841</v>
      </c>
      <c r="AE45" s="138">
        <f t="shared" si="1"/>
        <v>-3.6971107763932309E-3</v>
      </c>
    </row>
    <row r="46" spans="1:31" x14ac:dyDescent="0.25">
      <c r="A46" s="261"/>
      <c r="B46" s="261"/>
      <c r="C46" s="261"/>
      <c r="D46" s="262"/>
      <c r="E46" s="262"/>
      <c r="F46" s="262"/>
      <c r="G46" s="261"/>
      <c r="H46" s="261"/>
      <c r="I46" s="262"/>
      <c r="J46" s="262"/>
      <c r="K46" s="262"/>
      <c r="L46" s="261"/>
      <c r="M46" s="261"/>
      <c r="O46" s="2"/>
      <c r="P46" s="83">
        <v>1.04</v>
      </c>
      <c r="Q46" s="83">
        <f t="shared" si="5"/>
        <v>238.51360000000003</v>
      </c>
      <c r="R46" s="83"/>
      <c r="T46" s="87" t="s">
        <v>359</v>
      </c>
      <c r="U46" s="232">
        <v>0.12</v>
      </c>
      <c r="W46" s="94">
        <v>42704</v>
      </c>
      <c r="X46" s="365">
        <v>221.63</v>
      </c>
      <c r="Y46" s="40">
        <v>221.82</v>
      </c>
      <c r="Z46" s="40">
        <v>220.31</v>
      </c>
      <c r="AA46" s="365">
        <v>220.38</v>
      </c>
      <c r="AB46" s="95">
        <v>113291800</v>
      </c>
      <c r="AC46" s="243">
        <v>219.09</v>
      </c>
      <c r="AD46" s="2">
        <f t="shared" si="0"/>
        <v>1.5099999999999909</v>
      </c>
      <c r="AE46" s="138">
        <f t="shared" si="1"/>
        <v>-2.4132592660048857E-3</v>
      </c>
    </row>
    <row r="47" spans="1:31" x14ac:dyDescent="0.25">
      <c r="A47" s="261"/>
      <c r="B47" s="261"/>
      <c r="C47" s="261"/>
      <c r="D47" s="262"/>
      <c r="E47" s="262"/>
      <c r="F47" s="262"/>
      <c r="G47" s="261"/>
      <c r="H47" s="261"/>
      <c r="I47" s="262"/>
      <c r="J47" s="262"/>
      <c r="K47" s="262"/>
      <c r="L47" s="261"/>
      <c r="M47" s="261"/>
      <c r="O47" s="2"/>
      <c r="P47" s="83">
        <v>1.03</v>
      </c>
      <c r="Q47" s="83">
        <f t="shared" si="5"/>
        <v>236.22020000000001</v>
      </c>
      <c r="R47" s="83"/>
      <c r="T47" s="87"/>
      <c r="U47" s="130"/>
      <c r="W47" s="94">
        <v>42703</v>
      </c>
      <c r="X47" s="365">
        <v>220.52</v>
      </c>
      <c r="Y47" s="40">
        <v>221.44</v>
      </c>
      <c r="Z47" s="40">
        <v>220.17</v>
      </c>
      <c r="AA47" s="365">
        <v>220.91</v>
      </c>
      <c r="AB47" s="95">
        <v>69886700</v>
      </c>
      <c r="AC47" s="243">
        <v>219.62</v>
      </c>
      <c r="AD47" s="2">
        <f t="shared" si="0"/>
        <v>1.2700000000000102</v>
      </c>
      <c r="AE47" s="138">
        <f t="shared" si="1"/>
        <v>1.9617683288470911E-3</v>
      </c>
    </row>
    <row r="48" spans="1:31" x14ac:dyDescent="0.25">
      <c r="A48" s="261"/>
      <c r="B48" s="261"/>
      <c r="C48" s="261"/>
      <c r="D48" s="262"/>
      <c r="E48" s="262"/>
      <c r="F48" s="262"/>
      <c r="G48" s="261"/>
      <c r="H48" s="261"/>
      <c r="I48" s="262"/>
      <c r="J48" s="262"/>
      <c r="K48" s="262"/>
      <c r="L48" s="261"/>
      <c r="M48" s="261"/>
      <c r="O48" s="2"/>
      <c r="P48" s="83">
        <v>1.02</v>
      </c>
      <c r="Q48" s="83">
        <f t="shared" si="5"/>
        <v>233.92680000000001</v>
      </c>
      <c r="R48" s="83"/>
      <c r="T48" s="87" t="s">
        <v>105</v>
      </c>
      <c r="U48" s="130" t="s">
        <v>611</v>
      </c>
      <c r="W48" s="94">
        <v>42702</v>
      </c>
      <c r="X48" s="365">
        <v>221.16</v>
      </c>
      <c r="Y48" s="40">
        <v>221.48</v>
      </c>
      <c r="Z48" s="40">
        <v>220.36</v>
      </c>
      <c r="AA48" s="365">
        <v>220.48</v>
      </c>
      <c r="AB48" s="95">
        <v>76572500</v>
      </c>
      <c r="AC48" s="243">
        <v>219.19</v>
      </c>
      <c r="AD48" s="2">
        <f t="shared" si="0"/>
        <v>1.1199999999999761</v>
      </c>
      <c r="AE48" s="138">
        <f t="shared" si="1"/>
        <v>-4.6771410407774328E-3</v>
      </c>
    </row>
    <row r="49" spans="1:31" x14ac:dyDescent="0.25">
      <c r="A49" s="261"/>
      <c r="B49" s="261"/>
      <c r="C49" s="261"/>
      <c r="D49" s="262"/>
      <c r="E49" s="262"/>
      <c r="F49" s="262"/>
      <c r="G49" s="261"/>
      <c r="H49" s="261"/>
      <c r="I49" s="262"/>
      <c r="J49" s="262"/>
      <c r="K49" s="262"/>
      <c r="L49" s="261"/>
      <c r="M49" s="261"/>
      <c r="O49" s="2"/>
      <c r="P49" s="83">
        <v>1.01</v>
      </c>
      <c r="Q49" s="83">
        <f t="shared" si="5"/>
        <v>231.63339999999999</v>
      </c>
      <c r="R49" s="83"/>
      <c r="T49" s="87" t="s">
        <v>106</v>
      </c>
      <c r="U49" s="130" t="s">
        <v>467</v>
      </c>
      <c r="W49" s="94">
        <v>42699</v>
      </c>
      <c r="X49" s="365">
        <v>221.1</v>
      </c>
      <c r="Y49" s="40">
        <v>221.56</v>
      </c>
      <c r="Z49" s="40">
        <v>221.01</v>
      </c>
      <c r="AA49" s="365">
        <v>221.52</v>
      </c>
      <c r="AB49" s="95">
        <v>37872300</v>
      </c>
      <c r="AC49" s="243">
        <v>220.22</v>
      </c>
      <c r="AD49" s="2">
        <f t="shared" si="0"/>
        <v>0.55000000000001137</v>
      </c>
      <c r="AE49" s="138">
        <f t="shared" si="1"/>
        <v>3.6917187001503926E-3</v>
      </c>
    </row>
    <row r="50" spans="1:31" x14ac:dyDescent="0.25">
      <c r="A50" s="261"/>
      <c r="B50" s="261"/>
      <c r="C50" s="261"/>
      <c r="D50" s="262"/>
      <c r="E50" s="262"/>
      <c r="F50" s="262"/>
      <c r="G50" s="261"/>
      <c r="H50" s="261"/>
      <c r="I50" s="262"/>
      <c r="J50" s="262"/>
      <c r="K50" s="262"/>
      <c r="L50" s="261"/>
      <c r="M50" s="261"/>
      <c r="O50" s="2"/>
      <c r="P50" s="83">
        <v>1</v>
      </c>
      <c r="Q50" s="83">
        <f t="shared" si="5"/>
        <v>229.34</v>
      </c>
      <c r="R50" s="83"/>
      <c r="T50" s="87" t="s">
        <v>107</v>
      </c>
      <c r="U50" s="131">
        <v>69657560</v>
      </c>
      <c r="W50" s="94">
        <v>42697</v>
      </c>
      <c r="X50" s="365">
        <v>219.98</v>
      </c>
      <c r="Y50" s="40">
        <v>220.76</v>
      </c>
      <c r="Z50" s="40">
        <v>219.75</v>
      </c>
      <c r="AA50" s="365">
        <v>220.7</v>
      </c>
      <c r="AB50" s="95">
        <v>56620200</v>
      </c>
      <c r="AC50" s="243">
        <v>219.41</v>
      </c>
      <c r="AD50" s="2">
        <f t="shared" si="0"/>
        <v>1.0099999999999909</v>
      </c>
      <c r="AE50" s="138">
        <f t="shared" si="1"/>
        <v>5.4722057549372316E-4</v>
      </c>
    </row>
    <row r="51" spans="1:31" x14ac:dyDescent="0.25">
      <c r="A51" s="261"/>
      <c r="B51" s="261"/>
      <c r="C51" s="261"/>
      <c r="D51" s="262"/>
      <c r="E51" s="262"/>
      <c r="F51" s="262"/>
      <c r="G51" s="261"/>
      <c r="H51" s="261"/>
      <c r="I51" s="262"/>
      <c r="J51" s="262"/>
      <c r="K51" s="262"/>
      <c r="L51" s="261"/>
      <c r="M51" s="261"/>
      <c r="O51" s="2"/>
      <c r="P51" s="83">
        <v>0.99</v>
      </c>
      <c r="Q51" s="83">
        <f t="shared" si="5"/>
        <v>227.04660000000001</v>
      </c>
      <c r="R51" s="83"/>
      <c r="T51" s="87" t="s">
        <v>110</v>
      </c>
      <c r="U51" s="131">
        <v>85458300</v>
      </c>
      <c r="W51" s="94">
        <v>42696</v>
      </c>
      <c r="X51" s="365">
        <v>220.51</v>
      </c>
      <c r="Y51" s="40">
        <v>220.79</v>
      </c>
      <c r="Z51" s="40">
        <v>219.73</v>
      </c>
      <c r="AA51" s="365">
        <v>220.58</v>
      </c>
      <c r="AB51" s="95">
        <v>67429000</v>
      </c>
      <c r="AC51" s="243">
        <v>219.29</v>
      </c>
      <c r="AD51" s="2">
        <f t="shared" si="0"/>
        <v>1.0600000000000023</v>
      </c>
      <c r="AE51" s="138">
        <f t="shared" si="1"/>
        <v>1.9647263090558642E-3</v>
      </c>
    </row>
    <row r="52" spans="1:31" x14ac:dyDescent="0.25">
      <c r="A52" s="261"/>
      <c r="B52" s="261"/>
      <c r="C52" s="261"/>
      <c r="D52" s="262"/>
      <c r="E52" s="262"/>
      <c r="F52" s="262"/>
      <c r="G52" s="261"/>
      <c r="H52" s="261"/>
      <c r="I52" s="262"/>
      <c r="J52" s="262"/>
      <c r="K52" s="262"/>
      <c r="L52" s="261"/>
      <c r="M52" s="261"/>
      <c r="O52" s="2"/>
      <c r="P52" s="83">
        <v>0.98</v>
      </c>
      <c r="Q52" s="83">
        <f t="shared" si="5"/>
        <v>224.75319999999999</v>
      </c>
      <c r="R52" s="83"/>
      <c r="T52" s="87" t="s">
        <v>360</v>
      </c>
      <c r="U52" s="130">
        <v>19</v>
      </c>
      <c r="W52" s="94">
        <v>42695</v>
      </c>
      <c r="X52" s="365">
        <v>219.17</v>
      </c>
      <c r="Y52" s="40">
        <v>220.18</v>
      </c>
      <c r="Z52" s="40">
        <v>219</v>
      </c>
      <c r="AA52" s="365">
        <v>220.15</v>
      </c>
      <c r="AB52" s="95">
        <v>72402600</v>
      </c>
      <c r="AC52" s="243">
        <v>218.86</v>
      </c>
      <c r="AD52" s="2">
        <f t="shared" si="0"/>
        <v>1.1800000000000068</v>
      </c>
      <c r="AE52" s="138">
        <f t="shared" si="1"/>
        <v>7.5499493600958978E-3</v>
      </c>
    </row>
    <row r="53" spans="1:31" x14ac:dyDescent="0.25">
      <c r="A53" s="261"/>
      <c r="B53" s="261"/>
      <c r="C53" s="261"/>
      <c r="D53" s="262"/>
      <c r="E53" s="262"/>
      <c r="F53" s="262"/>
      <c r="G53" s="261"/>
      <c r="H53" s="261"/>
      <c r="I53" s="262"/>
      <c r="J53" s="262"/>
      <c r="K53" s="262"/>
      <c r="L53" s="261"/>
      <c r="M53" s="261"/>
      <c r="O53" s="2"/>
      <c r="P53" s="83">
        <v>0.97</v>
      </c>
      <c r="Q53" s="83">
        <f t="shared" si="5"/>
        <v>222.4598</v>
      </c>
      <c r="R53" s="83"/>
      <c r="T53" s="87" t="s">
        <v>361</v>
      </c>
      <c r="U53" s="130">
        <v>2.0299999999999998</v>
      </c>
      <c r="W53" s="94">
        <v>42692</v>
      </c>
      <c r="X53" s="365">
        <v>219.07</v>
      </c>
      <c r="Y53" s="40">
        <v>219.27</v>
      </c>
      <c r="Z53" s="40">
        <v>218.29</v>
      </c>
      <c r="AA53" s="365">
        <v>218.5</v>
      </c>
      <c r="AB53" s="95">
        <v>86265800</v>
      </c>
      <c r="AC53" s="243">
        <v>217.22</v>
      </c>
      <c r="AD53" s="2">
        <f t="shared" si="0"/>
        <v>0.98000000000001819</v>
      </c>
      <c r="AE53" s="138">
        <f t="shared" si="1"/>
        <v>-2.2507004731064928E-3</v>
      </c>
    </row>
    <row r="54" spans="1:31" x14ac:dyDescent="0.25">
      <c r="A54" s="261"/>
      <c r="B54" s="261"/>
      <c r="C54" s="261"/>
      <c r="D54" s="262"/>
      <c r="E54" s="262"/>
      <c r="F54" s="262"/>
      <c r="G54" s="261"/>
      <c r="H54" s="261"/>
      <c r="I54" s="262"/>
      <c r="J54" s="262"/>
      <c r="K54" s="262"/>
      <c r="L54" s="261"/>
      <c r="M54" s="261"/>
      <c r="O54" s="2"/>
      <c r="P54" s="83">
        <v>0.96</v>
      </c>
      <c r="Q54" s="83">
        <f t="shared" si="5"/>
        <v>220.16639999999998</v>
      </c>
      <c r="R54" s="83"/>
      <c r="T54" s="87"/>
      <c r="U54" s="130"/>
      <c r="W54" s="94">
        <v>42691</v>
      </c>
      <c r="X54" s="365">
        <v>218.05</v>
      </c>
      <c r="Y54" s="40">
        <v>219.06</v>
      </c>
      <c r="Z54" s="40">
        <v>217.92</v>
      </c>
      <c r="AA54" s="365">
        <v>218.99</v>
      </c>
      <c r="AB54" s="95">
        <v>69797200</v>
      </c>
      <c r="AC54" s="243">
        <v>217.71</v>
      </c>
      <c r="AD54" s="2">
        <f t="shared" si="0"/>
        <v>1.1400000000000148</v>
      </c>
      <c r="AE54" s="138">
        <f t="shared" si="1"/>
        <v>5.1710605291104272E-3</v>
      </c>
    </row>
    <row r="55" spans="1:31" x14ac:dyDescent="0.25">
      <c r="A55" s="32" t="s">
        <v>81</v>
      </c>
      <c r="B55" s="14"/>
      <c r="C55" s="14">
        <f>SUM(C39:C43)</f>
        <v>45</v>
      </c>
      <c r="D55" s="14"/>
      <c r="E55" s="14"/>
      <c r="F55" s="18">
        <f>SUM(F39:F43)</f>
        <v>8526.7000000000007</v>
      </c>
      <c r="G55" s="18"/>
      <c r="H55" s="73">
        <f>SUM(H39:H43)</f>
        <v>45</v>
      </c>
      <c r="I55" s="18"/>
      <c r="J55" s="18"/>
      <c r="K55" s="18">
        <f>SUM(K39:K43)</f>
        <v>8687.5300000000007</v>
      </c>
      <c r="L55" s="18"/>
      <c r="M55" s="18">
        <f>SUM(M39:M43)</f>
        <v>0</v>
      </c>
      <c r="O55" s="2"/>
      <c r="P55" s="83">
        <v>0.95</v>
      </c>
      <c r="Q55" s="83">
        <f t="shared" si="5"/>
        <v>217.87299999999999</v>
      </c>
      <c r="R55" s="83"/>
      <c r="T55" s="87"/>
      <c r="U55" s="130"/>
      <c r="W55" s="94">
        <v>42690</v>
      </c>
      <c r="X55" s="365">
        <v>217.56</v>
      </c>
      <c r="Y55" s="40">
        <v>218.14</v>
      </c>
      <c r="Z55" s="40">
        <v>217.42</v>
      </c>
      <c r="AA55" s="365">
        <v>217.87</v>
      </c>
      <c r="AB55" s="95">
        <v>65617700</v>
      </c>
      <c r="AC55" s="243">
        <v>216.59</v>
      </c>
      <c r="AD55" s="2">
        <f t="shared" si="0"/>
        <v>0.71999999999999886</v>
      </c>
      <c r="AE55" s="138">
        <f t="shared" si="1"/>
        <v>-1.8894009216590124E-3</v>
      </c>
    </row>
    <row r="56" spans="1:31" x14ac:dyDescent="0.25">
      <c r="O56" s="2"/>
      <c r="P56" s="83">
        <v>0.94</v>
      </c>
      <c r="Q56" s="83">
        <f t="shared" si="5"/>
        <v>215.5796</v>
      </c>
      <c r="R56" s="83"/>
      <c r="W56" s="94">
        <v>42689</v>
      </c>
      <c r="X56" s="365">
        <v>217.04</v>
      </c>
      <c r="Y56" s="40">
        <v>218.28</v>
      </c>
      <c r="Z56" s="40">
        <v>216.8</v>
      </c>
      <c r="AA56" s="365">
        <v>218.28</v>
      </c>
      <c r="AB56" s="95">
        <v>91652600</v>
      </c>
      <c r="AC56" s="243">
        <v>217</v>
      </c>
      <c r="AD56" s="2">
        <f t="shared" si="0"/>
        <v>1.4799999999999898</v>
      </c>
      <c r="AE56" s="138">
        <f t="shared" si="1"/>
        <v>7.8023407022107527E-3</v>
      </c>
    </row>
    <row r="57" spans="1:31" x14ac:dyDescent="0.25">
      <c r="O57" s="2"/>
      <c r="P57" s="83">
        <v>0.93</v>
      </c>
      <c r="Q57" s="83">
        <f t="shared" si="5"/>
        <v>213.28620000000001</v>
      </c>
      <c r="R57" s="83"/>
      <c r="W57" s="94">
        <v>42688</v>
      </c>
      <c r="X57" s="365">
        <v>217.03</v>
      </c>
      <c r="Y57" s="40">
        <v>217.27</v>
      </c>
      <c r="Z57" s="40">
        <v>215.72</v>
      </c>
      <c r="AA57" s="365">
        <v>216.59</v>
      </c>
      <c r="AB57" s="95">
        <v>94580000</v>
      </c>
      <c r="AC57" s="243">
        <v>215.32</v>
      </c>
      <c r="AD57" s="2">
        <f t="shared" si="0"/>
        <v>1.5500000000000114</v>
      </c>
      <c r="AE57" s="138">
        <f t="shared" si="1"/>
        <v>7.9014640948171788E-4</v>
      </c>
    </row>
    <row r="58" spans="1:31" x14ac:dyDescent="0.25">
      <c r="O58" s="2"/>
      <c r="P58" s="83">
        <v>0.92</v>
      </c>
      <c r="Q58" s="83">
        <f t="shared" si="5"/>
        <v>210.99280000000002</v>
      </c>
      <c r="R58" s="83"/>
      <c r="W58" s="94">
        <v>42685</v>
      </c>
      <c r="X58" s="365">
        <v>216.08</v>
      </c>
      <c r="Y58" s="40">
        <v>216.7</v>
      </c>
      <c r="Z58" s="40">
        <v>215.32</v>
      </c>
      <c r="AA58" s="365">
        <v>216.42</v>
      </c>
      <c r="AB58" s="95">
        <v>100552700</v>
      </c>
      <c r="AC58" s="243">
        <v>215.15</v>
      </c>
      <c r="AD58" s="2">
        <f t="shared" si="0"/>
        <v>1.3799999999999955</v>
      </c>
      <c r="AE58" s="138">
        <f t="shared" si="1"/>
        <v>-2.3185717597959954E-3</v>
      </c>
    </row>
    <row r="59" spans="1:31" x14ac:dyDescent="0.25">
      <c r="O59" s="2"/>
      <c r="P59" s="83">
        <v>0.91</v>
      </c>
      <c r="Q59" s="83">
        <f t="shared" si="5"/>
        <v>208.6994</v>
      </c>
      <c r="R59" s="83"/>
      <c r="W59" s="94">
        <v>42684</v>
      </c>
      <c r="X59" s="365">
        <v>217.3</v>
      </c>
      <c r="Y59" s="40">
        <v>218.31</v>
      </c>
      <c r="Z59" s="40">
        <v>215.22</v>
      </c>
      <c r="AA59" s="365">
        <v>216.92</v>
      </c>
      <c r="AB59" s="95">
        <v>172113300</v>
      </c>
      <c r="AC59" s="243">
        <v>215.65</v>
      </c>
      <c r="AD59" s="2">
        <f t="shared" si="0"/>
        <v>3.0900000000000034</v>
      </c>
      <c r="AE59" s="138">
        <f t="shared" si="1"/>
        <v>2.5103435451629963E-3</v>
      </c>
    </row>
    <row r="60" spans="1:31" x14ac:dyDescent="0.25">
      <c r="O60" s="2"/>
      <c r="P60" s="83">
        <v>0.9</v>
      </c>
      <c r="Q60" s="83">
        <f t="shared" si="5"/>
        <v>206.40600000000001</v>
      </c>
      <c r="R60" s="83"/>
      <c r="W60" s="94">
        <v>42683</v>
      </c>
      <c r="X60" s="365">
        <v>212.37</v>
      </c>
      <c r="Y60" s="40">
        <v>217.1</v>
      </c>
      <c r="Z60" s="40">
        <v>212.34</v>
      </c>
      <c r="AA60" s="365">
        <v>216.38</v>
      </c>
      <c r="AB60" s="95">
        <v>258429000</v>
      </c>
      <c r="AC60" s="243">
        <v>215.11</v>
      </c>
      <c r="AD60" s="2">
        <f t="shared" si="0"/>
        <v>4.7599999999999909</v>
      </c>
      <c r="AE60" s="138">
        <f t="shared" si="1"/>
        <v>1.0570327915061517E-2</v>
      </c>
    </row>
    <row r="61" spans="1:31" x14ac:dyDescent="0.25">
      <c r="W61" s="94">
        <v>42682</v>
      </c>
      <c r="X61" s="365">
        <v>212.69</v>
      </c>
      <c r="Y61" s="40">
        <v>214.77</v>
      </c>
      <c r="Z61" s="40">
        <v>212.38</v>
      </c>
      <c r="AA61" s="365">
        <v>214.11</v>
      </c>
      <c r="AB61" s="95">
        <v>106772100</v>
      </c>
      <c r="AC61" s="243">
        <v>212.86</v>
      </c>
      <c r="AD61" s="2">
        <f t="shared" si="0"/>
        <v>2.3900000000000148</v>
      </c>
      <c r="AE61" s="138">
        <f t="shared" si="1"/>
        <v>4.5304388862672518E-3</v>
      </c>
    </row>
    <row r="62" spans="1:31" x14ac:dyDescent="0.25">
      <c r="W62" s="94">
        <v>42681</v>
      </c>
      <c r="X62" s="365">
        <v>208.55</v>
      </c>
      <c r="Y62" s="40">
        <v>213.19</v>
      </c>
      <c r="Z62" s="40">
        <v>208.55</v>
      </c>
      <c r="AA62" s="365">
        <v>213.15</v>
      </c>
      <c r="AB62" s="95">
        <v>109794900</v>
      </c>
      <c r="AC62" s="243">
        <v>211.9</v>
      </c>
      <c r="AD62" s="2">
        <f t="shared" si="0"/>
        <v>4.6399999999999864</v>
      </c>
      <c r="AE62" s="138">
        <f t="shared" si="1"/>
        <v>2.2042155018569431E-2</v>
      </c>
    </row>
    <row r="63" spans="1:31" x14ac:dyDescent="0.25">
      <c r="W63" s="94">
        <v>42678</v>
      </c>
      <c r="X63" s="365">
        <v>208.91</v>
      </c>
      <c r="Y63" s="40">
        <v>209.89</v>
      </c>
      <c r="Z63" s="40">
        <v>208.38</v>
      </c>
      <c r="AA63" s="365">
        <v>208.55</v>
      </c>
      <c r="AB63" s="95">
        <v>109122100</v>
      </c>
      <c r="AC63" s="243">
        <v>207.33</v>
      </c>
      <c r="AD63" s="2">
        <f t="shared" si="0"/>
        <v>1.5099999999999909</v>
      </c>
      <c r="AE63" s="138">
        <f t="shared" si="1"/>
        <v>-1.1081133166312984E-3</v>
      </c>
    </row>
    <row r="64" spans="1:31" x14ac:dyDescent="0.25">
      <c r="W64" s="94">
        <v>42677</v>
      </c>
      <c r="X64" s="365">
        <v>209.99</v>
      </c>
      <c r="Y64" s="40">
        <v>210.24</v>
      </c>
      <c r="Z64" s="40">
        <v>208.46</v>
      </c>
      <c r="AA64" s="365">
        <v>208.78</v>
      </c>
      <c r="AB64" s="95">
        <v>88939300</v>
      </c>
      <c r="AC64" s="243">
        <v>207.56</v>
      </c>
      <c r="AD64" s="2">
        <f t="shared" si="0"/>
        <v>1.7800000000000011</v>
      </c>
      <c r="AE64" s="138">
        <f t="shared" si="1"/>
        <v>-4.556136396335897E-3</v>
      </c>
    </row>
    <row r="65" spans="23:31" x14ac:dyDescent="0.25">
      <c r="W65" s="94">
        <v>42676</v>
      </c>
      <c r="X65" s="365">
        <v>210.65</v>
      </c>
      <c r="Y65" s="40">
        <v>211.1</v>
      </c>
      <c r="Z65" s="40">
        <v>209.23</v>
      </c>
      <c r="AA65" s="365">
        <v>209.74</v>
      </c>
      <c r="AB65" s="95">
        <v>103330800</v>
      </c>
      <c r="AC65" s="243">
        <v>208.51</v>
      </c>
      <c r="AD65" s="2">
        <f t="shared" si="0"/>
        <v>1.8700000000000045</v>
      </c>
      <c r="AE65" s="138">
        <f t="shared" si="1"/>
        <v>-6.0065786337417659E-3</v>
      </c>
    </row>
    <row r="66" spans="23:31" x14ac:dyDescent="0.25">
      <c r="W66" s="94">
        <v>42675</v>
      </c>
      <c r="X66" s="365">
        <v>212.93</v>
      </c>
      <c r="Y66" s="40">
        <v>212.99</v>
      </c>
      <c r="Z66" s="40">
        <v>209.6</v>
      </c>
      <c r="AA66" s="365">
        <v>211.01</v>
      </c>
      <c r="AB66" s="95">
        <v>122781800</v>
      </c>
      <c r="AC66" s="243">
        <v>209.77</v>
      </c>
      <c r="AD66" s="2">
        <f t="shared" si="0"/>
        <v>3.3900000000000148</v>
      </c>
      <c r="AE66" s="138">
        <f t="shared" si="1"/>
        <v>-7.2408897302413955E-3</v>
      </c>
    </row>
    <row r="67" spans="23:31" x14ac:dyDescent="0.25">
      <c r="W67" s="94">
        <v>42674</v>
      </c>
      <c r="X67" s="365">
        <v>212.93</v>
      </c>
      <c r="Y67" s="40">
        <v>213.19</v>
      </c>
      <c r="Z67" s="40">
        <v>212.36</v>
      </c>
      <c r="AA67" s="365">
        <v>212.55</v>
      </c>
      <c r="AB67" s="95">
        <v>61272500</v>
      </c>
      <c r="AC67" s="243">
        <v>211.3</v>
      </c>
      <c r="AD67" s="2">
        <f t="shared" si="0"/>
        <v>0.82999999999998408</v>
      </c>
      <c r="AE67" s="138">
        <f t="shared" si="1"/>
        <v>4.7328316531869419E-5</v>
      </c>
    </row>
    <row r="68" spans="23:31" x14ac:dyDescent="0.25">
      <c r="W68" s="94">
        <v>42671</v>
      </c>
      <c r="X68" s="10">
        <v>213.14</v>
      </c>
      <c r="Y68" s="40">
        <v>213.93</v>
      </c>
      <c r="Z68" s="40">
        <v>211.71</v>
      </c>
      <c r="AA68" s="10">
        <v>212.54</v>
      </c>
      <c r="AB68" s="95">
        <v>140623200</v>
      </c>
      <c r="AC68" s="243">
        <v>211.29</v>
      </c>
      <c r="AD68" s="2">
        <f>Y68-Z68</f>
        <v>2.2199999999999989</v>
      </c>
      <c r="AE68" s="138" t="e">
        <f>AC68/AC69-1</f>
        <v>#DIV/0!</v>
      </c>
    </row>
    <row r="69" spans="23:31" x14ac:dyDescent="0.25">
      <c r="W69" s="215" t="s">
        <v>121</v>
      </c>
      <c r="X69" s="96"/>
      <c r="Y69" s="243"/>
      <c r="Z69" s="243"/>
      <c r="AA69" s="96"/>
      <c r="AB69" s="216"/>
      <c r="AC69" s="243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F25:F27">
    <cfRule type="expression" dxfId="477" priority="19">
      <formula>F25&gt;0</formula>
    </cfRule>
    <cfRule type="expression" dxfId="476" priority="20">
      <formula>F25&lt;0</formula>
    </cfRule>
  </conditionalFormatting>
  <conditionalFormatting sqref="P40:P60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{A686BDFD-E36F-41F6-8465-600256516AD3}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8:F35">
    <cfRule type="expression" dxfId="475" priority="11">
      <formula>F28&gt;0</formula>
    </cfRule>
    <cfRule type="expression" dxfId="474" priority="12">
      <formula>F28&lt;0</formula>
    </cfRule>
  </conditionalFormatting>
  <conditionalFormatting sqref="F28:F35">
    <cfRule type="expression" dxfId="473" priority="13">
      <formula>F28&gt;0</formula>
    </cfRule>
    <cfRule type="expression" dxfId="472" priority="14">
      <formula>F28&lt;0</formula>
    </cfRule>
  </conditionalFormatting>
  <conditionalFormatting sqref="H25:H35">
    <cfRule type="expression" dxfId="471" priority="9">
      <formula>H25&gt;0</formula>
    </cfRule>
    <cfRule type="expression" dxfId="470" priority="10">
      <formula>H25&lt;0</formula>
    </cfRule>
  </conditionalFormatting>
  <conditionalFormatting sqref="F21:F24">
    <cfRule type="expression" dxfId="469" priority="7">
      <formula>F21&gt;0</formula>
    </cfRule>
    <cfRule type="expression" dxfId="468" priority="8">
      <formula>F21&lt;0</formula>
    </cfRule>
  </conditionalFormatting>
  <conditionalFormatting sqref="H21:H24">
    <cfRule type="expression" dxfId="467" priority="5">
      <formula>H21&gt;0</formula>
    </cfRule>
    <cfRule type="expression" dxfId="466" priority="6">
      <formula>H21&lt;0</formula>
    </cfRule>
  </conditionalFormatting>
  <conditionalFormatting sqref="Q8">
    <cfRule type="expression" dxfId="465" priority="1">
      <formula>Q8&gt;0</formula>
    </cfRule>
    <cfRule type="expression" dxfId="464" priority="2">
      <formula>Q8&lt;0</formula>
    </cfRule>
  </conditionalFormatting>
  <conditionalFormatting sqref="Q7">
    <cfRule type="expression" dxfId="463" priority="3">
      <formula>Q7&gt;0</formula>
    </cfRule>
    <cfRule type="expression" dxfId="462" priority="4">
      <formula>Q7&lt;0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686BDFD-E36F-41F6-8465-600256516AD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8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6" customWidth="1"/>
    <col min="21" max="21" width="18.5703125" customWidth="1"/>
    <col min="23" max="23" width="16" style="34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196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 t="s">
        <v>93</v>
      </c>
      <c r="W1" s="92" t="s">
        <v>114</v>
      </c>
      <c r="X1" s="93" t="s">
        <v>115</v>
      </c>
      <c r="Y1" s="102" t="s">
        <v>116</v>
      </c>
      <c r="Z1" s="102" t="s">
        <v>117</v>
      </c>
      <c r="AA1" s="93" t="s">
        <v>118</v>
      </c>
      <c r="AB1" s="93" t="s">
        <v>119</v>
      </c>
      <c r="AC1" s="244" t="s">
        <v>120</v>
      </c>
      <c r="AD1" s="11" t="s">
        <v>126</v>
      </c>
      <c r="AE1" s="11" t="s">
        <v>128</v>
      </c>
    </row>
    <row r="2" spans="1:40" x14ac:dyDescent="0.25">
      <c r="A2" s="6" t="s">
        <v>172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0</v>
      </c>
      <c r="T2" s="85"/>
      <c r="W2" s="94">
        <v>42768</v>
      </c>
      <c r="X2" s="10">
        <v>90.8</v>
      </c>
      <c r="Y2" s="40">
        <v>91.54</v>
      </c>
      <c r="Z2" s="40">
        <v>90.06</v>
      </c>
      <c r="AA2" s="10">
        <v>91.11</v>
      </c>
      <c r="AB2" s="95">
        <v>2519500</v>
      </c>
      <c r="AC2" s="243">
        <v>91.11</v>
      </c>
      <c r="AD2" s="2">
        <f>Y2-Z2</f>
        <v>1.480000000000004</v>
      </c>
      <c r="AE2" s="138">
        <f>AC2/AC3-1</f>
        <v>-6.8672334859384287E-3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91.56</v>
      </c>
      <c r="T3" s="121"/>
      <c r="W3" s="94">
        <v>42767</v>
      </c>
      <c r="X3" s="10">
        <v>93.54</v>
      </c>
      <c r="Y3" s="40">
        <v>94.49</v>
      </c>
      <c r="Z3" s="40">
        <v>91.31</v>
      </c>
      <c r="AA3" s="10">
        <v>91.74</v>
      </c>
      <c r="AB3" s="95">
        <v>3804800</v>
      </c>
      <c r="AC3" s="243">
        <v>91.74</v>
      </c>
      <c r="AD3" s="2">
        <f>Y3-Z3</f>
        <v>3.1799999999999926</v>
      </c>
      <c r="AE3" s="138">
        <f>AC3/AC4-1</f>
        <v>0</v>
      </c>
      <c r="AN3" s="234"/>
    </row>
    <row r="4" spans="1:40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O4" s="11" t="s">
        <v>66</v>
      </c>
      <c r="Q4" s="55">
        <v>91.56</v>
      </c>
      <c r="R4" s="505">
        <v>4.8999999999999998E-3</v>
      </c>
      <c r="T4" s="121"/>
      <c r="W4" s="94">
        <v>42766</v>
      </c>
      <c r="X4" s="10">
        <v>92.32</v>
      </c>
      <c r="Y4" s="40">
        <v>92.48</v>
      </c>
      <c r="Z4" s="40">
        <v>90.28</v>
      </c>
      <c r="AA4" s="10">
        <v>91.74</v>
      </c>
      <c r="AB4" s="95">
        <v>2486500</v>
      </c>
      <c r="AC4" s="243">
        <v>91.74</v>
      </c>
      <c r="AD4" s="2">
        <f t="shared" ref="AD4:AD67" si="0">Y4-Z4</f>
        <v>2.2000000000000028</v>
      </c>
      <c r="AE4" s="138" t="e">
        <f t="shared" ref="AE4:AE66" si="1">AC4/AC5-1</f>
        <v>#DIV/0!</v>
      </c>
      <c r="AK4" s="234"/>
      <c r="AN4" s="234"/>
    </row>
    <row r="5" spans="1:40" x14ac:dyDescent="0.25">
      <c r="B5" s="74"/>
      <c r="C5" s="17"/>
      <c r="D5" s="75"/>
      <c r="E5" s="75"/>
      <c r="F5" s="3"/>
      <c r="G5" s="74"/>
      <c r="H5" s="185"/>
      <c r="I5" s="3"/>
      <c r="J5" s="3"/>
      <c r="K5" s="3"/>
      <c r="L5" s="4"/>
      <c r="O5" s="11" t="s">
        <v>67</v>
      </c>
      <c r="Q5" s="3">
        <f>Q4*Q2</f>
        <v>0</v>
      </c>
      <c r="W5" s="94">
        <v>42766</v>
      </c>
      <c r="X5" s="10" t="s">
        <v>352</v>
      </c>
      <c r="Y5" s="40"/>
      <c r="Z5" s="40"/>
      <c r="AA5" s="10"/>
      <c r="AB5" s="95"/>
      <c r="AC5" s="243"/>
      <c r="AD5" s="2">
        <f t="shared" si="0"/>
        <v>0</v>
      </c>
      <c r="AE5" s="138">
        <f t="shared" si="1"/>
        <v>-1</v>
      </c>
      <c r="AK5" s="234"/>
      <c r="AN5" s="234"/>
    </row>
    <row r="6" spans="1:40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O6" s="11" t="s">
        <v>64</v>
      </c>
      <c r="Q6" s="2">
        <f>Q3*Q2</f>
        <v>0</v>
      </c>
      <c r="W6" s="94">
        <v>42765</v>
      </c>
      <c r="X6" s="10">
        <v>91.43</v>
      </c>
      <c r="Y6" s="40">
        <v>93.08</v>
      </c>
      <c r="Z6" s="40">
        <v>90.22</v>
      </c>
      <c r="AA6" s="10">
        <v>92.99</v>
      </c>
      <c r="AB6" s="95">
        <v>2482200</v>
      </c>
      <c r="AC6" s="243">
        <v>92.71</v>
      </c>
      <c r="AD6" s="2">
        <f t="shared" si="0"/>
        <v>2.8599999999999994</v>
      </c>
      <c r="AE6" s="138">
        <f t="shared" si="1"/>
        <v>1.0683527744467236E-2</v>
      </c>
    </row>
    <row r="7" spans="1:40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181</v>
      </c>
      <c r="P7"/>
      <c r="Q7" s="2">
        <f>Q10+Q8</f>
        <v>1368.8999999999978</v>
      </c>
      <c r="R7">
        <v>0</v>
      </c>
      <c r="T7" s="85"/>
      <c r="W7" s="94">
        <v>42762</v>
      </c>
      <c r="X7" s="10">
        <v>91.55</v>
      </c>
      <c r="Y7" s="40">
        <v>92.44</v>
      </c>
      <c r="Z7" s="40">
        <v>91.25</v>
      </c>
      <c r="AA7" s="10">
        <v>92.01</v>
      </c>
      <c r="AB7" s="95">
        <v>1705900</v>
      </c>
      <c r="AC7" s="243">
        <v>91.73</v>
      </c>
      <c r="AD7" s="2">
        <f t="shared" si="0"/>
        <v>1.1899999999999977</v>
      </c>
      <c r="AE7" s="138">
        <f t="shared" si="1"/>
        <v>1.0910293145250272E-2</v>
      </c>
      <c r="AK7" s="234"/>
      <c r="AN7" s="234"/>
    </row>
    <row r="8" spans="1:40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184</v>
      </c>
      <c r="Q8" s="2">
        <f>K18+M18-F18+Q2*Q4</f>
        <v>0</v>
      </c>
      <c r="W8" s="94">
        <v>42761</v>
      </c>
      <c r="X8" s="10">
        <v>92</v>
      </c>
      <c r="Y8" s="40">
        <v>92.64</v>
      </c>
      <c r="Z8" s="40">
        <v>90.94</v>
      </c>
      <c r="AA8" s="10">
        <v>91.01</v>
      </c>
      <c r="AB8" s="95">
        <v>2343900</v>
      </c>
      <c r="AC8" s="243">
        <v>90.74</v>
      </c>
      <c r="AD8" s="2">
        <f t="shared" si="0"/>
        <v>1.7000000000000028</v>
      </c>
      <c r="AE8" s="138">
        <f t="shared" si="1"/>
        <v>-9.280489136368697E-3</v>
      </c>
    </row>
    <row r="9" spans="1:40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O9" s="11" t="s">
        <v>214</v>
      </c>
      <c r="P9"/>
      <c r="Q9" s="138">
        <f>IF(Q2=0, 0, Q8/Q6)</f>
        <v>0</v>
      </c>
      <c r="W9" s="94">
        <v>42760</v>
      </c>
      <c r="X9" s="10">
        <v>93</v>
      </c>
      <c r="Y9" s="40">
        <v>93.78</v>
      </c>
      <c r="Z9" s="40">
        <v>91.32</v>
      </c>
      <c r="AA9" s="10">
        <v>91.87</v>
      </c>
      <c r="AB9" s="95">
        <v>3220300</v>
      </c>
      <c r="AC9" s="243">
        <v>91.59</v>
      </c>
      <c r="AD9" s="2">
        <f t="shared" si="0"/>
        <v>2.460000000000008</v>
      </c>
      <c r="AE9" s="138">
        <f t="shared" si="1"/>
        <v>-4.3482987281224794E-3</v>
      </c>
      <c r="AK9" s="234"/>
      <c r="AN9" s="234"/>
    </row>
    <row r="10" spans="1:40" ht="12.75" customHeight="1" x14ac:dyDescent="0.25">
      <c r="H10" s="72"/>
      <c r="O10" s="11" t="s">
        <v>213</v>
      </c>
      <c r="Q10" s="2">
        <f>M48+M61</f>
        <v>1368.8999999999978</v>
      </c>
      <c r="W10" s="94">
        <v>42759</v>
      </c>
      <c r="X10" s="10">
        <v>90.31</v>
      </c>
      <c r="Y10" s="40">
        <v>92.74</v>
      </c>
      <c r="Z10" s="40">
        <v>90.31</v>
      </c>
      <c r="AA10" s="10">
        <v>92.27</v>
      </c>
      <c r="AB10" s="95">
        <v>4553300</v>
      </c>
      <c r="AC10" s="243">
        <v>91.99</v>
      </c>
      <c r="AD10" s="2">
        <f t="shared" si="0"/>
        <v>2.4299999999999926</v>
      </c>
      <c r="AE10" s="138">
        <f t="shared" si="1"/>
        <v>2.3248053392658452E-2</v>
      </c>
    </row>
    <row r="11" spans="1:40" x14ac:dyDescent="0.25">
      <c r="H11" s="72"/>
      <c r="O11" s="11" t="s">
        <v>178</v>
      </c>
      <c r="Q11" s="138">
        <f>VALUE(TRIM(CLEAN(MID(U55, FIND("(", U55)+1, 5))))</f>
        <v>1.2200000000000001E-2</v>
      </c>
      <c r="W11" s="94">
        <v>42758</v>
      </c>
      <c r="X11" s="10">
        <v>88.87</v>
      </c>
      <c r="Y11" s="40">
        <v>91.07</v>
      </c>
      <c r="Z11" s="40">
        <v>87.72</v>
      </c>
      <c r="AA11" s="10">
        <v>90.17</v>
      </c>
      <c r="AB11" s="95">
        <v>6523200</v>
      </c>
      <c r="AC11" s="243">
        <v>89.9</v>
      </c>
      <c r="AD11" s="2">
        <f t="shared" si="0"/>
        <v>3.3499999999999943</v>
      </c>
      <c r="AE11" s="138">
        <f t="shared" si="1"/>
        <v>1.6968325791855143E-2</v>
      </c>
      <c r="AK11" s="234"/>
      <c r="AN11" s="234"/>
    </row>
    <row r="12" spans="1:40" x14ac:dyDescent="0.25">
      <c r="H12" s="72"/>
      <c r="W12" s="94">
        <v>42755</v>
      </c>
      <c r="X12" s="10">
        <v>85</v>
      </c>
      <c r="Y12" s="40">
        <v>88.9</v>
      </c>
      <c r="Z12" s="40">
        <v>84.69</v>
      </c>
      <c r="AA12" s="10">
        <v>88.67</v>
      </c>
      <c r="AB12" s="95">
        <v>15776700</v>
      </c>
      <c r="AC12" s="243">
        <v>88.4</v>
      </c>
      <c r="AD12" s="2">
        <f t="shared" si="0"/>
        <v>4.210000000000008</v>
      </c>
      <c r="AE12" s="138">
        <f t="shared" si="1"/>
        <v>0.13014574277678359</v>
      </c>
    </row>
    <row r="13" spans="1:40" x14ac:dyDescent="0.25">
      <c r="H13" s="72"/>
      <c r="W13" s="94">
        <v>42754</v>
      </c>
      <c r="X13" s="10">
        <v>78.87</v>
      </c>
      <c r="Y13" s="40">
        <v>79.45</v>
      </c>
      <c r="Z13" s="40">
        <v>78.180000000000007</v>
      </c>
      <c r="AA13" s="10">
        <v>78.459999999999994</v>
      </c>
      <c r="AB13" s="95">
        <v>4062400</v>
      </c>
      <c r="AC13" s="243">
        <v>78.22</v>
      </c>
      <c r="AD13" s="2">
        <f t="shared" si="0"/>
        <v>1.269999999999996</v>
      </c>
      <c r="AE13" s="138">
        <f t="shared" si="1"/>
        <v>-1.0249272428191847E-2</v>
      </c>
      <c r="AK13" s="234"/>
      <c r="AN13" s="234"/>
    </row>
    <row r="14" spans="1:40" x14ac:dyDescent="0.25">
      <c r="H14" s="72"/>
      <c r="T14" s="84"/>
      <c r="U14" s="11"/>
      <c r="W14" s="94">
        <v>42753</v>
      </c>
      <c r="X14" s="10">
        <v>77.39</v>
      </c>
      <c r="Y14" s="40">
        <v>79.27</v>
      </c>
      <c r="Z14" s="40">
        <v>77.16</v>
      </c>
      <c r="AA14" s="10">
        <v>79.27</v>
      </c>
      <c r="AB14" s="95">
        <v>3106100</v>
      </c>
      <c r="AC14" s="243">
        <v>79.03</v>
      </c>
      <c r="AD14" s="2">
        <f t="shared" si="0"/>
        <v>2.1099999999999994</v>
      </c>
      <c r="AE14" s="138">
        <f t="shared" si="1"/>
        <v>3.0915731802765523E-2</v>
      </c>
    </row>
    <row r="15" spans="1:40" x14ac:dyDescent="0.25">
      <c r="H15" s="72"/>
      <c r="W15" s="94">
        <v>42752</v>
      </c>
      <c r="X15" s="10">
        <v>77.64</v>
      </c>
      <c r="Y15" s="40">
        <v>78.430000000000007</v>
      </c>
      <c r="Z15" s="40">
        <v>76.489999999999995</v>
      </c>
      <c r="AA15" s="10">
        <v>76.89</v>
      </c>
      <c r="AB15" s="95">
        <v>2391300</v>
      </c>
      <c r="AC15" s="243">
        <v>76.66</v>
      </c>
      <c r="AD15" s="2">
        <f t="shared" si="0"/>
        <v>1.9400000000000119</v>
      </c>
      <c r="AE15" s="138">
        <f t="shared" si="1"/>
        <v>-1.8312203867332677E-2</v>
      </c>
      <c r="AK15" s="234"/>
      <c r="AN15" s="234"/>
    </row>
    <row r="16" spans="1:40" x14ac:dyDescent="0.25">
      <c r="H16" s="72"/>
      <c r="W16" s="94">
        <v>42748</v>
      </c>
      <c r="X16" s="10">
        <v>76.91</v>
      </c>
      <c r="Y16" s="40">
        <v>78.489999999999995</v>
      </c>
      <c r="Z16" s="40">
        <v>76.69</v>
      </c>
      <c r="AA16" s="10">
        <v>78.33</v>
      </c>
      <c r="AB16" s="95">
        <v>1963400</v>
      </c>
      <c r="AC16" s="243">
        <v>78.09</v>
      </c>
      <c r="AD16" s="2">
        <f t="shared" si="0"/>
        <v>1.7999999999999972</v>
      </c>
      <c r="AE16" s="138">
        <f t="shared" si="1"/>
        <v>2.0517511761630969E-2</v>
      </c>
    </row>
    <row r="17" spans="1:40" x14ac:dyDescent="0.25">
      <c r="H17" s="72"/>
      <c r="W17" s="94">
        <v>42747</v>
      </c>
      <c r="X17" s="10">
        <v>76.2</v>
      </c>
      <c r="Y17" s="40">
        <v>76.91</v>
      </c>
      <c r="Z17" s="40">
        <v>74.67</v>
      </c>
      <c r="AA17" s="10">
        <v>76.75</v>
      </c>
      <c r="AB17" s="95">
        <v>4264800</v>
      </c>
      <c r="AC17" s="243">
        <v>76.52</v>
      </c>
      <c r="AD17" s="2">
        <f t="shared" si="0"/>
        <v>2.2399999999999949</v>
      </c>
      <c r="AE17" s="138">
        <f t="shared" si="1"/>
        <v>-2.1107841883075462E-2</v>
      </c>
      <c r="AK17" s="234"/>
      <c r="AN17" s="234"/>
    </row>
    <row r="18" spans="1:40" x14ac:dyDescent="0.25">
      <c r="A18" s="32" t="s">
        <v>81</v>
      </c>
      <c r="B18" s="14"/>
      <c r="C18" s="14">
        <f>SUM(C2:C7)</f>
        <v>0</v>
      </c>
      <c r="D18" s="14"/>
      <c r="E18" s="14"/>
      <c r="F18" s="18">
        <f>SUM(F2:F7)</f>
        <v>0</v>
      </c>
      <c r="G18" s="18"/>
      <c r="H18" s="73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4">
        <v>42746</v>
      </c>
      <c r="X18" s="10">
        <v>77.33</v>
      </c>
      <c r="Y18" s="40">
        <v>78.72</v>
      </c>
      <c r="Z18" s="40">
        <v>76.510000000000005</v>
      </c>
      <c r="AA18" s="10">
        <v>78.41</v>
      </c>
      <c r="AB18" s="95">
        <v>2119900</v>
      </c>
      <c r="AC18" s="243">
        <v>78.17</v>
      </c>
      <c r="AD18" s="2">
        <f t="shared" si="0"/>
        <v>2.2099999999999937</v>
      </c>
      <c r="AE18" s="138">
        <f t="shared" si="1"/>
        <v>1.4141152049818473E-2</v>
      </c>
    </row>
    <row r="19" spans="1:40" ht="15.75" thickBot="1" x14ac:dyDescent="0.3">
      <c r="A19" s="356" t="s">
        <v>198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 t="shared" ref="M19" si="2">SumByColor($A$19,M2:M17)</f>
        <v>0</v>
      </c>
      <c r="W19" s="94">
        <v>42745</v>
      </c>
      <c r="X19" s="10">
        <v>75.69</v>
      </c>
      <c r="Y19" s="40">
        <v>77.52</v>
      </c>
      <c r="Z19" s="40">
        <v>75.66</v>
      </c>
      <c r="AA19" s="10">
        <v>77.31</v>
      </c>
      <c r="AB19" s="95">
        <v>1768600</v>
      </c>
      <c r="AC19" s="243">
        <v>77.08</v>
      </c>
      <c r="AD19" s="2">
        <f t="shared" si="0"/>
        <v>1.8599999999999994</v>
      </c>
      <c r="AE19" s="138">
        <f t="shared" si="1"/>
        <v>2.2010076902678311E-2</v>
      </c>
      <c r="AK19" s="234"/>
      <c r="AN19" s="234"/>
    </row>
    <row r="20" spans="1:40" x14ac:dyDescent="0.25">
      <c r="W20" s="94">
        <v>42744</v>
      </c>
      <c r="X20" s="10">
        <v>75.959999999999994</v>
      </c>
      <c r="Y20" s="40">
        <v>76.959999999999994</v>
      </c>
      <c r="Z20" s="40">
        <v>75.23</v>
      </c>
      <c r="AA20" s="10">
        <v>75.650000000000006</v>
      </c>
      <c r="AB20" s="95">
        <v>2331200</v>
      </c>
      <c r="AC20" s="243">
        <v>75.42</v>
      </c>
      <c r="AD20" s="2">
        <f t="shared" si="0"/>
        <v>1.7299999999999898</v>
      </c>
      <c r="AE20" s="138">
        <f t="shared" si="1"/>
        <v>9.233239662786108E-3</v>
      </c>
    </row>
    <row r="21" spans="1:40" x14ac:dyDescent="0.25">
      <c r="W21" s="94">
        <v>42741</v>
      </c>
      <c r="X21" s="10">
        <v>74.819999999999993</v>
      </c>
      <c r="Y21" s="40">
        <v>75.48</v>
      </c>
      <c r="Z21" s="40">
        <v>74.319999999999993</v>
      </c>
      <c r="AA21" s="10">
        <v>74.959999999999994</v>
      </c>
      <c r="AB21" s="95">
        <v>1608700</v>
      </c>
      <c r="AC21" s="243">
        <v>74.73</v>
      </c>
      <c r="AD21" s="2">
        <f t="shared" si="0"/>
        <v>1.1600000000000108</v>
      </c>
      <c r="AE21" s="138">
        <f t="shared" si="1"/>
        <v>5.1109616677875724E-3</v>
      </c>
      <c r="AK21" s="234"/>
      <c r="AN21" s="234"/>
    </row>
    <row r="22" spans="1:40" x14ac:dyDescent="0.25">
      <c r="B22" s="191" t="s">
        <v>114</v>
      </c>
      <c r="C22" s="191" t="s">
        <v>147</v>
      </c>
      <c r="D22" s="192" t="s">
        <v>146</v>
      </c>
      <c r="E22" s="194" t="s">
        <v>148</v>
      </c>
      <c r="F22" s="194" t="s">
        <v>65</v>
      </c>
      <c r="G22" s="229" t="s">
        <v>152</v>
      </c>
      <c r="H22" s="229" t="s">
        <v>88</v>
      </c>
      <c r="I22" s="229" t="s">
        <v>155</v>
      </c>
      <c r="W22" s="94">
        <v>42740</v>
      </c>
      <c r="X22" s="10">
        <v>74.66</v>
      </c>
      <c r="Y22" s="40">
        <v>75.38</v>
      </c>
      <c r="Z22" s="40">
        <v>73.94</v>
      </c>
      <c r="AA22" s="10">
        <v>74.569999999999993</v>
      </c>
      <c r="AB22" s="95">
        <v>1832600</v>
      </c>
      <c r="AC22" s="243">
        <v>74.349999999999994</v>
      </c>
      <c r="AD22" s="2">
        <f t="shared" si="0"/>
        <v>1.4399999999999977</v>
      </c>
      <c r="AE22" s="138">
        <f t="shared" si="1"/>
        <v>-5.4842161583735782E-3</v>
      </c>
    </row>
    <row r="23" spans="1:40" x14ac:dyDescent="0.25">
      <c r="B23" s="193">
        <v>42546</v>
      </c>
      <c r="C23" s="444">
        <v>60</v>
      </c>
      <c r="D23" s="446">
        <v>63.32</v>
      </c>
      <c r="E23" s="40">
        <v>61.61</v>
      </c>
      <c r="F23" s="40">
        <f t="shared" ref="F23" si="3">C23*(E23-D23)</f>
        <v>-102.60000000000005</v>
      </c>
      <c r="G23" s="40">
        <f t="shared" ref="G23" si="4">D23*C23</f>
        <v>3799.2</v>
      </c>
      <c r="H23" s="231">
        <f t="shared" ref="H23" si="5">(E23-D23)/D23</f>
        <v>-2.7005685407454214E-2</v>
      </c>
      <c r="I23" s="40"/>
      <c r="W23" s="94">
        <v>42739</v>
      </c>
      <c r="X23" s="10">
        <v>75.459999999999994</v>
      </c>
      <c r="Y23" s="40">
        <v>75.66</v>
      </c>
      <c r="Z23" s="40">
        <v>74.5</v>
      </c>
      <c r="AA23" s="10">
        <v>74.989999999999995</v>
      </c>
      <c r="AB23" s="95">
        <v>1683900</v>
      </c>
      <c r="AC23" s="243">
        <v>74.760000000000005</v>
      </c>
      <c r="AD23" s="2">
        <f t="shared" si="0"/>
        <v>1.1599999999999966</v>
      </c>
      <c r="AE23" s="138">
        <f t="shared" si="1"/>
        <v>-2.1356113187399606E-3</v>
      </c>
      <c r="AK23" s="234"/>
    </row>
    <row r="24" spans="1:40" x14ac:dyDescent="0.25">
      <c r="B24" s="193">
        <v>42548</v>
      </c>
      <c r="C24" s="282">
        <v>60</v>
      </c>
      <c r="D24" s="339">
        <v>60.935000000000002</v>
      </c>
      <c r="E24" s="339">
        <v>58.01</v>
      </c>
      <c r="F24" s="40">
        <f t="shared" ref="F24" si="6">C24*(E24-D24)</f>
        <v>-175.50000000000026</v>
      </c>
      <c r="G24" s="40">
        <f t="shared" ref="G24" si="7">D24*C24</f>
        <v>3656.1000000000004</v>
      </c>
      <c r="H24" s="231">
        <f t="shared" ref="H24" si="8">(E24-D24)/D24</f>
        <v>-4.8001969311561567E-2</v>
      </c>
      <c r="I24" s="40"/>
      <c r="W24" s="94">
        <v>42738</v>
      </c>
      <c r="X24" s="10">
        <v>75.22</v>
      </c>
      <c r="Y24" s="40">
        <v>76.239999999999995</v>
      </c>
      <c r="Z24" s="40">
        <v>74.400000000000006</v>
      </c>
      <c r="AA24" s="10">
        <v>75.150000000000006</v>
      </c>
      <c r="AB24" s="95">
        <v>2609400</v>
      </c>
      <c r="AC24" s="243">
        <v>74.92</v>
      </c>
      <c r="AD24" s="2">
        <f t="shared" si="0"/>
        <v>1.8399999999999892</v>
      </c>
      <c r="AE24" s="138">
        <f t="shared" si="1"/>
        <v>6.4481461579797283E-3</v>
      </c>
    </row>
    <row r="25" spans="1:40" x14ac:dyDescent="0.25">
      <c r="B25" s="193">
        <v>42549</v>
      </c>
      <c r="C25" s="456">
        <v>120</v>
      </c>
      <c r="D25" s="463">
        <v>60.935000000000002</v>
      </c>
      <c r="E25" s="339">
        <v>60.26</v>
      </c>
      <c r="F25" s="40">
        <f t="shared" ref="F25" si="9">C25*(E25-D25)</f>
        <v>-81.000000000000512</v>
      </c>
      <c r="G25" s="40">
        <f t="shared" ref="G25" si="10">D25*C25</f>
        <v>7312.2000000000007</v>
      </c>
      <c r="H25" s="231">
        <f t="shared" ref="H25" si="11">(E25-D25)/D25</f>
        <v>-1.1077377533437339E-2</v>
      </c>
      <c r="I25" s="40"/>
      <c r="W25" s="94">
        <v>42734</v>
      </c>
      <c r="X25" s="10">
        <v>76.83</v>
      </c>
      <c r="Y25" s="40">
        <v>76.83</v>
      </c>
      <c r="Z25" s="40">
        <v>74.319999999999993</v>
      </c>
      <c r="AA25" s="10">
        <v>74.66</v>
      </c>
      <c r="AB25" s="95">
        <v>1844400</v>
      </c>
      <c r="AC25" s="243">
        <v>74.44</v>
      </c>
      <c r="AD25" s="2">
        <f t="shared" si="0"/>
        <v>2.5100000000000051</v>
      </c>
      <c r="AE25" s="138">
        <f t="shared" si="1"/>
        <v>-2.4760906589807452E-2</v>
      </c>
    </row>
    <row r="26" spans="1:40" x14ac:dyDescent="0.25">
      <c r="B26" s="193">
        <v>42550</v>
      </c>
      <c r="C26" s="282">
        <v>120</v>
      </c>
      <c r="D26" s="339">
        <v>60.935000000000002</v>
      </c>
      <c r="E26" s="339">
        <v>61.73</v>
      </c>
      <c r="F26" s="40">
        <f t="shared" ref="F26" si="12">C26*(E26-D26)</f>
        <v>95.399999999999352</v>
      </c>
      <c r="G26" s="40">
        <f t="shared" ref="G26" si="13">D26*C26</f>
        <v>7312.2000000000007</v>
      </c>
      <c r="H26" s="231">
        <f t="shared" ref="H26" si="14">(E26-D26)/D26</f>
        <v>1.304668909493714E-2</v>
      </c>
      <c r="I26" s="40"/>
      <c r="W26" s="94">
        <v>42733</v>
      </c>
      <c r="X26" s="10">
        <v>76.739999999999995</v>
      </c>
      <c r="Y26" s="40">
        <v>77.12</v>
      </c>
      <c r="Z26" s="40">
        <v>75.63</v>
      </c>
      <c r="AA26" s="10">
        <v>76.56</v>
      </c>
      <c r="AB26" s="95">
        <v>1164900</v>
      </c>
      <c r="AC26" s="243">
        <v>76.33</v>
      </c>
      <c r="AD26" s="2">
        <f t="shared" si="0"/>
        <v>1.4900000000000091</v>
      </c>
      <c r="AE26" s="138">
        <f t="shared" si="1"/>
        <v>-6.1197916666666519E-3</v>
      </c>
    </row>
    <row r="27" spans="1:40" x14ac:dyDescent="0.25">
      <c r="B27" s="193">
        <v>42551</v>
      </c>
      <c r="C27" s="440">
        <v>60</v>
      </c>
      <c r="D27" s="451">
        <v>59.007199999999997</v>
      </c>
      <c r="E27" s="339">
        <v>63.28</v>
      </c>
      <c r="F27" s="40">
        <f t="shared" ref="F27" si="15">C27*(E27-D27)</f>
        <v>256.36800000000022</v>
      </c>
      <c r="G27" s="40">
        <f t="shared" ref="G27" si="16">D27*C27</f>
        <v>3540.4319999999998</v>
      </c>
      <c r="H27" s="231">
        <f t="shared" ref="H27" si="17">(E27-D27)/D27</f>
        <v>7.2411502325140042E-2</v>
      </c>
      <c r="I27" s="40"/>
      <c r="W27" s="94">
        <v>42732</v>
      </c>
      <c r="X27" s="10">
        <v>78.47</v>
      </c>
      <c r="Y27" s="40">
        <v>78.599999999999994</v>
      </c>
      <c r="Z27" s="40">
        <v>76.91</v>
      </c>
      <c r="AA27" s="10">
        <v>77.03</v>
      </c>
      <c r="AB27" s="95">
        <v>1070600</v>
      </c>
      <c r="AC27" s="243">
        <v>76.8</v>
      </c>
      <c r="AD27" s="2">
        <f t="shared" si="0"/>
        <v>1.6899999999999977</v>
      </c>
      <c r="AE27" s="138">
        <f t="shared" si="1"/>
        <v>-1.6519400691509922E-2</v>
      </c>
    </row>
    <row r="28" spans="1:40" x14ac:dyDescent="0.25">
      <c r="B28" s="193">
        <v>42552</v>
      </c>
      <c r="C28" s="282">
        <v>60</v>
      </c>
      <c r="D28" s="339">
        <v>59.007199999999997</v>
      </c>
      <c r="E28" s="339">
        <v>62.6</v>
      </c>
      <c r="F28" s="40">
        <f t="shared" ref="F28" si="18">C28*(E28-D28)</f>
        <v>215.56800000000024</v>
      </c>
      <c r="G28" s="40">
        <f t="shared" ref="G28" si="19">D28*C28</f>
        <v>3540.4319999999998</v>
      </c>
      <c r="H28" s="231">
        <f t="shared" ref="H28" si="20">(E28-D28)/D28</f>
        <v>6.0887484917094933E-2</v>
      </c>
      <c r="I28" s="40"/>
      <c r="W28" s="94">
        <v>42731</v>
      </c>
      <c r="X28" s="10">
        <v>77.900000000000006</v>
      </c>
      <c r="Y28" s="40">
        <v>78.83</v>
      </c>
      <c r="Z28" s="40">
        <v>77.66</v>
      </c>
      <c r="AA28" s="10">
        <v>78.33</v>
      </c>
      <c r="AB28" s="95">
        <v>718300</v>
      </c>
      <c r="AC28" s="243">
        <v>78.09</v>
      </c>
      <c r="AD28" s="2">
        <f t="shared" si="0"/>
        <v>1.1700000000000017</v>
      </c>
      <c r="AE28" s="138">
        <f t="shared" si="1"/>
        <v>3.7275064267352498E-3</v>
      </c>
    </row>
    <row r="29" spans="1:40" x14ac:dyDescent="0.25">
      <c r="B29" s="193">
        <v>42556</v>
      </c>
      <c r="C29" s="282">
        <v>60</v>
      </c>
      <c r="D29" s="339">
        <v>59.007199999999997</v>
      </c>
      <c r="E29" s="339">
        <v>58.82</v>
      </c>
      <c r="F29" s="40">
        <f t="shared" ref="F29:F30" si="21">C29*(E29-D29)</f>
        <v>-11.231999999999829</v>
      </c>
      <c r="G29" s="40">
        <f t="shared" ref="G29:G30" si="22">D29*C29</f>
        <v>3540.4319999999998</v>
      </c>
      <c r="H29" s="231">
        <f t="shared" ref="H29:H30" si="23">(E29-D29)/D29</f>
        <v>-3.1724942040970787E-3</v>
      </c>
      <c r="I29" s="40"/>
      <c r="W29" s="94">
        <v>42727</v>
      </c>
      <c r="X29" s="10">
        <v>78.22</v>
      </c>
      <c r="Y29" s="40">
        <v>78.45</v>
      </c>
      <c r="Z29" s="40">
        <v>77.62</v>
      </c>
      <c r="AA29" s="10">
        <v>78.03</v>
      </c>
      <c r="AB29" s="95">
        <v>826700</v>
      </c>
      <c r="AC29" s="243">
        <v>77.8</v>
      </c>
      <c r="AD29" s="2">
        <f t="shared" si="0"/>
        <v>0.82999999999999829</v>
      </c>
      <c r="AE29" s="138">
        <f t="shared" si="1"/>
        <v>-1.411885508920574E-3</v>
      </c>
    </row>
    <row r="30" spans="1:40" x14ac:dyDescent="0.25">
      <c r="B30" s="193">
        <v>42557</v>
      </c>
      <c r="C30" s="426">
        <v>90</v>
      </c>
      <c r="D30" s="46">
        <v>58.531399999999998</v>
      </c>
      <c r="E30" s="339">
        <v>59.16</v>
      </c>
      <c r="F30" s="40">
        <f t="shared" si="21"/>
        <v>56.573999999999884</v>
      </c>
      <c r="G30" s="40">
        <f t="shared" si="22"/>
        <v>5267.826</v>
      </c>
      <c r="H30" s="231">
        <f t="shared" si="23"/>
        <v>1.0739534677113459E-2</v>
      </c>
      <c r="I30" s="40"/>
      <c r="W30" s="94">
        <v>42726</v>
      </c>
      <c r="X30" s="10">
        <v>77.930000000000007</v>
      </c>
      <c r="Y30" s="40">
        <v>78.33</v>
      </c>
      <c r="Z30" s="40">
        <v>77</v>
      </c>
      <c r="AA30" s="10">
        <v>78.150000000000006</v>
      </c>
      <c r="AB30" s="95">
        <v>1705300</v>
      </c>
      <c r="AC30" s="243">
        <v>77.91</v>
      </c>
      <c r="AD30" s="2">
        <f t="shared" si="0"/>
        <v>1.3299999999999983</v>
      </c>
      <c r="AE30" s="138">
        <f t="shared" si="1"/>
        <v>1.3925039042165466E-2</v>
      </c>
    </row>
    <row r="31" spans="1:40" x14ac:dyDescent="0.25">
      <c r="B31" s="193">
        <v>42562</v>
      </c>
      <c r="C31" s="282">
        <v>90</v>
      </c>
      <c r="D31" s="339">
        <v>58.531399999999998</v>
      </c>
      <c r="E31" s="339">
        <v>64.64</v>
      </c>
      <c r="F31" s="40">
        <f t="shared" ref="F31" si="24">C31*(E31-D31)</f>
        <v>549.77400000000023</v>
      </c>
      <c r="G31" s="40">
        <f t="shared" ref="G31" si="25">D31*C31</f>
        <v>5267.826</v>
      </c>
      <c r="H31" s="231">
        <f t="shared" ref="H31" si="26">(E31-D31)/D31</f>
        <v>0.1043644949548448</v>
      </c>
      <c r="I31" s="40"/>
      <c r="W31" s="94">
        <v>42725</v>
      </c>
      <c r="X31" s="10">
        <v>76.66</v>
      </c>
      <c r="Y31" s="40">
        <v>77.150000000000006</v>
      </c>
      <c r="Z31" s="40">
        <v>76.010000000000005</v>
      </c>
      <c r="AA31" s="10">
        <v>77.069999999999993</v>
      </c>
      <c r="AB31" s="95">
        <v>1494900</v>
      </c>
      <c r="AC31" s="243">
        <v>76.84</v>
      </c>
      <c r="AD31" s="2">
        <f t="shared" si="0"/>
        <v>1.1400000000000006</v>
      </c>
      <c r="AE31" s="138">
        <f t="shared" si="1"/>
        <v>6.0225189840272808E-3</v>
      </c>
    </row>
    <row r="32" spans="1:40" x14ac:dyDescent="0.25">
      <c r="B32" s="193">
        <v>42563</v>
      </c>
      <c r="C32" s="282">
        <v>90</v>
      </c>
      <c r="D32" s="339">
        <v>58.531399999999998</v>
      </c>
      <c r="E32" s="339">
        <v>65.8</v>
      </c>
      <c r="F32" s="40">
        <f t="shared" ref="F32" si="27">C32*(E32-D32)</f>
        <v>654.17399999999998</v>
      </c>
      <c r="G32" s="40">
        <f t="shared" ref="G32" si="28">D32*C32</f>
        <v>5267.826</v>
      </c>
      <c r="H32" s="231">
        <f t="shared" ref="H32" si="29">(E32-D32)/D32</f>
        <v>0.12418291720341559</v>
      </c>
      <c r="I32" s="40"/>
      <c r="W32" s="94">
        <v>42724</v>
      </c>
      <c r="X32" s="10">
        <v>77.52</v>
      </c>
      <c r="Y32" s="40">
        <v>77.790000000000006</v>
      </c>
      <c r="Z32" s="40">
        <v>76.319999999999993</v>
      </c>
      <c r="AA32" s="10">
        <v>76.61</v>
      </c>
      <c r="AB32" s="95">
        <v>1339400</v>
      </c>
      <c r="AC32" s="243">
        <v>76.38</v>
      </c>
      <c r="AD32" s="2">
        <f t="shared" si="0"/>
        <v>1.4700000000000131</v>
      </c>
      <c r="AE32" s="138">
        <f t="shared" si="1"/>
        <v>-1.0749902862323468E-2</v>
      </c>
    </row>
    <row r="33" spans="1:31" x14ac:dyDescent="0.25">
      <c r="B33" s="193">
        <v>42569</v>
      </c>
      <c r="C33" s="282">
        <v>90</v>
      </c>
      <c r="D33" s="339">
        <v>58.531399999999998</v>
      </c>
      <c r="E33" s="339">
        <v>68.7</v>
      </c>
      <c r="F33" s="40">
        <f t="shared" ref="F33" si="30">C33*(E33-D33)</f>
        <v>915.17400000000043</v>
      </c>
      <c r="G33" s="40">
        <f t="shared" ref="G33" si="31">D33*C33</f>
        <v>5267.826</v>
      </c>
      <c r="H33" s="231">
        <f t="shared" ref="H33" si="32">(E33-D33)/D33</f>
        <v>0.17372897282484281</v>
      </c>
      <c r="I33" s="40"/>
      <c r="W33" s="94">
        <v>42723</v>
      </c>
      <c r="X33" s="10">
        <v>76.95</v>
      </c>
      <c r="Y33" s="40">
        <v>78.33</v>
      </c>
      <c r="Z33" s="40">
        <v>76.91</v>
      </c>
      <c r="AA33" s="10">
        <v>77.44</v>
      </c>
      <c r="AB33" s="95">
        <v>1116600</v>
      </c>
      <c r="AC33" s="243">
        <v>77.209999999999994</v>
      </c>
      <c r="AD33" s="2">
        <f t="shared" si="0"/>
        <v>1.4200000000000017</v>
      </c>
      <c r="AE33" s="138">
        <f t="shared" si="1"/>
        <v>8.2266910420474293E-3</v>
      </c>
    </row>
    <row r="34" spans="1:31" x14ac:dyDescent="0.25">
      <c r="B34" s="193">
        <v>42570</v>
      </c>
      <c r="C34" s="282">
        <v>90</v>
      </c>
      <c r="D34" s="339">
        <v>58.531399999999998</v>
      </c>
      <c r="E34" s="339">
        <v>68.33</v>
      </c>
      <c r="F34" s="40">
        <f t="shared" ref="F34" si="33">C34*(E34-D34)</f>
        <v>881.87400000000002</v>
      </c>
      <c r="G34" s="40">
        <f t="shared" ref="G34" si="34">D34*C34</f>
        <v>5267.826</v>
      </c>
      <c r="H34" s="231">
        <f t="shared" ref="H34" si="35">(E34-D34)/D34</f>
        <v>0.1674075795214193</v>
      </c>
      <c r="I34" s="40"/>
      <c r="W34" s="94">
        <v>42720</v>
      </c>
      <c r="X34" s="10">
        <v>77.510000000000005</v>
      </c>
      <c r="Y34" s="40">
        <v>78.59</v>
      </c>
      <c r="Z34" s="40">
        <v>76.67</v>
      </c>
      <c r="AA34" s="10">
        <v>76.81</v>
      </c>
      <c r="AB34" s="95">
        <v>2335500</v>
      </c>
      <c r="AC34" s="243">
        <v>76.58</v>
      </c>
      <c r="AD34" s="2">
        <f t="shared" si="0"/>
        <v>1.9200000000000017</v>
      </c>
      <c r="AE34" s="138">
        <f t="shared" si="1"/>
        <v>-5.196154845414469E-3</v>
      </c>
    </row>
    <row r="35" spans="1:31" x14ac:dyDescent="0.25">
      <c r="B35" s="193">
        <v>42571</v>
      </c>
      <c r="C35" s="282">
        <v>90</v>
      </c>
      <c r="D35" s="339">
        <v>58.531399999999998</v>
      </c>
      <c r="E35" s="339">
        <v>69.489999999999995</v>
      </c>
      <c r="F35" s="40">
        <f t="shared" ref="F35" si="36">C35*(E35-D35)</f>
        <v>986.27399999999977</v>
      </c>
      <c r="G35" s="40">
        <f t="shared" ref="G35" si="37">D35*C35</f>
        <v>5267.826</v>
      </c>
      <c r="H35" s="231">
        <f t="shared" ref="H35" si="38">(E35-D35)/D35</f>
        <v>0.18722600176999007</v>
      </c>
      <c r="I35" s="40"/>
      <c r="W35" s="94">
        <v>42719</v>
      </c>
      <c r="X35" s="10">
        <v>75.209999999999994</v>
      </c>
      <c r="Y35" s="40">
        <v>77.83</v>
      </c>
      <c r="Z35" s="40">
        <v>74.63</v>
      </c>
      <c r="AA35" s="10">
        <v>77.209999999999994</v>
      </c>
      <c r="AB35" s="95">
        <v>2330900</v>
      </c>
      <c r="AC35" s="243">
        <v>76.98</v>
      </c>
      <c r="AD35" s="2">
        <f t="shared" si="0"/>
        <v>3.2000000000000028</v>
      </c>
      <c r="AE35" s="138">
        <f t="shared" si="1"/>
        <v>2.7633159791750295E-2</v>
      </c>
    </row>
    <row r="36" spans="1:31" ht="20.25" thickBot="1" x14ac:dyDescent="0.35">
      <c r="B36" s="193">
        <v>42572</v>
      </c>
      <c r="C36" s="282">
        <v>90</v>
      </c>
      <c r="D36" s="339">
        <v>58.531399999999998</v>
      </c>
      <c r="E36" s="339">
        <v>70.92</v>
      </c>
      <c r="F36" s="40">
        <f t="shared" ref="F36" si="39">C36*(E36-D36)</f>
        <v>1114.9740000000004</v>
      </c>
      <c r="G36" s="40">
        <f t="shared" ref="G36" si="40">D36*C36</f>
        <v>5267.826</v>
      </c>
      <c r="H36" s="231">
        <f t="shared" ref="H36" si="41">(E36-D36)/D36</f>
        <v>0.21165733264538358</v>
      </c>
      <c r="I36" s="40" t="s">
        <v>260</v>
      </c>
      <c r="O36" s="11"/>
      <c r="P36" s="259" t="s">
        <v>78</v>
      </c>
      <c r="Q36" s="259"/>
      <c r="R36" s="34"/>
      <c r="W36" s="94">
        <v>42718</v>
      </c>
      <c r="X36" s="10">
        <v>76.489999999999995</v>
      </c>
      <c r="Y36" s="40">
        <v>77</v>
      </c>
      <c r="Z36" s="40">
        <v>74.62</v>
      </c>
      <c r="AA36" s="10">
        <v>75.14</v>
      </c>
      <c r="AB36" s="95">
        <v>2620900</v>
      </c>
      <c r="AC36" s="243">
        <v>74.91</v>
      </c>
      <c r="AD36" s="2">
        <f t="shared" si="0"/>
        <v>2.3799999999999955</v>
      </c>
      <c r="AE36" s="138">
        <f t="shared" si="1"/>
        <v>-2.2700587084148793E-2</v>
      </c>
    </row>
    <row r="37" spans="1:31" ht="15.75" thickTop="1" x14ac:dyDescent="0.25">
      <c r="B37" s="193">
        <v>42575</v>
      </c>
      <c r="C37" s="282">
        <v>110</v>
      </c>
      <c r="D37" s="339">
        <v>59.467500000000001</v>
      </c>
      <c r="E37" s="339">
        <v>64.81</v>
      </c>
      <c r="F37" s="40">
        <f t="shared" ref="F37" si="42">C37*(E37-D37)</f>
        <v>587.67500000000018</v>
      </c>
      <c r="G37" s="40">
        <f t="shared" ref="G37" si="43">D37*C37</f>
        <v>6541.4250000000002</v>
      </c>
      <c r="H37" s="231">
        <f t="shared" ref="H37" si="44">(E37-D37)/D37</f>
        <v>8.9838987682347521E-2</v>
      </c>
      <c r="I37" s="40"/>
      <c r="O37" s="2"/>
      <c r="P37" s="83">
        <v>1.1000000000000001</v>
      </c>
      <c r="Q37" s="83">
        <f>P37*$Q$4</f>
        <v>100.71600000000001</v>
      </c>
      <c r="R37" s="34"/>
      <c r="W37" s="94">
        <v>42717</v>
      </c>
      <c r="X37" s="10">
        <v>76.8</v>
      </c>
      <c r="Y37" s="40">
        <v>77.63</v>
      </c>
      <c r="Z37" s="40">
        <v>75.95</v>
      </c>
      <c r="AA37" s="10">
        <v>76.88</v>
      </c>
      <c r="AB37" s="95">
        <v>1714300</v>
      </c>
      <c r="AC37" s="243">
        <v>76.650000000000006</v>
      </c>
      <c r="AD37" s="2">
        <f t="shared" si="0"/>
        <v>1.6799999999999926</v>
      </c>
      <c r="AE37" s="138">
        <f t="shared" si="1"/>
        <v>8.1546757858741437E-3</v>
      </c>
    </row>
    <row r="38" spans="1:31" x14ac:dyDescent="0.25">
      <c r="B38" s="193">
        <v>42577</v>
      </c>
      <c r="C38" s="282">
        <v>110</v>
      </c>
      <c r="D38" s="339">
        <v>59.467500000000001</v>
      </c>
      <c r="E38" s="339">
        <v>65.87</v>
      </c>
      <c r="F38" s="40">
        <f t="shared" ref="F38" si="45">C38*(E38-D38)</f>
        <v>704.27500000000032</v>
      </c>
      <c r="G38" s="40">
        <f t="shared" ref="G38" si="46">D38*C38</f>
        <v>6541.4250000000002</v>
      </c>
      <c r="H38" s="231">
        <f t="shared" ref="H38" si="47">(E38-D38)/D38</f>
        <v>0.10766385000210205</v>
      </c>
      <c r="I38" s="40" t="s">
        <v>265</v>
      </c>
      <c r="O38" s="2"/>
      <c r="P38" s="83">
        <v>1.0900000000000001</v>
      </c>
      <c r="Q38" s="83">
        <f t="shared" ref="Q38:Q57" si="48">P38*$Q$4</f>
        <v>99.80040000000001</v>
      </c>
      <c r="R38" s="34"/>
      <c r="W38" s="94">
        <v>42716</v>
      </c>
      <c r="X38" s="10">
        <v>76.36</v>
      </c>
      <c r="Y38" s="40">
        <v>77.08</v>
      </c>
      <c r="Z38" s="40">
        <v>75.37</v>
      </c>
      <c r="AA38" s="10">
        <v>76.260000000000005</v>
      </c>
      <c r="AB38" s="95">
        <v>2302900</v>
      </c>
      <c r="AC38" s="243">
        <v>76.03</v>
      </c>
      <c r="AD38" s="2">
        <f t="shared" si="0"/>
        <v>1.7099999999999937</v>
      </c>
      <c r="AE38" s="138">
        <f t="shared" si="1"/>
        <v>-8.7353324641460395E-3</v>
      </c>
    </row>
    <row r="39" spans="1:31" ht="20.25" thickBot="1" x14ac:dyDescent="0.35">
      <c r="B39" s="193">
        <v>42585</v>
      </c>
      <c r="C39" s="282">
        <v>110</v>
      </c>
      <c r="D39" s="339">
        <v>59.467500000000001</v>
      </c>
      <c r="E39" s="339">
        <v>65.040000000000006</v>
      </c>
      <c r="F39" s="40">
        <f t="shared" ref="F39:F41" si="49">C39*(E39-D39)</f>
        <v>612.97500000000059</v>
      </c>
      <c r="G39" s="40">
        <f t="shared" ref="G39:G41" si="50">D39*C39</f>
        <v>6541.4250000000002</v>
      </c>
      <c r="H39" s="231">
        <f t="shared" ref="H39:H41" si="51">(E39-D39)/D39</f>
        <v>9.370664648757733E-2</v>
      </c>
      <c r="I39" s="40"/>
      <c r="O39" s="2"/>
      <c r="P39" s="83">
        <v>1.08</v>
      </c>
      <c r="Q39" s="83">
        <f t="shared" si="48"/>
        <v>98.884800000000013</v>
      </c>
      <c r="R39" s="34"/>
      <c r="T39" s="91" t="s">
        <v>113</v>
      </c>
      <c r="W39" s="94">
        <v>42713</v>
      </c>
      <c r="X39" s="10">
        <v>80.599999999999994</v>
      </c>
      <c r="Y39" s="40">
        <v>81.040000000000006</v>
      </c>
      <c r="Z39" s="40">
        <v>75.650000000000006</v>
      </c>
      <c r="AA39" s="10">
        <v>76.930000000000007</v>
      </c>
      <c r="AB39" s="95">
        <v>4750200</v>
      </c>
      <c r="AC39" s="243">
        <v>76.7</v>
      </c>
      <c r="AD39" s="2">
        <f t="shared" si="0"/>
        <v>5.3900000000000006</v>
      </c>
      <c r="AE39" s="138">
        <f t="shared" si="1"/>
        <v>-3.2542885973763869E-2</v>
      </c>
    </row>
    <row r="40" spans="1:31" ht="15.75" thickTop="1" x14ac:dyDescent="0.25">
      <c r="B40" s="193">
        <v>42586</v>
      </c>
      <c r="C40" s="7">
        <v>90</v>
      </c>
      <c r="D40" s="44">
        <v>58.038400000000003</v>
      </c>
      <c r="E40" s="40">
        <v>65.81</v>
      </c>
      <c r="F40" s="40">
        <f t="shared" si="49"/>
        <v>699.44399999999996</v>
      </c>
      <c r="G40" s="40">
        <f t="shared" si="50"/>
        <v>5223.4560000000001</v>
      </c>
      <c r="H40" s="231">
        <f t="shared" si="51"/>
        <v>0.13390444946793845</v>
      </c>
      <c r="I40" s="40"/>
      <c r="O40" s="2"/>
      <c r="P40" s="83">
        <v>1.07</v>
      </c>
      <c r="Q40" s="83">
        <f t="shared" si="48"/>
        <v>97.969200000000015</v>
      </c>
      <c r="R40" s="83"/>
      <c r="T40" s="97" t="s">
        <v>98</v>
      </c>
      <c r="U40" s="129">
        <v>91.74</v>
      </c>
      <c r="W40" s="94">
        <v>42712</v>
      </c>
      <c r="X40" s="10">
        <v>77.3</v>
      </c>
      <c r="Y40" s="40">
        <v>79.739999999999995</v>
      </c>
      <c r="Z40" s="40">
        <v>76.98</v>
      </c>
      <c r="AA40" s="10">
        <v>79.52</v>
      </c>
      <c r="AB40" s="95">
        <v>2716800</v>
      </c>
      <c r="AC40" s="243">
        <v>79.28</v>
      </c>
      <c r="AD40" s="2">
        <f t="shared" si="0"/>
        <v>2.7599999999999909</v>
      </c>
      <c r="AE40" s="138">
        <f t="shared" si="1"/>
        <v>2.8141615873427561E-2</v>
      </c>
    </row>
    <row r="41" spans="1:31" x14ac:dyDescent="0.25">
      <c r="B41" s="193">
        <v>42597</v>
      </c>
      <c r="C41" s="10">
        <v>20</v>
      </c>
      <c r="D41" s="40">
        <v>26.503</v>
      </c>
      <c r="E41" s="40">
        <v>69.5</v>
      </c>
      <c r="F41" s="40">
        <f t="shared" si="49"/>
        <v>859.94</v>
      </c>
      <c r="G41" s="40">
        <f t="shared" si="50"/>
        <v>530.05999999999995</v>
      </c>
      <c r="H41" s="231">
        <f t="shared" si="51"/>
        <v>1.6223446402294079</v>
      </c>
      <c r="I41" s="40"/>
      <c r="O41" s="2"/>
      <c r="P41" s="83">
        <v>1.06</v>
      </c>
      <c r="Q41" s="83">
        <f t="shared" si="48"/>
        <v>97.053600000000003</v>
      </c>
      <c r="R41" s="83"/>
      <c r="T41" s="87" t="s">
        <v>99</v>
      </c>
      <c r="U41" s="130">
        <v>90.8</v>
      </c>
      <c r="W41" s="94">
        <v>42711</v>
      </c>
      <c r="X41" s="10">
        <v>75.78</v>
      </c>
      <c r="Y41" s="40">
        <v>77.66</v>
      </c>
      <c r="Z41" s="40">
        <v>74.25</v>
      </c>
      <c r="AA41" s="10">
        <v>77.34</v>
      </c>
      <c r="AB41" s="95">
        <v>2471500</v>
      </c>
      <c r="AC41" s="243">
        <v>77.11</v>
      </c>
      <c r="AD41" s="2">
        <f t="shared" si="0"/>
        <v>3.4099999999999966</v>
      </c>
      <c r="AE41" s="138">
        <f t="shared" si="1"/>
        <v>1.5406900184356198E-2</v>
      </c>
    </row>
    <row r="42" spans="1:31" x14ac:dyDescent="0.25">
      <c r="B42" s="193">
        <v>42600</v>
      </c>
      <c r="C42" s="10">
        <v>20</v>
      </c>
      <c r="D42" s="40">
        <v>26.503</v>
      </c>
      <c r="E42" s="40">
        <v>71.8</v>
      </c>
      <c r="F42" s="40">
        <f t="shared" ref="F42" si="52">C42*(E42-D42)</f>
        <v>905.93999999999994</v>
      </c>
      <c r="G42" s="40">
        <f t="shared" ref="G42" si="53">D42*C42</f>
        <v>530.05999999999995</v>
      </c>
      <c r="H42" s="231">
        <f t="shared" ref="H42" si="54">(E42-D42)/D42</f>
        <v>1.7091272686111005</v>
      </c>
      <c r="I42" s="40"/>
      <c r="O42" s="2"/>
      <c r="P42" s="83">
        <v>1.05</v>
      </c>
      <c r="Q42" s="83">
        <f t="shared" si="48"/>
        <v>96.138000000000005</v>
      </c>
      <c r="R42" s="83"/>
      <c r="T42" s="87" t="s">
        <v>100</v>
      </c>
      <c r="U42" s="130" t="s">
        <v>612</v>
      </c>
      <c r="W42" s="94">
        <v>42710</v>
      </c>
      <c r="X42" s="10">
        <v>75.33</v>
      </c>
      <c r="Y42" s="40">
        <v>76.55</v>
      </c>
      <c r="Z42" s="40">
        <v>74.819999999999993</v>
      </c>
      <c r="AA42" s="10">
        <v>76.17</v>
      </c>
      <c r="AB42" s="95">
        <v>3299000</v>
      </c>
      <c r="AC42" s="243">
        <v>75.94</v>
      </c>
      <c r="AD42" s="2">
        <f t="shared" si="0"/>
        <v>1.730000000000004</v>
      </c>
      <c r="AE42" s="138">
        <f t="shared" si="1"/>
        <v>1.809894087679309E-2</v>
      </c>
    </row>
    <row r="43" spans="1:31" x14ac:dyDescent="0.25">
      <c r="B43" s="193">
        <v>42604</v>
      </c>
      <c r="C43" s="10">
        <v>0</v>
      </c>
      <c r="D43" s="40"/>
      <c r="E43" s="40"/>
      <c r="F43" s="40">
        <v>923.51</v>
      </c>
      <c r="G43" s="40"/>
      <c r="H43" s="231"/>
      <c r="I43" s="40"/>
      <c r="O43" s="2"/>
      <c r="P43" s="83">
        <v>1.04</v>
      </c>
      <c r="Q43" s="83">
        <f t="shared" si="48"/>
        <v>95.222400000000007</v>
      </c>
      <c r="R43" s="83"/>
      <c r="T43" s="87" t="s">
        <v>101</v>
      </c>
      <c r="U43" s="130" t="s">
        <v>613</v>
      </c>
      <c r="W43" s="94">
        <v>42709</v>
      </c>
      <c r="X43" s="10">
        <v>73.72</v>
      </c>
      <c r="Y43" s="40">
        <v>74.98</v>
      </c>
      <c r="Z43" s="40">
        <v>73.489999999999995</v>
      </c>
      <c r="AA43" s="10">
        <v>74.819999999999993</v>
      </c>
      <c r="AB43" s="95">
        <v>2899600</v>
      </c>
      <c r="AC43" s="243">
        <v>74.59</v>
      </c>
      <c r="AD43" s="2">
        <f t="shared" si="0"/>
        <v>1.4900000000000091</v>
      </c>
      <c r="AE43" s="138">
        <f t="shared" si="1"/>
        <v>2.0103938730853477E-2</v>
      </c>
    </row>
    <row r="44" spans="1:31" x14ac:dyDescent="0.25">
      <c r="B44" s="193"/>
      <c r="C44" s="10"/>
      <c r="D44" s="40"/>
      <c r="E44" s="40"/>
      <c r="F44" s="40"/>
      <c r="G44" s="40"/>
      <c r="H44" s="231"/>
      <c r="I44" s="40"/>
      <c r="O44" s="2"/>
      <c r="P44" s="83">
        <v>1.03</v>
      </c>
      <c r="Q44" s="83">
        <f t="shared" si="48"/>
        <v>94.30680000000001</v>
      </c>
      <c r="R44" s="83"/>
      <c r="T44" s="87" t="s">
        <v>102</v>
      </c>
      <c r="U44" s="130">
        <v>92.57</v>
      </c>
      <c r="W44" s="94">
        <v>42706</v>
      </c>
      <c r="X44" s="10">
        <v>71.69</v>
      </c>
      <c r="Y44" s="40">
        <v>73.44</v>
      </c>
      <c r="Z44" s="40">
        <v>71.650000000000006</v>
      </c>
      <c r="AA44" s="10">
        <v>73.34</v>
      </c>
      <c r="AB44" s="95">
        <v>1927100</v>
      </c>
      <c r="AC44" s="243">
        <v>73.12</v>
      </c>
      <c r="AD44" s="2">
        <f t="shared" si="0"/>
        <v>1.789999999999992</v>
      </c>
      <c r="AE44" s="138">
        <f t="shared" si="1"/>
        <v>2.1799888205701556E-2</v>
      </c>
    </row>
    <row r="45" spans="1:31" x14ac:dyDescent="0.25">
      <c r="B45" s="193"/>
      <c r="C45" s="10"/>
      <c r="D45" s="40"/>
      <c r="E45" s="40"/>
      <c r="F45" s="40"/>
      <c r="G45" s="40"/>
      <c r="H45" s="231"/>
      <c r="I45" s="40"/>
      <c r="O45" s="2"/>
      <c r="P45" s="83">
        <v>1.02</v>
      </c>
      <c r="Q45" s="83">
        <f t="shared" si="48"/>
        <v>93.391199999999998</v>
      </c>
      <c r="R45" s="83"/>
      <c r="T45" s="87" t="s">
        <v>103</v>
      </c>
      <c r="U45" s="130">
        <v>0.73155199999999998</v>
      </c>
      <c r="W45" s="94">
        <v>42705</v>
      </c>
      <c r="X45" s="10">
        <v>76.92</v>
      </c>
      <c r="Y45" s="40">
        <v>77.069999999999993</v>
      </c>
      <c r="Z45" s="40">
        <v>71.650000000000006</v>
      </c>
      <c r="AA45" s="10">
        <v>71.78</v>
      </c>
      <c r="AB45" s="95">
        <v>4086900</v>
      </c>
      <c r="AC45" s="243">
        <v>71.56</v>
      </c>
      <c r="AD45" s="2">
        <f t="shared" si="0"/>
        <v>5.4199999999999875</v>
      </c>
      <c r="AE45" s="138">
        <f t="shared" si="1"/>
        <v>-6.6040198381623672E-2</v>
      </c>
    </row>
    <row r="46" spans="1:31" x14ac:dyDescent="0.25">
      <c r="O46" s="2"/>
      <c r="P46" s="83">
        <v>1.01</v>
      </c>
      <c r="Q46" s="83">
        <f t="shared" si="48"/>
        <v>92.4756</v>
      </c>
      <c r="R46" s="83"/>
      <c r="T46" s="87" t="s">
        <v>122</v>
      </c>
      <c r="U46" s="94" t="s">
        <v>476</v>
      </c>
      <c r="W46" s="94">
        <v>42704</v>
      </c>
      <c r="X46" s="10">
        <v>77.489999999999995</v>
      </c>
      <c r="Y46" s="40">
        <v>77.790000000000006</v>
      </c>
      <c r="Z46" s="40">
        <v>76.44</v>
      </c>
      <c r="AA46" s="10">
        <v>76.849999999999994</v>
      </c>
      <c r="AB46" s="95">
        <v>1595400</v>
      </c>
      <c r="AC46" s="243">
        <v>76.62</v>
      </c>
      <c r="AD46" s="2">
        <f t="shared" si="0"/>
        <v>1.3500000000000085</v>
      </c>
      <c r="AE46" s="138">
        <f t="shared" si="1"/>
        <v>-4.8058189375241867E-3</v>
      </c>
    </row>
    <row r="47" spans="1:31" x14ac:dyDescent="0.25">
      <c r="O47" s="2"/>
      <c r="P47" s="83">
        <v>1</v>
      </c>
      <c r="Q47" s="83">
        <f t="shared" si="48"/>
        <v>91.56</v>
      </c>
      <c r="R47" s="83"/>
      <c r="T47" s="87"/>
      <c r="U47" s="130"/>
      <c r="W47" s="94">
        <v>42703</v>
      </c>
      <c r="X47" s="10">
        <v>77.09</v>
      </c>
      <c r="Y47" s="40">
        <v>77.72</v>
      </c>
      <c r="Z47" s="40">
        <v>76.28</v>
      </c>
      <c r="AA47" s="10">
        <v>77.22</v>
      </c>
      <c r="AB47" s="95">
        <v>1721700</v>
      </c>
      <c r="AC47" s="243">
        <v>76.989999999999995</v>
      </c>
      <c r="AD47" s="2">
        <f t="shared" si="0"/>
        <v>1.4399999999999977</v>
      </c>
      <c r="AE47" s="138">
        <f t="shared" si="1"/>
        <v>-1.0380173867912124E-3</v>
      </c>
    </row>
    <row r="48" spans="1:31" x14ac:dyDescent="0.25">
      <c r="A48" s="261"/>
      <c r="B48" s="261"/>
      <c r="C48" s="261"/>
      <c r="D48" s="262"/>
      <c r="E48" s="262"/>
      <c r="F48" s="262"/>
      <c r="G48" s="261"/>
      <c r="H48" s="261"/>
      <c r="I48" s="262"/>
      <c r="J48" s="262"/>
      <c r="K48" s="262"/>
      <c r="L48" s="261" t="s">
        <v>65</v>
      </c>
      <c r="M48" s="371">
        <f>K59+M59-F59</f>
        <v>414.59000000000015</v>
      </c>
      <c r="O48" s="2"/>
      <c r="P48" s="83">
        <v>0.99</v>
      </c>
      <c r="Q48" s="83">
        <f t="shared" si="48"/>
        <v>90.644400000000005</v>
      </c>
      <c r="R48" s="83"/>
      <c r="T48" s="87" t="s">
        <v>105</v>
      </c>
      <c r="U48" s="130" t="s">
        <v>614</v>
      </c>
      <c r="W48" s="94">
        <v>42702</v>
      </c>
      <c r="X48" s="10">
        <v>77.06</v>
      </c>
      <c r="Y48" s="40">
        <v>77.84</v>
      </c>
      <c r="Z48" s="40">
        <v>75.819999999999993</v>
      </c>
      <c r="AA48" s="10">
        <v>77.3</v>
      </c>
      <c r="AB48" s="95">
        <v>1807000</v>
      </c>
      <c r="AC48" s="243">
        <v>77.069999999999993</v>
      </c>
      <c r="AD48" s="2">
        <f t="shared" si="0"/>
        <v>2.0200000000000102</v>
      </c>
      <c r="AE48" s="138">
        <f t="shared" si="1"/>
        <v>3.7770252669964144E-3</v>
      </c>
    </row>
    <row r="49" spans="1:31" x14ac:dyDescent="0.25">
      <c r="A49" s="263" t="s">
        <v>1</v>
      </c>
      <c r="B49" s="263" t="s">
        <v>2</v>
      </c>
      <c r="C49" s="263" t="s">
        <v>4</v>
      </c>
      <c r="D49" s="264" t="s">
        <v>5</v>
      </c>
      <c r="E49" s="264" t="s">
        <v>90</v>
      </c>
      <c r="F49" s="264" t="s">
        <v>60</v>
      </c>
      <c r="G49" s="263" t="s">
        <v>3</v>
      </c>
      <c r="H49" s="263" t="s">
        <v>6</v>
      </c>
      <c r="I49" s="264" t="s">
        <v>7</v>
      </c>
      <c r="J49" s="264" t="s">
        <v>89</v>
      </c>
      <c r="K49" s="264" t="s">
        <v>61</v>
      </c>
      <c r="L49" s="263" t="s">
        <v>77</v>
      </c>
      <c r="M49" s="263" t="s">
        <v>38</v>
      </c>
      <c r="O49" s="2"/>
      <c r="P49" s="83">
        <v>0.98</v>
      </c>
      <c r="Q49" s="83">
        <f t="shared" si="48"/>
        <v>89.728800000000007</v>
      </c>
      <c r="R49" s="83"/>
      <c r="T49" s="87" t="s">
        <v>106</v>
      </c>
      <c r="U49" s="130" t="s">
        <v>515</v>
      </c>
      <c r="W49" s="94">
        <v>42699</v>
      </c>
      <c r="X49" s="10">
        <v>78.27</v>
      </c>
      <c r="Y49" s="40">
        <v>78.31</v>
      </c>
      <c r="Z49" s="40">
        <v>76.489999999999995</v>
      </c>
      <c r="AA49" s="10">
        <v>77.010000000000005</v>
      </c>
      <c r="AB49" s="95">
        <v>1174700</v>
      </c>
      <c r="AC49" s="243">
        <v>76.78</v>
      </c>
      <c r="AD49" s="2">
        <f t="shared" si="0"/>
        <v>1.8200000000000074</v>
      </c>
      <c r="AE49" s="138">
        <f t="shared" si="1"/>
        <v>-1.6523632637376662E-2</v>
      </c>
    </row>
    <row r="50" spans="1:31" x14ac:dyDescent="0.25">
      <c r="A50" s="265" t="s">
        <v>172</v>
      </c>
      <c r="B50" s="266">
        <v>42374</v>
      </c>
      <c r="C50" s="261">
        <v>30</v>
      </c>
      <c r="D50" s="262">
        <v>73.8</v>
      </c>
      <c r="E50" s="262">
        <v>0</v>
      </c>
      <c r="F50" s="262">
        <f t="shared" ref="F50:F55" si="55">C50*D50+E50</f>
        <v>2214</v>
      </c>
      <c r="G50" s="266">
        <v>42398</v>
      </c>
      <c r="H50" s="267">
        <v>30</v>
      </c>
      <c r="I50" s="262">
        <v>68.8</v>
      </c>
      <c r="J50" s="262">
        <v>0.04</v>
      </c>
      <c r="K50" s="262">
        <f t="shared" ref="K50:K55" si="56">I50*H50-J50</f>
        <v>2063.96</v>
      </c>
      <c r="L50" s="266">
        <v>42432</v>
      </c>
      <c r="M50" s="262">
        <v>31.2</v>
      </c>
      <c r="O50" s="2"/>
      <c r="P50" s="83">
        <v>0.97</v>
      </c>
      <c r="Q50" s="83">
        <f t="shared" si="48"/>
        <v>88.813199999999995</v>
      </c>
      <c r="R50" s="83"/>
      <c r="T50" s="87" t="s">
        <v>107</v>
      </c>
      <c r="U50" s="131">
        <v>2524583</v>
      </c>
      <c r="W50" s="94">
        <v>42697</v>
      </c>
      <c r="X50" s="10">
        <v>79.209999999999994</v>
      </c>
      <c r="Y50" s="40">
        <v>79.510000000000005</v>
      </c>
      <c r="Z50" s="40">
        <v>78.02</v>
      </c>
      <c r="AA50" s="10">
        <v>78.31</v>
      </c>
      <c r="AB50" s="95">
        <v>1585100</v>
      </c>
      <c r="AC50" s="243">
        <v>78.069999999999993</v>
      </c>
      <c r="AD50" s="2">
        <f t="shared" si="0"/>
        <v>1.4900000000000091</v>
      </c>
      <c r="AE50" s="138">
        <f t="shared" si="1"/>
        <v>-1.3270980788675613E-2</v>
      </c>
    </row>
    <row r="51" spans="1:31" x14ac:dyDescent="0.25">
      <c r="A51" s="268"/>
      <c r="B51" s="266">
        <v>42375</v>
      </c>
      <c r="C51" s="261">
        <v>30</v>
      </c>
      <c r="D51" s="262">
        <v>69.3</v>
      </c>
      <c r="E51" s="262">
        <v>0</v>
      </c>
      <c r="F51" s="262">
        <f t="shared" si="55"/>
        <v>2079</v>
      </c>
      <c r="G51" s="266">
        <v>42416</v>
      </c>
      <c r="H51" s="261">
        <v>30</v>
      </c>
      <c r="I51" s="262">
        <v>61.3</v>
      </c>
      <c r="J51" s="262">
        <v>0.04</v>
      </c>
      <c r="K51" s="262">
        <f t="shared" si="56"/>
        <v>1838.96</v>
      </c>
      <c r="L51" s="261"/>
      <c r="M51" s="261"/>
      <c r="O51" s="2"/>
      <c r="P51" s="83">
        <v>0.96</v>
      </c>
      <c r="Q51" s="83">
        <f t="shared" si="48"/>
        <v>87.897599999999997</v>
      </c>
      <c r="R51" s="83"/>
      <c r="T51" s="87" t="s">
        <v>110</v>
      </c>
      <c r="U51" s="131">
        <v>2671220</v>
      </c>
      <c r="W51" s="94">
        <v>42696</v>
      </c>
      <c r="X51" s="10">
        <v>79.39</v>
      </c>
      <c r="Y51" s="40">
        <v>80.14</v>
      </c>
      <c r="Z51" s="40">
        <v>78.989999999999995</v>
      </c>
      <c r="AA51" s="10">
        <v>79.36</v>
      </c>
      <c r="AB51" s="95">
        <v>1218500</v>
      </c>
      <c r="AC51" s="243">
        <v>79.12</v>
      </c>
      <c r="AD51" s="2">
        <f t="shared" si="0"/>
        <v>1.1500000000000057</v>
      </c>
      <c r="AE51" s="138">
        <f t="shared" si="1"/>
        <v>5.464480874316946E-3</v>
      </c>
    </row>
    <row r="52" spans="1:31" x14ac:dyDescent="0.25">
      <c r="A52" s="261"/>
      <c r="B52" s="266">
        <v>42380</v>
      </c>
      <c r="C52" s="261">
        <v>30</v>
      </c>
      <c r="D52" s="262">
        <v>65.400000000000006</v>
      </c>
      <c r="E52" s="262">
        <v>0</v>
      </c>
      <c r="F52" s="262">
        <f t="shared" si="55"/>
        <v>1962.0000000000002</v>
      </c>
      <c r="G52" s="266">
        <v>42429</v>
      </c>
      <c r="H52" s="267">
        <v>30</v>
      </c>
      <c r="I52" s="262">
        <v>67.5</v>
      </c>
      <c r="J52" s="262">
        <v>0.04</v>
      </c>
      <c r="K52" s="262">
        <f t="shared" si="56"/>
        <v>2024.96</v>
      </c>
      <c r="L52" s="261"/>
      <c r="M52" s="261"/>
      <c r="O52" s="2"/>
      <c r="P52" s="83">
        <v>0.95</v>
      </c>
      <c r="Q52" s="83">
        <f t="shared" si="48"/>
        <v>86.981999999999999</v>
      </c>
      <c r="R52" s="83"/>
      <c r="T52" s="87" t="s">
        <v>108</v>
      </c>
      <c r="U52" s="130" t="s">
        <v>603</v>
      </c>
      <c r="W52" s="94">
        <v>42695</v>
      </c>
      <c r="X52" s="10">
        <v>78.459999999999994</v>
      </c>
      <c r="Y52" s="40">
        <v>79.13</v>
      </c>
      <c r="Z52" s="40">
        <v>78.2</v>
      </c>
      <c r="AA52" s="10">
        <v>78.930000000000007</v>
      </c>
      <c r="AB52" s="95">
        <v>1526900</v>
      </c>
      <c r="AC52" s="243">
        <v>78.69</v>
      </c>
      <c r="AD52" s="2">
        <f t="shared" si="0"/>
        <v>0.92999999999999261</v>
      </c>
      <c r="AE52" s="138">
        <f t="shared" si="1"/>
        <v>9.2343208926510822E-3</v>
      </c>
    </row>
    <row r="53" spans="1:31" x14ac:dyDescent="0.25">
      <c r="A53" s="261"/>
      <c r="B53" s="266">
        <v>42402</v>
      </c>
      <c r="C53" s="275">
        <v>30</v>
      </c>
      <c r="D53" s="370">
        <v>67.2</v>
      </c>
      <c r="E53" s="370">
        <v>0</v>
      </c>
      <c r="F53" s="370">
        <f t="shared" si="55"/>
        <v>2016</v>
      </c>
      <c r="G53" s="266">
        <v>42430</v>
      </c>
      <c r="H53" s="267">
        <v>30</v>
      </c>
      <c r="I53" s="262">
        <v>69.349999999999994</v>
      </c>
      <c r="J53" s="262">
        <v>0.05</v>
      </c>
      <c r="K53" s="262">
        <f t="shared" si="56"/>
        <v>2080.4499999999998</v>
      </c>
      <c r="L53" s="261"/>
      <c r="M53" s="261"/>
      <c r="O53" s="2"/>
      <c r="P53" s="83">
        <v>0.94</v>
      </c>
      <c r="Q53" s="83">
        <f t="shared" si="48"/>
        <v>86.066400000000002</v>
      </c>
      <c r="R53" s="83"/>
      <c r="T53" s="87" t="s">
        <v>111</v>
      </c>
      <c r="U53" s="130">
        <v>19.28</v>
      </c>
      <c r="W53" s="94">
        <v>42692</v>
      </c>
      <c r="X53" s="10">
        <v>77.819999999999993</v>
      </c>
      <c r="Y53" s="40">
        <v>78.94</v>
      </c>
      <c r="Z53" s="40">
        <v>76.92</v>
      </c>
      <c r="AA53" s="10">
        <v>78.209999999999994</v>
      </c>
      <c r="AB53" s="95">
        <v>2190000</v>
      </c>
      <c r="AC53" s="243">
        <v>77.97</v>
      </c>
      <c r="AD53" s="2">
        <f t="shared" si="0"/>
        <v>2.019999999999996</v>
      </c>
      <c r="AE53" s="138">
        <f t="shared" si="1"/>
        <v>3.2166752444673374E-3</v>
      </c>
    </row>
    <row r="54" spans="1:31" x14ac:dyDescent="0.25">
      <c r="A54" s="261"/>
      <c r="B54" s="266">
        <v>42405</v>
      </c>
      <c r="C54" s="261">
        <v>30</v>
      </c>
      <c r="D54" s="262">
        <v>62.75</v>
      </c>
      <c r="E54" s="262">
        <v>0</v>
      </c>
      <c r="F54" s="262">
        <f t="shared" si="55"/>
        <v>1882.5</v>
      </c>
      <c r="G54" s="266">
        <v>42433</v>
      </c>
      <c r="H54" s="267">
        <v>30</v>
      </c>
      <c r="I54" s="262">
        <v>73.45</v>
      </c>
      <c r="J54" s="262">
        <v>0.05</v>
      </c>
      <c r="K54" s="262">
        <f t="shared" si="56"/>
        <v>2203.4499999999998</v>
      </c>
      <c r="L54" s="261"/>
      <c r="M54" s="261"/>
      <c r="O54" s="2"/>
      <c r="P54" s="83">
        <v>0.93</v>
      </c>
      <c r="Q54" s="83">
        <f t="shared" si="48"/>
        <v>85.150800000000004</v>
      </c>
      <c r="R54" s="83"/>
      <c r="T54" s="87" t="s">
        <v>112</v>
      </c>
      <c r="U54" s="130">
        <v>4.7300000000000004</v>
      </c>
      <c r="W54" s="94">
        <v>42691</v>
      </c>
      <c r="X54" s="10">
        <v>76.150000000000006</v>
      </c>
      <c r="Y54" s="40">
        <v>77.97</v>
      </c>
      <c r="Z54" s="40">
        <v>75.69</v>
      </c>
      <c r="AA54" s="10">
        <v>77.95</v>
      </c>
      <c r="AB54" s="95">
        <v>1616800</v>
      </c>
      <c r="AC54" s="243">
        <v>77.72</v>
      </c>
      <c r="AD54" s="2">
        <f t="shared" si="0"/>
        <v>2.2800000000000011</v>
      </c>
      <c r="AE54" s="138">
        <f t="shared" si="1"/>
        <v>2.4113848991962117E-2</v>
      </c>
    </row>
    <row r="55" spans="1:31" x14ac:dyDescent="0.25">
      <c r="A55" s="261"/>
      <c r="B55" s="266">
        <v>42429</v>
      </c>
      <c r="C55" s="261">
        <v>30</v>
      </c>
      <c r="D55" s="262">
        <v>66.75</v>
      </c>
      <c r="E55" s="262">
        <v>0</v>
      </c>
      <c r="F55" s="262">
        <f t="shared" si="55"/>
        <v>2002.5</v>
      </c>
      <c r="G55" s="266">
        <v>42440</v>
      </c>
      <c r="H55" s="267">
        <v>30</v>
      </c>
      <c r="I55" s="262">
        <v>72.55</v>
      </c>
      <c r="J55" s="262">
        <v>0.05</v>
      </c>
      <c r="K55" s="262">
        <f t="shared" si="56"/>
        <v>2176.4499999999998</v>
      </c>
      <c r="L55" s="261"/>
      <c r="M55" s="261"/>
      <c r="O55" s="2"/>
      <c r="P55" s="83">
        <v>0.92</v>
      </c>
      <c r="Q55" s="83">
        <f t="shared" si="48"/>
        <v>84.235200000000006</v>
      </c>
      <c r="R55" s="83"/>
      <c r="T55" s="87" t="s">
        <v>109</v>
      </c>
      <c r="U55" s="130" t="s">
        <v>615</v>
      </c>
      <c r="W55" s="94">
        <v>42690</v>
      </c>
      <c r="X55" s="10">
        <v>75.36</v>
      </c>
      <c r="Y55" s="40">
        <v>76.48</v>
      </c>
      <c r="Z55" s="40">
        <v>75</v>
      </c>
      <c r="AA55" s="10">
        <v>76.12</v>
      </c>
      <c r="AB55" s="95">
        <v>1630800</v>
      </c>
      <c r="AC55" s="243">
        <v>75.89</v>
      </c>
      <c r="AD55" s="2">
        <f t="shared" si="0"/>
        <v>1.480000000000004</v>
      </c>
      <c r="AE55" s="138">
        <f t="shared" si="1"/>
        <v>2.509907529722577E-3</v>
      </c>
    </row>
    <row r="56" spans="1:31" x14ac:dyDescent="0.25">
      <c r="A56" s="261"/>
      <c r="B56" s="266">
        <v>42502</v>
      </c>
      <c r="C56" s="261">
        <v>30</v>
      </c>
      <c r="D56" s="262">
        <v>61.79</v>
      </c>
      <c r="E56" s="262">
        <v>0</v>
      </c>
      <c r="F56" s="262">
        <v>1853.7</v>
      </c>
      <c r="G56" s="261">
        <v>42544</v>
      </c>
      <c r="H56" s="261">
        <v>30</v>
      </c>
      <c r="I56" s="262">
        <v>66.83</v>
      </c>
      <c r="J56" s="262">
        <v>0.04</v>
      </c>
      <c r="K56" s="262">
        <v>2004.86</v>
      </c>
      <c r="L56" s="261"/>
      <c r="M56" s="261"/>
      <c r="O56" s="2"/>
      <c r="P56" s="83">
        <v>0.91</v>
      </c>
      <c r="Q56" s="83">
        <f t="shared" si="48"/>
        <v>83.319600000000008</v>
      </c>
      <c r="R56" s="83"/>
      <c r="W56" s="94">
        <v>42689</v>
      </c>
      <c r="X56" s="10">
        <v>74.180000000000007</v>
      </c>
      <c r="Y56" s="40">
        <v>76.25</v>
      </c>
      <c r="Z56" s="40">
        <v>73.72</v>
      </c>
      <c r="AA56" s="10">
        <v>75.930000000000007</v>
      </c>
      <c r="AB56" s="95">
        <v>2101100</v>
      </c>
      <c r="AC56" s="243">
        <v>75.7</v>
      </c>
      <c r="AD56" s="2">
        <f t="shared" si="0"/>
        <v>2.5300000000000011</v>
      </c>
      <c r="AE56" s="138" t="e">
        <f t="shared" si="1"/>
        <v>#DIV/0!</v>
      </c>
    </row>
    <row r="57" spans="1:31" x14ac:dyDescent="0.25">
      <c r="A57" s="261"/>
      <c r="B57" s="261"/>
      <c r="C57" s="261"/>
      <c r="D57" s="262"/>
      <c r="E57" s="262"/>
      <c r="F57" s="262"/>
      <c r="G57" s="261"/>
      <c r="H57" s="261"/>
      <c r="I57" s="262"/>
      <c r="J57" s="262"/>
      <c r="K57" s="262"/>
      <c r="L57" s="261"/>
      <c r="M57" s="261"/>
      <c r="O57" s="2"/>
      <c r="P57" s="83">
        <v>0.9</v>
      </c>
      <c r="Q57" s="83">
        <f t="shared" si="48"/>
        <v>82.404000000000011</v>
      </c>
      <c r="R57" s="83"/>
      <c r="W57" s="94">
        <v>42689</v>
      </c>
      <c r="X57" s="10" t="s">
        <v>352</v>
      </c>
      <c r="Y57" s="40"/>
      <c r="Z57" s="40"/>
      <c r="AA57" s="10"/>
      <c r="AB57" s="95"/>
      <c r="AC57" s="243"/>
      <c r="AD57" s="2">
        <f t="shared" si="0"/>
        <v>0</v>
      </c>
      <c r="AE57" s="138">
        <f t="shared" si="1"/>
        <v>-1</v>
      </c>
    </row>
    <row r="58" spans="1:31" x14ac:dyDescent="0.25">
      <c r="A58" s="261"/>
      <c r="B58" s="261"/>
      <c r="C58" s="261"/>
      <c r="D58" s="262"/>
      <c r="E58" s="262"/>
      <c r="F58" s="262"/>
      <c r="G58" s="261"/>
      <c r="H58" s="261"/>
      <c r="I58" s="262"/>
      <c r="J58" s="262"/>
      <c r="K58" s="262"/>
      <c r="L58" s="261"/>
      <c r="M58" s="261"/>
      <c r="W58" s="94">
        <v>42688</v>
      </c>
      <c r="X58" s="10">
        <v>74.790000000000006</v>
      </c>
      <c r="Y58" s="40">
        <v>74.819999999999993</v>
      </c>
      <c r="Z58" s="40">
        <v>73.59</v>
      </c>
      <c r="AA58" s="10">
        <v>74.040000000000006</v>
      </c>
      <c r="AB58" s="95">
        <v>2614900</v>
      </c>
      <c r="AC58" s="243">
        <v>73.540000000000006</v>
      </c>
      <c r="AD58" s="2">
        <f t="shared" si="0"/>
        <v>1.2299999999999898</v>
      </c>
      <c r="AE58" s="138">
        <f t="shared" si="1"/>
        <v>-6.2162162162161527E-3</v>
      </c>
    </row>
    <row r="59" spans="1:31" x14ac:dyDescent="0.25">
      <c r="A59" s="32" t="s">
        <v>81</v>
      </c>
      <c r="B59" s="14"/>
      <c r="C59" s="14">
        <f>SUM(C50:C56)</f>
        <v>210</v>
      </c>
      <c r="D59" s="14"/>
      <c r="E59" s="14"/>
      <c r="F59" s="18">
        <f>SUM(F50:F56)</f>
        <v>14009.7</v>
      </c>
      <c r="G59" s="18"/>
      <c r="H59" s="73">
        <f>SUM(H50:H58)</f>
        <v>210</v>
      </c>
      <c r="I59" s="18"/>
      <c r="J59" s="18"/>
      <c r="K59" s="18">
        <f>SUM(K50:K58)</f>
        <v>14393.09</v>
      </c>
      <c r="L59" s="18"/>
      <c r="M59" s="18">
        <f>SUM(M50:M54)</f>
        <v>31.2</v>
      </c>
      <c r="W59" s="94">
        <v>42685</v>
      </c>
      <c r="X59" s="10">
        <v>76</v>
      </c>
      <c r="Y59" s="40">
        <v>77.89</v>
      </c>
      <c r="Z59" s="40">
        <v>74.2</v>
      </c>
      <c r="AA59" s="10">
        <v>74.510000000000005</v>
      </c>
      <c r="AB59" s="95">
        <v>4015000</v>
      </c>
      <c r="AC59" s="243">
        <v>74</v>
      </c>
      <c r="AD59" s="2">
        <f t="shared" si="0"/>
        <v>3.6899999999999977</v>
      </c>
      <c r="AE59" s="138">
        <f t="shared" si="1"/>
        <v>-1.8567639257294544E-2</v>
      </c>
    </row>
    <row r="60" spans="1:31" x14ac:dyDescent="0.25">
      <c r="W60" s="94">
        <v>42684</v>
      </c>
      <c r="X60" s="10">
        <v>77.89</v>
      </c>
      <c r="Y60" s="40">
        <v>79.489999999999995</v>
      </c>
      <c r="Z60" s="40">
        <v>74.77</v>
      </c>
      <c r="AA60" s="10">
        <v>75.91</v>
      </c>
      <c r="AB60" s="95">
        <v>3267500</v>
      </c>
      <c r="AC60" s="243">
        <v>75.400000000000006</v>
      </c>
      <c r="AD60" s="2">
        <f t="shared" si="0"/>
        <v>4.7199999999999989</v>
      </c>
      <c r="AE60" s="138">
        <f t="shared" si="1"/>
        <v>-2.2429664203293065E-2</v>
      </c>
    </row>
    <row r="61" spans="1:31" x14ac:dyDescent="0.25">
      <c r="L61" t="s">
        <v>65</v>
      </c>
      <c r="M61" s="455">
        <f>K79+M79-F79</f>
        <v>954.30999999999767</v>
      </c>
      <c r="W61" s="94">
        <v>42683</v>
      </c>
      <c r="X61" s="10">
        <v>74.790000000000006</v>
      </c>
      <c r="Y61" s="40">
        <v>78.239999999999995</v>
      </c>
      <c r="Z61" s="40">
        <v>74.5</v>
      </c>
      <c r="AA61" s="10">
        <v>77.66</v>
      </c>
      <c r="AB61" s="95">
        <v>3458000</v>
      </c>
      <c r="AC61" s="243">
        <v>77.13</v>
      </c>
      <c r="AD61" s="2">
        <f t="shared" si="0"/>
        <v>3.7399999999999949</v>
      </c>
      <c r="AE61" s="138">
        <f t="shared" si="1"/>
        <v>4.1661242025776701E-3</v>
      </c>
    </row>
    <row r="62" spans="1:31" x14ac:dyDescent="0.25">
      <c r="A62" s="263" t="s">
        <v>1</v>
      </c>
      <c r="B62" s="263" t="s">
        <v>2</v>
      </c>
      <c r="C62" s="263" t="s">
        <v>4</v>
      </c>
      <c r="D62" s="264" t="s">
        <v>5</v>
      </c>
      <c r="E62" s="264" t="s">
        <v>90</v>
      </c>
      <c r="F62" s="264" t="s">
        <v>60</v>
      </c>
      <c r="G62" s="263" t="s">
        <v>3</v>
      </c>
      <c r="H62" s="263" t="s">
        <v>6</v>
      </c>
      <c r="I62" s="264" t="s">
        <v>7</v>
      </c>
      <c r="J62" s="264" t="s">
        <v>89</v>
      </c>
      <c r="K62" s="264" t="s">
        <v>61</v>
      </c>
      <c r="L62" s="263" t="s">
        <v>77</v>
      </c>
      <c r="M62" s="263" t="s">
        <v>38</v>
      </c>
      <c r="W62" s="94">
        <v>42682</v>
      </c>
      <c r="X62" s="10">
        <v>76.86</v>
      </c>
      <c r="Y62" s="40">
        <v>78.02</v>
      </c>
      <c r="Z62" s="40">
        <v>76.010000000000005</v>
      </c>
      <c r="AA62" s="10">
        <v>77.33</v>
      </c>
      <c r="AB62" s="95">
        <v>2208800</v>
      </c>
      <c r="AC62" s="243">
        <v>76.81</v>
      </c>
      <c r="AD62" s="2">
        <f t="shared" si="0"/>
        <v>2.0099999999999909</v>
      </c>
      <c r="AE62" s="138">
        <f t="shared" si="1"/>
        <v>1.173096976016641E-3</v>
      </c>
    </row>
    <row r="63" spans="1:31" x14ac:dyDescent="0.25">
      <c r="A63" s="265" t="s">
        <v>172</v>
      </c>
      <c r="B63" s="266">
        <v>42545</v>
      </c>
      <c r="C63" s="261">
        <v>60</v>
      </c>
      <c r="D63" s="262">
        <v>63.32</v>
      </c>
      <c r="E63" s="262">
        <v>0</v>
      </c>
      <c r="F63" s="262">
        <f>C63*D63+E63</f>
        <v>3799.2</v>
      </c>
      <c r="G63" s="266">
        <v>42551</v>
      </c>
      <c r="H63" s="267">
        <v>60</v>
      </c>
      <c r="I63" s="262">
        <v>62.98</v>
      </c>
      <c r="J63" s="262">
        <v>7.03</v>
      </c>
      <c r="K63" s="262">
        <f>I63*H63-J63</f>
        <v>3771.7699999999995</v>
      </c>
      <c r="L63" s="266">
        <v>42607</v>
      </c>
      <c r="M63" s="262">
        <v>30.8</v>
      </c>
      <c r="W63" s="94">
        <v>42681</v>
      </c>
      <c r="X63" s="10">
        <v>76.67</v>
      </c>
      <c r="Y63" s="40">
        <v>77.3</v>
      </c>
      <c r="Z63" s="40">
        <v>75.3</v>
      </c>
      <c r="AA63" s="10">
        <v>77.239999999999995</v>
      </c>
      <c r="AB63" s="95">
        <v>2703100</v>
      </c>
      <c r="AC63" s="243">
        <v>76.72</v>
      </c>
      <c r="AD63" s="2">
        <f t="shared" si="0"/>
        <v>2</v>
      </c>
      <c r="AE63" s="138">
        <f t="shared" si="1"/>
        <v>2.8969957081544928E-2</v>
      </c>
    </row>
    <row r="64" spans="1:31" x14ac:dyDescent="0.25">
      <c r="A64" s="268" t="s">
        <v>71</v>
      </c>
      <c r="B64" s="266">
        <v>42548</v>
      </c>
      <c r="C64" s="261">
        <v>60</v>
      </c>
      <c r="D64" s="262">
        <v>58.55</v>
      </c>
      <c r="E64" s="262">
        <v>0</v>
      </c>
      <c r="F64" s="262">
        <f>C64*D64+E64</f>
        <v>3513</v>
      </c>
      <c r="G64" s="266">
        <v>42587</v>
      </c>
      <c r="H64" s="267">
        <v>20</v>
      </c>
      <c r="I64" s="262">
        <v>65.900000000000006</v>
      </c>
      <c r="J64" s="262">
        <v>0.03</v>
      </c>
      <c r="K64" s="262">
        <f>I64*H64-J64</f>
        <v>1317.97</v>
      </c>
      <c r="L64" s="261"/>
      <c r="M64" s="261"/>
      <c r="W64" s="94">
        <v>42678</v>
      </c>
      <c r="X64" s="10">
        <v>72.599999999999994</v>
      </c>
      <c r="Y64" s="40">
        <v>76.86</v>
      </c>
      <c r="Z64" s="40">
        <v>72.5</v>
      </c>
      <c r="AA64" s="10">
        <v>75.069999999999993</v>
      </c>
      <c r="AB64" s="95">
        <v>5718600</v>
      </c>
      <c r="AC64" s="243">
        <v>74.56</v>
      </c>
      <c r="AD64" s="2">
        <f t="shared" si="0"/>
        <v>4.3599999999999994</v>
      </c>
      <c r="AE64" s="138">
        <f t="shared" si="1"/>
        <v>5.3937432578210487E-3</v>
      </c>
    </row>
    <row r="65" spans="1:31" x14ac:dyDescent="0.25">
      <c r="A65" s="261"/>
      <c r="B65" s="266">
        <v>42557</v>
      </c>
      <c r="C65" s="261">
        <v>30</v>
      </c>
      <c r="D65" s="262">
        <v>57.58</v>
      </c>
      <c r="E65" s="262">
        <v>0</v>
      </c>
      <c r="F65" s="262">
        <f>C65*D65+E65</f>
        <v>1727.3999999999999</v>
      </c>
      <c r="G65" s="266">
        <v>42593</v>
      </c>
      <c r="H65" s="267">
        <v>70</v>
      </c>
      <c r="I65" s="262">
        <v>67.05</v>
      </c>
      <c r="J65" s="262">
        <v>0.1</v>
      </c>
      <c r="K65" s="262">
        <f>I65*H65-J65</f>
        <v>4693.3999999999996</v>
      </c>
      <c r="L65" s="261"/>
      <c r="M65" s="261"/>
      <c r="W65" s="94">
        <v>42677</v>
      </c>
      <c r="X65" s="10">
        <v>74.650000000000006</v>
      </c>
      <c r="Y65" s="40">
        <v>76.819999999999993</v>
      </c>
      <c r="Z65" s="40">
        <v>74.39</v>
      </c>
      <c r="AA65" s="10">
        <v>74.67</v>
      </c>
      <c r="AB65" s="95">
        <v>3566700</v>
      </c>
      <c r="AC65" s="243">
        <v>74.16</v>
      </c>
      <c r="AD65" s="2">
        <f t="shared" si="0"/>
        <v>2.4299999999999926</v>
      </c>
      <c r="AE65" s="138">
        <f t="shared" si="1"/>
        <v>-4.8309178743961567E-3</v>
      </c>
    </row>
    <row r="66" spans="1:31" x14ac:dyDescent="0.25">
      <c r="A66" s="261"/>
      <c r="B66" s="266">
        <v>42573</v>
      </c>
      <c r="C66" s="275">
        <v>20</v>
      </c>
      <c r="D66" s="370">
        <v>63.68</v>
      </c>
      <c r="E66" s="370">
        <v>0</v>
      </c>
      <c r="F66" s="262">
        <f>C66*D66+E66</f>
        <v>1273.5999999999999</v>
      </c>
      <c r="G66" s="266">
        <v>42604</v>
      </c>
      <c r="H66" s="267">
        <v>20</v>
      </c>
      <c r="I66" s="262">
        <v>72.680000000000007</v>
      </c>
      <c r="J66" s="262">
        <v>0.03</v>
      </c>
      <c r="K66" s="262">
        <f>I66*H66-J66</f>
        <v>1453.5700000000002</v>
      </c>
      <c r="L66" s="261"/>
      <c r="M66" s="261"/>
      <c r="W66" s="94">
        <v>42676</v>
      </c>
      <c r="X66" s="10">
        <v>75.650000000000006</v>
      </c>
      <c r="Y66" s="40">
        <v>76.37</v>
      </c>
      <c r="Z66" s="40">
        <v>74.819999999999993</v>
      </c>
      <c r="AA66" s="10">
        <v>75.03</v>
      </c>
      <c r="AB66" s="95">
        <v>1681800</v>
      </c>
      <c r="AC66" s="243">
        <v>74.52</v>
      </c>
      <c r="AD66" s="2">
        <f t="shared" si="0"/>
        <v>1.5500000000000114</v>
      </c>
      <c r="AE66" s="138">
        <f t="shared" si="1"/>
        <v>-1.035856573705185E-2</v>
      </c>
    </row>
    <row r="67" spans="1:31" x14ac:dyDescent="0.25">
      <c r="A67" s="261"/>
      <c r="B67" s="266"/>
      <c r="C67" s="261"/>
      <c r="D67" s="262"/>
      <c r="E67" s="262"/>
      <c r="F67" s="262"/>
      <c r="G67" s="266"/>
      <c r="H67" s="267"/>
      <c r="I67" s="262"/>
      <c r="J67" s="262"/>
      <c r="K67" s="262"/>
      <c r="L67" s="261"/>
      <c r="M67" s="261"/>
      <c r="W67" s="94">
        <v>42675</v>
      </c>
      <c r="X67" s="10">
        <v>76.92</v>
      </c>
      <c r="Y67" s="40">
        <v>77.760000000000005</v>
      </c>
      <c r="Z67" s="40">
        <v>74.760000000000005</v>
      </c>
      <c r="AA67" s="10">
        <v>75.81</v>
      </c>
      <c r="AB67" s="95">
        <v>1782700</v>
      </c>
      <c r="AC67" s="243">
        <v>75.3</v>
      </c>
      <c r="AD67" s="2">
        <f t="shared" si="0"/>
        <v>3</v>
      </c>
      <c r="AE67" s="138" t="e">
        <f>AC67/#REF!-1</f>
        <v>#REF!</v>
      </c>
    </row>
    <row r="68" spans="1:31" x14ac:dyDescent="0.25">
      <c r="A68" s="261"/>
      <c r="B68" s="266"/>
      <c r="C68" s="261"/>
      <c r="D68" s="262"/>
      <c r="E68" s="262"/>
      <c r="F68" s="262"/>
      <c r="G68" s="266"/>
      <c r="H68" s="267"/>
      <c r="I68" s="262"/>
      <c r="J68" s="262"/>
      <c r="K68" s="262"/>
      <c r="L68" s="261"/>
      <c r="M68" s="261"/>
      <c r="W68" s="94">
        <v>42674</v>
      </c>
      <c r="X68" s="10">
        <v>75.95</v>
      </c>
      <c r="Y68" s="40">
        <v>77.260000000000005</v>
      </c>
      <c r="Z68" s="40">
        <v>75.02</v>
      </c>
      <c r="AA68" s="10">
        <v>76.94</v>
      </c>
      <c r="AB68" s="95">
        <v>1886400</v>
      </c>
      <c r="AC68" s="243">
        <v>76.42</v>
      </c>
      <c r="AD68" s="2" t="e">
        <f>#REF!-#REF!</f>
        <v>#REF!</v>
      </c>
      <c r="AE68" s="138" t="e">
        <f>#REF!/#REF!-1</f>
        <v>#REF!</v>
      </c>
    </row>
    <row r="69" spans="1:31" x14ac:dyDescent="0.25">
      <c r="A69" s="261"/>
      <c r="B69" s="261"/>
      <c r="C69" s="261"/>
      <c r="D69" s="262"/>
      <c r="E69" s="262"/>
      <c r="F69" s="262"/>
      <c r="G69" s="261"/>
      <c r="H69" s="267"/>
      <c r="I69" s="262"/>
      <c r="J69" s="262"/>
      <c r="K69" s="262"/>
      <c r="L69" s="261"/>
      <c r="M69" s="261"/>
      <c r="W69" s="94">
        <v>42671</v>
      </c>
      <c r="X69" s="10">
        <v>77.91</v>
      </c>
      <c r="Y69" s="40">
        <v>77.989999999999995</v>
      </c>
      <c r="Z69" s="40">
        <v>75.62</v>
      </c>
      <c r="AA69" s="10">
        <v>75.72</v>
      </c>
      <c r="AB69" s="95">
        <v>2715600</v>
      </c>
      <c r="AC69" s="243">
        <v>75.209999999999994</v>
      </c>
      <c r="AD69" s="2" t="e">
        <f>#REF!-#REF!</f>
        <v>#REF!</v>
      </c>
      <c r="AE69" s="138" t="e">
        <f>#REF!/AC70-1</f>
        <v>#REF!</v>
      </c>
    </row>
    <row r="70" spans="1:31" x14ac:dyDescent="0.25">
      <c r="A70" s="261"/>
      <c r="B70" s="261"/>
      <c r="C70" s="261"/>
      <c r="D70" s="262"/>
      <c r="E70" s="262"/>
      <c r="F70" s="262"/>
      <c r="G70" s="261"/>
      <c r="H70" s="267"/>
      <c r="I70" s="262"/>
      <c r="J70" s="262"/>
      <c r="K70" s="262"/>
      <c r="L70" s="261"/>
      <c r="M70" s="261"/>
      <c r="W70" s="94" t="s">
        <v>121</v>
      </c>
      <c r="X70" s="10"/>
      <c r="Y70" s="40"/>
      <c r="Z70" s="40"/>
      <c r="AA70" s="10"/>
      <c r="AB70" s="95"/>
      <c r="AC70" s="243"/>
    </row>
    <row r="71" spans="1:31" x14ac:dyDescent="0.25">
      <c r="A71" s="261"/>
      <c r="B71" s="261"/>
      <c r="C71" s="261"/>
      <c r="D71" s="262"/>
      <c r="E71" s="262"/>
      <c r="F71" s="262"/>
      <c r="G71" s="261"/>
      <c r="H71" s="267"/>
      <c r="I71" s="262"/>
      <c r="J71" s="262"/>
      <c r="K71" s="262"/>
      <c r="L71" s="261"/>
      <c r="M71" s="261"/>
    </row>
    <row r="72" spans="1:31" x14ac:dyDescent="0.25">
      <c r="A72" s="261"/>
      <c r="B72" s="261"/>
      <c r="C72" s="261"/>
      <c r="D72" s="262"/>
      <c r="E72" s="262"/>
      <c r="F72" s="262"/>
      <c r="G72" s="261"/>
      <c r="H72" s="267"/>
      <c r="I72" s="262"/>
      <c r="J72" s="262"/>
      <c r="K72" s="262"/>
      <c r="L72" s="261"/>
      <c r="M72" s="261"/>
    </row>
    <row r="73" spans="1:31" x14ac:dyDescent="0.25">
      <c r="A73" s="261"/>
      <c r="B73" s="261"/>
      <c r="C73" s="261"/>
      <c r="D73" s="262"/>
      <c r="E73" s="262"/>
      <c r="F73" s="262"/>
      <c r="G73" s="261"/>
      <c r="H73" s="267"/>
      <c r="I73" s="262"/>
      <c r="J73" s="262"/>
      <c r="K73" s="262"/>
      <c r="L73" s="261"/>
      <c r="M73" s="261"/>
    </row>
    <row r="74" spans="1:31" x14ac:dyDescent="0.25">
      <c r="A74" s="261"/>
      <c r="B74" s="261"/>
      <c r="C74" s="261"/>
      <c r="D74" s="262"/>
      <c r="E74" s="262"/>
      <c r="F74" s="262"/>
      <c r="G74" s="261"/>
      <c r="H74" s="267"/>
      <c r="I74" s="262"/>
      <c r="J74" s="262"/>
      <c r="K74" s="262"/>
      <c r="L74" s="261"/>
      <c r="M74" s="261"/>
    </row>
    <row r="75" spans="1:31" x14ac:dyDescent="0.25">
      <c r="A75" s="261"/>
      <c r="B75" s="261"/>
      <c r="C75" s="261"/>
      <c r="D75" s="262"/>
      <c r="E75" s="262"/>
      <c r="F75" s="262"/>
      <c r="G75" s="261"/>
      <c r="H75" s="267"/>
      <c r="I75" s="262"/>
      <c r="J75" s="262"/>
      <c r="K75" s="262"/>
      <c r="L75" s="261"/>
      <c r="M75" s="261"/>
    </row>
    <row r="76" spans="1:31" x14ac:dyDescent="0.25">
      <c r="A76" s="261"/>
      <c r="B76" s="261"/>
      <c r="C76" s="261"/>
      <c r="D76" s="262"/>
      <c r="E76" s="262"/>
      <c r="F76" s="262"/>
      <c r="G76" s="261"/>
      <c r="H76" s="267"/>
      <c r="I76" s="262"/>
      <c r="J76" s="262"/>
      <c r="K76" s="262"/>
      <c r="L76" s="261"/>
      <c r="M76" s="261"/>
    </row>
    <row r="77" spans="1:31" x14ac:dyDescent="0.25">
      <c r="A77" s="261"/>
      <c r="B77" s="261"/>
      <c r="C77" s="261"/>
      <c r="D77" s="262"/>
      <c r="E77" s="262"/>
      <c r="F77" s="262"/>
      <c r="G77" s="261"/>
      <c r="H77" s="267"/>
      <c r="I77" s="262"/>
      <c r="J77" s="262"/>
      <c r="K77" s="262"/>
      <c r="L77" s="261"/>
      <c r="M77" s="261"/>
    </row>
    <row r="78" spans="1:31" x14ac:dyDescent="0.25">
      <c r="A78" s="261"/>
      <c r="B78" s="261"/>
      <c r="C78" s="261"/>
      <c r="D78" s="262"/>
      <c r="E78" s="262"/>
      <c r="F78" s="262"/>
      <c r="G78" s="261"/>
      <c r="H78" s="267"/>
      <c r="I78" s="262"/>
      <c r="J78" s="262"/>
      <c r="K78" s="262"/>
      <c r="L78" s="261"/>
      <c r="M78" s="261"/>
    </row>
    <row r="79" spans="1:31" x14ac:dyDescent="0.25">
      <c r="A79" s="32" t="s">
        <v>81</v>
      </c>
      <c r="B79" s="14"/>
      <c r="C79" s="14">
        <f>SUM(C63:C68)</f>
        <v>170</v>
      </c>
      <c r="D79" s="14"/>
      <c r="E79" s="14"/>
      <c r="F79" s="18">
        <f>SUM(F63:F68)</f>
        <v>10313.200000000001</v>
      </c>
      <c r="G79" s="18"/>
      <c r="H79" s="73">
        <f>SUM(H63:H68)</f>
        <v>170</v>
      </c>
      <c r="I79" s="18"/>
      <c r="J79" s="18"/>
      <c r="K79" s="18">
        <f>SUM(K63:K68)</f>
        <v>11236.71</v>
      </c>
      <c r="L79" s="18"/>
      <c r="M79" s="18">
        <f>SUM(M63:M67)</f>
        <v>30.8</v>
      </c>
    </row>
    <row r="80" spans="1:31" ht="15.75" thickBot="1" x14ac:dyDescent="0.3">
      <c r="A80" s="467" t="s">
        <v>198</v>
      </c>
      <c r="B80" s="468"/>
      <c r="C80" s="469">
        <f>SumByColor($A$19,C63:C78)</f>
        <v>0</v>
      </c>
      <c r="D80" s="469"/>
      <c r="E80" s="469"/>
      <c r="F80" s="470">
        <f>SumByColor($A$19,F63:F78)</f>
        <v>0</v>
      </c>
      <c r="G80" s="469"/>
      <c r="H80" s="469">
        <f>SumByColor($A$19,H63:H78)</f>
        <v>0</v>
      </c>
      <c r="I80" s="469"/>
      <c r="J80" s="469"/>
      <c r="K80" s="470">
        <f>SumByColor($A$19,K63:K78)</f>
        <v>0</v>
      </c>
      <c r="L80" s="469"/>
      <c r="M80" s="470">
        <f t="shared" ref="M80" si="57">SumByColor($A$19,M63:M78)</f>
        <v>0</v>
      </c>
    </row>
  </sheetData>
  <conditionalFormatting sqref="P37:P5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40:F45">
    <cfRule type="expression" dxfId="461" priority="27">
      <formula>F40&gt;0</formula>
    </cfRule>
    <cfRule type="expression" dxfId="460" priority="28">
      <formula>F40&lt;0</formula>
    </cfRule>
  </conditionalFormatting>
  <conditionalFormatting sqref="F40:F45">
    <cfRule type="expression" dxfId="459" priority="29">
      <formula>F40&gt;0</formula>
    </cfRule>
    <cfRule type="expression" dxfId="458" priority="30">
      <formula>F40&lt;0</formula>
    </cfRule>
  </conditionalFormatting>
  <conditionalFormatting sqref="H40:H45">
    <cfRule type="expression" dxfId="457" priority="25">
      <formula>H40&gt;0</formula>
    </cfRule>
    <cfRule type="expression" dxfId="456" priority="26">
      <formula>H40&lt;0</formula>
    </cfRule>
  </conditionalFormatting>
  <conditionalFormatting sqref="F23:F39">
    <cfRule type="expression" dxfId="455" priority="11">
      <formula>F23&gt;0</formula>
    </cfRule>
    <cfRule type="expression" dxfId="454" priority="12">
      <formula>F23&lt;0</formula>
    </cfRule>
  </conditionalFormatting>
  <conditionalFormatting sqref="H23:H39">
    <cfRule type="expression" dxfId="453" priority="9">
      <formula>H23&gt;0</formula>
    </cfRule>
    <cfRule type="expression" dxfId="452" priority="10">
      <formula>H23&lt;0</formula>
    </cfRule>
  </conditionalFormatting>
  <conditionalFormatting sqref="Q7">
    <cfRule type="expression" dxfId="451" priority="7">
      <formula>Q7&gt;0</formula>
    </cfRule>
    <cfRule type="expression" dxfId="450" priority="8">
      <formula>Q7&lt;0</formula>
    </cfRule>
  </conditionalFormatting>
  <conditionalFormatting sqref="Q8">
    <cfRule type="expression" dxfId="449" priority="5">
      <formula>Q8&gt;0</formula>
    </cfRule>
    <cfRule type="expression" dxfId="448" priority="6">
      <formula>Q8&lt;0</formula>
    </cfRule>
  </conditionalFormatting>
  <hyperlinks>
    <hyperlink ref="A3" location="ACTIVE!A1" display="Back"/>
    <hyperlink ref="A64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80"/>
    <col min="5" max="5" width="9.140625" style="2"/>
    <col min="6" max="6" width="9.85546875" style="2" bestFit="1" customWidth="1"/>
    <col min="7" max="7" width="9.5703125" bestFit="1" customWidth="1"/>
    <col min="9" max="9" width="9.140625" style="80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4" customWidth="1"/>
    <col min="23" max="23" width="11.7109375" style="30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8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8" t="s">
        <v>7</v>
      </c>
      <c r="J1" s="21" t="s">
        <v>95</v>
      </c>
      <c r="K1" s="21" t="s">
        <v>61</v>
      </c>
      <c r="L1" s="15" t="s">
        <v>37</v>
      </c>
      <c r="M1" s="15" t="s">
        <v>38</v>
      </c>
      <c r="T1" s="11" t="s">
        <v>93</v>
      </c>
      <c r="U1" s="33"/>
      <c r="W1" s="122" t="s">
        <v>114</v>
      </c>
      <c r="X1" s="111" t="s">
        <v>115</v>
      </c>
      <c r="Y1" s="111" t="s">
        <v>116</v>
      </c>
      <c r="Z1" s="111" t="s">
        <v>117</v>
      </c>
      <c r="AA1" s="111" t="s">
        <v>118</v>
      </c>
      <c r="AB1" s="108" t="s">
        <v>119</v>
      </c>
      <c r="AC1" s="108" t="s">
        <v>120</v>
      </c>
      <c r="AD1" s="11" t="s">
        <v>126</v>
      </c>
      <c r="AE1" s="11" t="s">
        <v>128</v>
      </c>
    </row>
    <row r="2" spans="1:42" x14ac:dyDescent="0.25">
      <c r="A2" s="6" t="s">
        <v>8</v>
      </c>
      <c r="B2" s="74"/>
      <c r="C2" s="185"/>
      <c r="D2" s="240"/>
      <c r="E2" s="3"/>
      <c r="F2" s="3"/>
      <c r="G2" s="74"/>
      <c r="H2" s="185"/>
      <c r="I2" s="240"/>
      <c r="J2" s="3"/>
      <c r="K2" s="3"/>
      <c r="L2" s="4"/>
      <c r="O2" s="11" t="s">
        <v>57</v>
      </c>
      <c r="Q2" s="72">
        <f>C18-H18</f>
        <v>0</v>
      </c>
      <c r="T2" s="11"/>
      <c r="W2" s="123">
        <v>42768</v>
      </c>
      <c r="X2" s="41">
        <v>69.239999999999995</v>
      </c>
      <c r="Y2" s="41">
        <v>69.31</v>
      </c>
      <c r="Z2" s="41">
        <v>68.59</v>
      </c>
      <c r="AA2" s="41">
        <v>68.92</v>
      </c>
      <c r="AB2" s="104">
        <v>1273900</v>
      </c>
      <c r="AC2" s="9">
        <v>68.92</v>
      </c>
      <c r="AD2" s="2">
        <f>Y2-Z2</f>
        <v>0.71999999999999886</v>
      </c>
      <c r="AE2" s="138">
        <f>AC2/AC3-1</f>
        <v>-2.1717098595626094E-3</v>
      </c>
    </row>
    <row r="3" spans="1:42" x14ac:dyDescent="0.25">
      <c r="A3" s="23" t="s">
        <v>71</v>
      </c>
      <c r="B3" s="74"/>
      <c r="C3" s="185"/>
      <c r="D3" s="240"/>
      <c r="E3" s="3"/>
      <c r="F3" s="3"/>
      <c r="G3" s="74"/>
      <c r="H3" s="185"/>
      <c r="I3" s="240"/>
      <c r="J3" s="3"/>
      <c r="K3" s="3"/>
      <c r="L3" s="4"/>
      <c r="O3" s="11" t="s">
        <v>75</v>
      </c>
      <c r="Q3" s="230">
        <f>IF(Q2=0, Q4, (F18-K18-M18)/Q2)</f>
        <v>69.319999999999993</v>
      </c>
      <c r="W3" s="123">
        <v>42767</v>
      </c>
      <c r="X3" s="41">
        <v>69.45</v>
      </c>
      <c r="Y3" s="41">
        <v>69.78</v>
      </c>
      <c r="Z3" s="41">
        <v>68.73</v>
      </c>
      <c r="AA3" s="41">
        <v>69.069999999999993</v>
      </c>
      <c r="AB3" s="104">
        <v>1300400</v>
      </c>
      <c r="AC3" s="9">
        <v>69.069999999999993</v>
      </c>
      <c r="AD3" s="2">
        <f t="shared" ref="AD3:AD66" si="0">Y3-Z3</f>
        <v>1.0499999999999972</v>
      </c>
      <c r="AE3" s="138">
        <f t="shared" ref="AE3:AE66" si="1">AC3/AC4-1</f>
        <v>-6.4729574223245656E-3</v>
      </c>
      <c r="AJ3" s="235"/>
      <c r="AL3" s="234"/>
      <c r="AO3" s="234"/>
    </row>
    <row r="4" spans="1:42" x14ac:dyDescent="0.25">
      <c r="B4" s="74"/>
      <c r="C4" s="185"/>
      <c r="D4" s="240"/>
      <c r="E4" s="3"/>
      <c r="F4" s="3"/>
      <c r="G4" s="74"/>
      <c r="H4" s="185"/>
      <c r="I4" s="240"/>
      <c r="J4" s="3"/>
      <c r="K4" s="3"/>
      <c r="L4" s="4"/>
      <c r="O4" s="11" t="s">
        <v>66</v>
      </c>
      <c r="Q4" s="55">
        <v>69.319999999999993</v>
      </c>
      <c r="R4" s="505">
        <v>5.7999999999999996E-3</v>
      </c>
      <c r="T4" s="1"/>
      <c r="W4" s="123">
        <v>42766</v>
      </c>
      <c r="X4" s="41">
        <v>69.95</v>
      </c>
      <c r="Y4" s="41">
        <v>70.319999999999993</v>
      </c>
      <c r="Z4" s="41">
        <v>69.38</v>
      </c>
      <c r="AA4" s="41">
        <v>69.52</v>
      </c>
      <c r="AB4" s="104">
        <v>1395200</v>
      </c>
      <c r="AC4" s="9">
        <v>69.52</v>
      </c>
      <c r="AD4" s="2">
        <f t="shared" si="0"/>
        <v>0.93999999999999773</v>
      </c>
      <c r="AE4" s="138">
        <f t="shared" si="1"/>
        <v>-3.5832019492618716E-3</v>
      </c>
      <c r="AL4" s="234"/>
      <c r="AO4" s="234"/>
    </row>
    <row r="5" spans="1:42" x14ac:dyDescent="0.25">
      <c r="B5" s="74"/>
      <c r="C5" s="185"/>
      <c r="D5" s="240"/>
      <c r="E5" s="3"/>
      <c r="F5" s="3"/>
      <c r="G5" s="74"/>
      <c r="H5" s="185"/>
      <c r="I5" s="240"/>
      <c r="J5" s="3"/>
      <c r="K5" s="3"/>
      <c r="L5" s="4"/>
      <c r="O5" s="11" t="s">
        <v>67</v>
      </c>
      <c r="Q5" s="3">
        <f>Q4*Q2</f>
        <v>0</v>
      </c>
      <c r="T5" s="1"/>
      <c r="W5" s="123">
        <v>42765</v>
      </c>
      <c r="X5" s="41">
        <v>69.92</v>
      </c>
      <c r="Y5" s="41">
        <v>70.16</v>
      </c>
      <c r="Z5" s="41">
        <v>69.28</v>
      </c>
      <c r="AA5" s="41">
        <v>69.77</v>
      </c>
      <c r="AB5" s="104">
        <v>891000</v>
      </c>
      <c r="AC5" s="9">
        <v>69.77</v>
      </c>
      <c r="AD5" s="2">
        <f t="shared" si="0"/>
        <v>0.87999999999999545</v>
      </c>
      <c r="AE5" s="138">
        <f t="shared" si="1"/>
        <v>-7.5391180654338363E-3</v>
      </c>
      <c r="AL5" s="234"/>
      <c r="AO5" s="234"/>
    </row>
    <row r="6" spans="1:42" x14ac:dyDescent="0.25">
      <c r="B6" s="74"/>
      <c r="C6" s="185"/>
      <c r="D6" s="240"/>
      <c r="E6" s="3"/>
      <c r="F6" s="3"/>
      <c r="G6" s="74"/>
      <c r="H6" s="185"/>
      <c r="I6" s="240"/>
      <c r="J6" s="3"/>
      <c r="K6" s="3"/>
      <c r="L6" s="4"/>
      <c r="O6" s="11" t="s">
        <v>64</v>
      </c>
      <c r="Q6" s="2">
        <f>Q3*Q2</f>
        <v>0</v>
      </c>
      <c r="W6" s="123">
        <v>42762</v>
      </c>
      <c r="X6" s="41">
        <v>70.25</v>
      </c>
      <c r="Y6" s="41">
        <v>70.75</v>
      </c>
      <c r="Z6" s="41">
        <v>69.989999999999995</v>
      </c>
      <c r="AA6" s="41">
        <v>70.3</v>
      </c>
      <c r="AB6" s="104">
        <v>756600</v>
      </c>
      <c r="AC6" s="9">
        <v>70.3</v>
      </c>
      <c r="AD6" s="2">
        <f t="shared" si="0"/>
        <v>0.76000000000000512</v>
      </c>
      <c r="AE6" s="138">
        <f t="shared" si="1"/>
        <v>2.4240695850563654E-3</v>
      </c>
      <c r="AL6" s="234"/>
      <c r="AO6" s="234"/>
    </row>
    <row r="7" spans="1:42" x14ac:dyDescent="0.25">
      <c r="B7" s="74"/>
      <c r="C7" s="185"/>
      <c r="D7" s="240"/>
      <c r="E7" s="3"/>
      <c r="F7" s="3"/>
      <c r="G7" s="74"/>
      <c r="H7" s="185"/>
      <c r="I7" s="240"/>
      <c r="J7" s="3"/>
      <c r="K7" s="3"/>
      <c r="L7" s="4"/>
      <c r="O7" s="11" t="s">
        <v>181</v>
      </c>
      <c r="Q7" s="2">
        <f>Q10+Q8</f>
        <v>121.94999999999982</v>
      </c>
      <c r="R7">
        <v>0</v>
      </c>
      <c r="W7" s="123">
        <v>42761</v>
      </c>
      <c r="X7" s="41">
        <v>69.930000000000007</v>
      </c>
      <c r="Y7" s="41">
        <v>70.36</v>
      </c>
      <c r="Z7" s="41">
        <v>69.540000000000006</v>
      </c>
      <c r="AA7" s="41">
        <v>70.13</v>
      </c>
      <c r="AB7" s="104">
        <v>1287300</v>
      </c>
      <c r="AC7" s="9">
        <v>70.13</v>
      </c>
      <c r="AD7" s="2">
        <f t="shared" si="0"/>
        <v>0.81999999999999318</v>
      </c>
      <c r="AE7" s="138">
        <f t="shared" si="1"/>
        <v>2.0002857551078002E-3</v>
      </c>
      <c r="AL7" s="234"/>
      <c r="AO7" s="234"/>
    </row>
    <row r="8" spans="1:42" x14ac:dyDescent="0.25">
      <c r="B8" s="74"/>
      <c r="C8" s="185"/>
      <c r="D8" s="240"/>
      <c r="E8" s="3"/>
      <c r="F8" s="3"/>
      <c r="G8" s="74"/>
      <c r="H8" s="185"/>
      <c r="I8" s="240"/>
      <c r="J8" s="3"/>
      <c r="K8" s="3"/>
      <c r="L8" s="4"/>
      <c r="O8" s="11" t="s">
        <v>184</v>
      </c>
      <c r="P8" s="34"/>
      <c r="Q8" s="2">
        <f>K18+M18-F18+Q2*Q4</f>
        <v>0</v>
      </c>
      <c r="R8" s="166"/>
      <c r="W8" s="123">
        <v>42760</v>
      </c>
      <c r="X8" s="41">
        <v>71.11</v>
      </c>
      <c r="Y8" s="41">
        <v>71.48</v>
      </c>
      <c r="Z8" s="41">
        <v>69.94</v>
      </c>
      <c r="AA8" s="41">
        <v>69.989999999999995</v>
      </c>
      <c r="AB8" s="104">
        <v>2645100</v>
      </c>
      <c r="AC8" s="9">
        <v>69.989999999999995</v>
      </c>
      <c r="AD8" s="2">
        <f t="shared" si="0"/>
        <v>1.5400000000000063</v>
      </c>
      <c r="AE8" s="138">
        <f t="shared" si="1"/>
        <v>-1.6026992830029507E-2</v>
      </c>
      <c r="AL8" s="234"/>
      <c r="AO8" s="234"/>
    </row>
    <row r="9" spans="1:42" x14ac:dyDescent="0.25">
      <c r="O9" s="11" t="s">
        <v>214</v>
      </c>
      <c r="Q9" s="138">
        <f>IF(Q2=0, 0, Q8/Q6)</f>
        <v>0</v>
      </c>
      <c r="W9" s="123">
        <v>42759</v>
      </c>
      <c r="X9" s="41">
        <v>70.45</v>
      </c>
      <c r="Y9" s="41">
        <v>71.41</v>
      </c>
      <c r="Z9" s="41">
        <v>70.25</v>
      </c>
      <c r="AA9" s="41">
        <v>71.13</v>
      </c>
      <c r="AB9" s="104">
        <v>2101900</v>
      </c>
      <c r="AC9" s="9">
        <v>71.13</v>
      </c>
      <c r="AD9" s="2">
        <f t="shared" si="0"/>
        <v>1.1599999999999966</v>
      </c>
      <c r="AE9" s="138">
        <f t="shared" si="1"/>
        <v>1.2094479225953192E-2</v>
      </c>
      <c r="AL9" s="234"/>
      <c r="AO9" s="234"/>
    </row>
    <row r="10" spans="1:42" x14ac:dyDescent="0.25">
      <c r="O10" s="11" t="s">
        <v>213</v>
      </c>
      <c r="P10" s="34"/>
      <c r="Q10" s="2">
        <f>M36</f>
        <v>121.94999999999982</v>
      </c>
      <c r="W10" s="123">
        <v>42758</v>
      </c>
      <c r="X10" s="41">
        <v>69.7</v>
      </c>
      <c r="Y10" s="41">
        <v>70.47</v>
      </c>
      <c r="Z10" s="41">
        <v>69.38</v>
      </c>
      <c r="AA10" s="41">
        <v>70.28</v>
      </c>
      <c r="AB10" s="104">
        <v>984400</v>
      </c>
      <c r="AC10" s="9">
        <v>70.28</v>
      </c>
      <c r="AD10" s="2">
        <f t="shared" si="0"/>
        <v>1.0900000000000034</v>
      </c>
      <c r="AE10" s="138">
        <f t="shared" si="1"/>
        <v>2.2818026240729594E-3</v>
      </c>
      <c r="AL10" s="234"/>
      <c r="AO10" s="234"/>
    </row>
    <row r="11" spans="1:42" x14ac:dyDescent="0.25">
      <c r="O11" s="11" t="s">
        <v>178</v>
      </c>
      <c r="P11" s="34"/>
      <c r="Q11" s="138">
        <f>IF(U58="N/A (N/A)", 0, VALUE(TRIM(CLEAN(MID(U58, FIND("(", U58)+1, 5)))))</f>
        <v>1.67E-2</v>
      </c>
      <c r="T11" s="11"/>
      <c r="W11" s="123">
        <v>42755</v>
      </c>
      <c r="X11" s="41">
        <v>69</v>
      </c>
      <c r="Y11" s="41">
        <v>70.19</v>
      </c>
      <c r="Z11" s="41">
        <v>68.89</v>
      </c>
      <c r="AA11" s="41">
        <v>70.12</v>
      </c>
      <c r="AB11" s="104">
        <v>1316800</v>
      </c>
      <c r="AC11" s="9">
        <v>70.12</v>
      </c>
      <c r="AD11" s="2">
        <f t="shared" si="0"/>
        <v>1.2999999999999972</v>
      </c>
      <c r="AE11" s="138">
        <f t="shared" si="1"/>
        <v>1.8889857599535098E-2</v>
      </c>
      <c r="AL11" s="234"/>
      <c r="AO11" s="234"/>
    </row>
    <row r="12" spans="1:42" x14ac:dyDescent="0.25">
      <c r="W12" s="123">
        <v>42754</v>
      </c>
      <c r="X12" s="41">
        <v>70.41</v>
      </c>
      <c r="Y12" s="41">
        <v>70.41</v>
      </c>
      <c r="Z12" s="41">
        <v>68.680000000000007</v>
      </c>
      <c r="AA12" s="41">
        <v>68.819999999999993</v>
      </c>
      <c r="AB12" s="104">
        <v>2520300</v>
      </c>
      <c r="AC12" s="9">
        <v>68.819999999999993</v>
      </c>
      <c r="AD12" s="2">
        <f t="shared" si="0"/>
        <v>1.7299999999999898</v>
      </c>
      <c r="AE12" s="138">
        <f t="shared" si="1"/>
        <v>-1.3333333333333419E-2</v>
      </c>
      <c r="AL12" s="234"/>
      <c r="AO12" s="234"/>
    </row>
    <row r="13" spans="1:42" x14ac:dyDescent="0.25">
      <c r="W13" s="123">
        <v>42753</v>
      </c>
      <c r="X13" s="41">
        <v>69.84</v>
      </c>
      <c r="Y13" s="41">
        <v>70.319999999999993</v>
      </c>
      <c r="Z13" s="41">
        <v>69.430000000000007</v>
      </c>
      <c r="AA13" s="41">
        <v>69.75</v>
      </c>
      <c r="AB13" s="104">
        <v>1339500</v>
      </c>
      <c r="AC13" s="9">
        <v>69.75</v>
      </c>
      <c r="AD13" s="2">
        <f t="shared" si="0"/>
        <v>0.88999999999998636</v>
      </c>
      <c r="AE13" s="138">
        <f t="shared" si="1"/>
        <v>-7.8236130867709308E-3</v>
      </c>
    </row>
    <row r="14" spans="1:42" x14ac:dyDescent="0.25">
      <c r="W14" s="123">
        <v>42752</v>
      </c>
      <c r="X14" s="41">
        <v>70.989999999999995</v>
      </c>
      <c r="Y14" s="41">
        <v>71.569999999999993</v>
      </c>
      <c r="Z14" s="41">
        <v>70.14</v>
      </c>
      <c r="AA14" s="41">
        <v>70.3</v>
      </c>
      <c r="AB14" s="104">
        <v>1201000</v>
      </c>
      <c r="AC14" s="9">
        <v>70.3</v>
      </c>
      <c r="AD14" s="2">
        <f t="shared" si="0"/>
        <v>1.4299999999999926</v>
      </c>
      <c r="AE14" s="138">
        <f t="shared" si="1"/>
        <v>-9.8591549295774517E-3</v>
      </c>
    </row>
    <row r="15" spans="1:42" x14ac:dyDescent="0.25">
      <c r="V15" s="2"/>
      <c r="W15" s="123">
        <v>42748</v>
      </c>
      <c r="X15" s="41">
        <v>70.64</v>
      </c>
      <c r="Y15" s="41">
        <v>71.5</v>
      </c>
      <c r="Z15" s="41">
        <v>70.44</v>
      </c>
      <c r="AA15" s="41">
        <v>71</v>
      </c>
      <c r="AB15" s="104">
        <v>629600</v>
      </c>
      <c r="AC15" s="9">
        <v>71</v>
      </c>
      <c r="AD15" s="2">
        <f t="shared" si="0"/>
        <v>1.0600000000000023</v>
      </c>
      <c r="AE15" s="138">
        <f t="shared" si="1"/>
        <v>6.0932407538614175E-3</v>
      </c>
      <c r="AL15" s="234"/>
      <c r="AO15" s="234"/>
      <c r="AP15" s="234"/>
    </row>
    <row r="16" spans="1:42" x14ac:dyDescent="0.25">
      <c r="V16" s="2"/>
      <c r="W16" s="123">
        <v>42747</v>
      </c>
      <c r="X16" s="41">
        <v>71.03</v>
      </c>
      <c r="Y16" s="41">
        <v>71.150000000000006</v>
      </c>
      <c r="Z16" s="41">
        <v>70.09</v>
      </c>
      <c r="AA16" s="41">
        <v>70.569999999999993</v>
      </c>
      <c r="AB16" s="104">
        <v>1208200</v>
      </c>
      <c r="AC16" s="9">
        <v>70.569999999999993</v>
      </c>
      <c r="AD16" s="2">
        <f t="shared" si="0"/>
        <v>1.0600000000000023</v>
      </c>
      <c r="AE16" s="138">
        <f t="shared" si="1"/>
        <v>9.9290780141836343E-4</v>
      </c>
    </row>
    <row r="17" spans="1:42" x14ac:dyDescent="0.25">
      <c r="V17" s="2"/>
      <c r="W17" s="123">
        <v>42746</v>
      </c>
      <c r="X17" s="41">
        <v>69.400000000000006</v>
      </c>
      <c r="Y17" s="41">
        <v>70.67</v>
      </c>
      <c r="Z17" s="41">
        <v>69.209999999999994</v>
      </c>
      <c r="AA17" s="41">
        <v>70.5</v>
      </c>
      <c r="AB17" s="104">
        <v>891100</v>
      </c>
      <c r="AC17" s="9">
        <v>70.5</v>
      </c>
      <c r="AD17" s="2">
        <f t="shared" si="0"/>
        <v>1.460000000000008</v>
      </c>
      <c r="AE17" s="138">
        <f t="shared" si="1"/>
        <v>1.7462837350266991E-2</v>
      </c>
      <c r="AL17" s="234"/>
      <c r="AO17" s="234"/>
      <c r="AP17" s="234"/>
    </row>
    <row r="18" spans="1:42" x14ac:dyDescent="0.25">
      <c r="A18" s="32" t="s">
        <v>81</v>
      </c>
      <c r="B18" s="14"/>
      <c r="C18" s="73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3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3">
        <v>42745</v>
      </c>
      <c r="X18" s="41">
        <v>68.94</v>
      </c>
      <c r="Y18" s="41">
        <v>69.73</v>
      </c>
      <c r="Z18" s="41">
        <v>68.89</v>
      </c>
      <c r="AA18" s="41">
        <v>69.290000000000006</v>
      </c>
      <c r="AB18" s="104">
        <v>757700</v>
      </c>
      <c r="AC18" s="9">
        <v>69.290000000000006</v>
      </c>
      <c r="AD18" s="2">
        <f t="shared" si="0"/>
        <v>0.84000000000000341</v>
      </c>
      <c r="AE18" s="138">
        <f t="shared" si="1"/>
        <v>7.5614366729679361E-3</v>
      </c>
    </row>
    <row r="19" spans="1:42" x14ac:dyDescent="0.25">
      <c r="B19" s="74"/>
      <c r="C19" s="4"/>
      <c r="D19" s="240"/>
      <c r="E19" s="3"/>
      <c r="F19" s="3"/>
      <c r="G19" s="74"/>
      <c r="H19" s="185"/>
      <c r="I19" s="240"/>
      <c r="J19" s="3"/>
      <c r="K19" s="3"/>
      <c r="L19" s="4"/>
      <c r="W19" s="123">
        <v>42744</v>
      </c>
      <c r="X19" s="41">
        <v>68.95</v>
      </c>
      <c r="Y19" s="41">
        <v>69.08</v>
      </c>
      <c r="Z19" s="41">
        <v>68.41</v>
      </c>
      <c r="AA19" s="41">
        <v>68.77</v>
      </c>
      <c r="AB19" s="104">
        <v>947500</v>
      </c>
      <c r="AC19" s="9">
        <v>68.77</v>
      </c>
      <c r="AD19" s="2">
        <f t="shared" si="0"/>
        <v>0.67000000000000171</v>
      </c>
      <c r="AE19" s="138">
        <f t="shared" si="1"/>
        <v>-5.0636574074075513E-3</v>
      </c>
      <c r="AL19" s="234"/>
      <c r="AO19" s="234"/>
    </row>
    <row r="20" spans="1:42" x14ac:dyDescent="0.25">
      <c r="B20" s="74"/>
      <c r="C20" s="4"/>
      <c r="D20" s="240"/>
      <c r="E20" s="3"/>
      <c r="F20" s="3"/>
      <c r="G20" s="74"/>
      <c r="H20" s="185"/>
      <c r="I20" s="240"/>
      <c r="J20" s="3"/>
      <c r="K20" s="3"/>
      <c r="L20" s="4"/>
      <c r="W20" s="123">
        <v>42741</v>
      </c>
      <c r="X20" s="41">
        <v>69.400000000000006</v>
      </c>
      <c r="Y20" s="41">
        <v>69.94</v>
      </c>
      <c r="Z20" s="41">
        <v>69.06</v>
      </c>
      <c r="AA20" s="41">
        <v>69.12</v>
      </c>
      <c r="AB20" s="104">
        <v>960800</v>
      </c>
      <c r="AC20" s="9">
        <v>69.12</v>
      </c>
      <c r="AD20" s="2">
        <f t="shared" si="0"/>
        <v>0.87999999999999545</v>
      </c>
      <c r="AE20" s="138">
        <f t="shared" si="1"/>
        <v>-4.7516198704103951E-3</v>
      </c>
    </row>
    <row r="21" spans="1:42" x14ac:dyDescent="0.25">
      <c r="B21" s="74"/>
      <c r="C21" s="4"/>
      <c r="D21" s="240"/>
      <c r="E21" s="3"/>
      <c r="F21" s="3"/>
      <c r="G21" s="74"/>
      <c r="H21" s="185"/>
      <c r="I21" s="240"/>
      <c r="J21" s="3"/>
      <c r="K21" s="3"/>
      <c r="L21" s="4"/>
      <c r="W21" s="123">
        <v>42740</v>
      </c>
      <c r="X21" s="41">
        <v>68.959999999999994</v>
      </c>
      <c r="Y21" s="41">
        <v>69.989999999999995</v>
      </c>
      <c r="Z21" s="41">
        <v>68.53</v>
      </c>
      <c r="AA21" s="41">
        <v>69.45</v>
      </c>
      <c r="AB21" s="104">
        <v>924200</v>
      </c>
      <c r="AC21" s="9">
        <v>69.45</v>
      </c>
      <c r="AD21" s="2">
        <f t="shared" si="0"/>
        <v>1.4599999999999937</v>
      </c>
      <c r="AE21" s="138">
        <f t="shared" si="1"/>
        <v>7.6900754497968293E-3</v>
      </c>
    </row>
    <row r="22" spans="1:42" x14ac:dyDescent="0.25">
      <c r="B22" s="191" t="s">
        <v>114</v>
      </c>
      <c r="C22" s="191" t="s">
        <v>147</v>
      </c>
      <c r="D22" s="199" t="s">
        <v>146</v>
      </c>
      <c r="E22" s="195" t="s">
        <v>148</v>
      </c>
      <c r="F22" s="195" t="s">
        <v>65</v>
      </c>
      <c r="G22" s="229" t="s">
        <v>152</v>
      </c>
      <c r="H22" s="195" t="s">
        <v>88</v>
      </c>
      <c r="I22" s="241" t="s">
        <v>155</v>
      </c>
      <c r="J22" s="3"/>
      <c r="K22" s="3"/>
      <c r="L22" s="4"/>
      <c r="W22" s="123">
        <v>42739</v>
      </c>
      <c r="X22" s="41">
        <v>68.47</v>
      </c>
      <c r="Y22" s="41">
        <v>69.06</v>
      </c>
      <c r="Z22" s="41">
        <v>68.13</v>
      </c>
      <c r="AA22" s="41">
        <v>68.92</v>
      </c>
      <c r="AB22" s="104">
        <v>1193700</v>
      </c>
      <c r="AC22" s="9">
        <v>68.92</v>
      </c>
      <c r="AD22" s="2">
        <f t="shared" si="0"/>
        <v>0.93000000000000682</v>
      </c>
      <c r="AE22" s="138">
        <f t="shared" si="1"/>
        <v>2.3311061618411344E-2</v>
      </c>
    </row>
    <row r="23" spans="1:42" x14ac:dyDescent="0.25">
      <c r="B23" s="193">
        <v>42375</v>
      </c>
      <c r="C23" s="10">
        <v>40</v>
      </c>
      <c r="D23" s="200">
        <v>52.4</v>
      </c>
      <c r="E23" s="40">
        <v>52.17</v>
      </c>
      <c r="F23" s="40">
        <f>C23*(E23-D23)</f>
        <v>-9.1999999999998749</v>
      </c>
      <c r="G23" s="40">
        <f>D23*C23</f>
        <v>2096</v>
      </c>
      <c r="H23" s="231">
        <f>(E23-D23)/D23</f>
        <v>-4.389312977099177E-3</v>
      </c>
      <c r="I23" s="40"/>
      <c r="J23" s="3"/>
      <c r="K23" s="3"/>
      <c r="L23" s="4"/>
      <c r="W23" s="123">
        <v>42738</v>
      </c>
      <c r="X23" s="41">
        <v>67.709999999999994</v>
      </c>
      <c r="Y23" s="41">
        <v>68.430000000000007</v>
      </c>
      <c r="Z23" s="41">
        <v>67.08</v>
      </c>
      <c r="AA23" s="41">
        <v>67.349999999999994</v>
      </c>
      <c r="AB23" s="104">
        <v>764400</v>
      </c>
      <c r="AC23" s="9">
        <v>67.349999999999994</v>
      </c>
      <c r="AD23" s="2">
        <f t="shared" si="0"/>
        <v>1.3500000000000085</v>
      </c>
      <c r="AE23" s="138">
        <f t="shared" si="1"/>
        <v>-7.4183976261144036E-4</v>
      </c>
    </row>
    <row r="24" spans="1:42" x14ac:dyDescent="0.25">
      <c r="B24" s="193">
        <v>42403</v>
      </c>
      <c r="C24" s="10">
        <v>40</v>
      </c>
      <c r="D24" s="200">
        <v>52.4</v>
      </c>
      <c r="E24" s="40">
        <v>53.31</v>
      </c>
      <c r="F24" s="40">
        <f>C24*(E24-D24)</f>
        <v>36.400000000000148</v>
      </c>
      <c r="G24" s="40">
        <f>D24*C24</f>
        <v>2096</v>
      </c>
      <c r="H24" s="231">
        <f>(E24-D24)/D24</f>
        <v>1.736641221374053E-2</v>
      </c>
      <c r="I24" s="40"/>
      <c r="J24" s="3"/>
      <c r="K24" s="3"/>
      <c r="L24" s="4"/>
      <c r="W24" s="123">
        <v>42734</v>
      </c>
      <c r="X24" s="41">
        <v>68.150000000000006</v>
      </c>
      <c r="Y24" s="41">
        <v>68.37</v>
      </c>
      <c r="Z24" s="41">
        <v>67.180000000000007</v>
      </c>
      <c r="AA24" s="41">
        <v>67.400000000000006</v>
      </c>
      <c r="AB24" s="104">
        <v>526400</v>
      </c>
      <c r="AC24" s="9">
        <v>67.400000000000006</v>
      </c>
      <c r="AD24" s="2">
        <f t="shared" si="0"/>
        <v>1.1899999999999977</v>
      </c>
      <c r="AE24" s="138">
        <f t="shared" si="1"/>
        <v>-8.6777467274598008E-3</v>
      </c>
    </row>
    <row r="25" spans="1:42" x14ac:dyDescent="0.25">
      <c r="B25" s="193">
        <v>42416</v>
      </c>
      <c r="C25" s="10">
        <v>0</v>
      </c>
      <c r="D25" s="200">
        <v>0</v>
      </c>
      <c r="E25" s="40">
        <v>0</v>
      </c>
      <c r="F25" s="40">
        <v>121.95</v>
      </c>
      <c r="G25" s="40"/>
      <c r="H25" s="232"/>
      <c r="I25" s="200"/>
      <c r="J25" s="3"/>
      <c r="K25" s="3"/>
      <c r="L25" s="4"/>
      <c r="W25" s="123">
        <v>42733</v>
      </c>
      <c r="X25" s="41">
        <v>68.02</v>
      </c>
      <c r="Y25" s="41">
        <v>68.17</v>
      </c>
      <c r="Z25" s="41">
        <v>67.739999999999995</v>
      </c>
      <c r="AA25" s="41">
        <v>67.989999999999995</v>
      </c>
      <c r="AB25" s="104">
        <v>496100</v>
      </c>
      <c r="AC25" s="9">
        <v>67.989999999999995</v>
      </c>
      <c r="AD25" s="2">
        <f t="shared" si="0"/>
        <v>0.43000000000000682</v>
      </c>
      <c r="AE25" s="138">
        <f t="shared" si="1"/>
        <v>5.0258684405024567E-3</v>
      </c>
      <c r="AL25" s="234"/>
      <c r="AO25" s="234"/>
    </row>
    <row r="26" spans="1:42" x14ac:dyDescent="0.25">
      <c r="B26" s="193"/>
      <c r="C26" s="10"/>
      <c r="D26" s="200"/>
      <c r="E26" s="40"/>
      <c r="F26" s="40"/>
      <c r="G26" s="40"/>
      <c r="H26" s="232"/>
      <c r="I26" s="200"/>
      <c r="J26" s="3"/>
      <c r="K26" s="3"/>
      <c r="L26" s="4"/>
      <c r="W26" s="123">
        <v>42732</v>
      </c>
      <c r="X26" s="41">
        <v>67.47</v>
      </c>
      <c r="Y26" s="41">
        <v>68.459999999999994</v>
      </c>
      <c r="Z26" s="41">
        <v>67.33</v>
      </c>
      <c r="AA26" s="41">
        <v>67.650000000000006</v>
      </c>
      <c r="AB26" s="104">
        <v>734600</v>
      </c>
      <c r="AC26" s="9">
        <v>67.650000000000006</v>
      </c>
      <c r="AD26" s="2">
        <f t="shared" si="0"/>
        <v>1.1299999999999955</v>
      </c>
      <c r="AE26" s="138">
        <f t="shared" si="1"/>
        <v>-1.6233766233766378E-3</v>
      </c>
    </row>
    <row r="27" spans="1:42" x14ac:dyDescent="0.25">
      <c r="B27" s="193"/>
      <c r="C27" s="10"/>
      <c r="D27" s="200"/>
      <c r="E27" s="40"/>
      <c r="F27" s="40"/>
      <c r="G27" s="40"/>
      <c r="H27" s="232"/>
      <c r="I27" s="200"/>
      <c r="J27" s="3"/>
      <c r="K27" s="3"/>
      <c r="L27" s="4"/>
      <c r="W27" s="123">
        <v>42731</v>
      </c>
      <c r="X27" s="41">
        <v>67.790000000000006</v>
      </c>
      <c r="Y27" s="41">
        <v>67.930000000000007</v>
      </c>
      <c r="Z27" s="41">
        <v>67.599999999999994</v>
      </c>
      <c r="AA27" s="41">
        <v>67.760000000000005</v>
      </c>
      <c r="AB27" s="104">
        <v>260600</v>
      </c>
      <c r="AC27" s="9">
        <v>67.760000000000005</v>
      </c>
      <c r="AD27" s="2">
        <f t="shared" si="0"/>
        <v>0.33000000000001251</v>
      </c>
      <c r="AE27" s="138">
        <f t="shared" si="1"/>
        <v>2.2186067149829736E-3</v>
      </c>
      <c r="AL27" s="234"/>
      <c r="AO27" s="234"/>
    </row>
    <row r="28" spans="1:42" x14ac:dyDescent="0.25">
      <c r="B28" s="193"/>
      <c r="C28" s="10"/>
      <c r="D28" s="200"/>
      <c r="E28" s="40"/>
      <c r="F28" s="40"/>
      <c r="G28" s="40"/>
      <c r="H28" s="232"/>
      <c r="I28" s="200"/>
      <c r="J28" s="3"/>
      <c r="K28" s="3"/>
      <c r="L28" s="4"/>
      <c r="W28" s="123">
        <v>42727</v>
      </c>
      <c r="X28" s="41">
        <v>67.739999999999995</v>
      </c>
      <c r="Y28" s="41">
        <v>67.86</v>
      </c>
      <c r="Z28" s="41">
        <v>67.400000000000006</v>
      </c>
      <c r="AA28" s="41">
        <v>67.61</v>
      </c>
      <c r="AB28" s="104">
        <v>412200</v>
      </c>
      <c r="AC28" s="9">
        <v>67.61</v>
      </c>
      <c r="AD28" s="2">
        <f t="shared" si="0"/>
        <v>0.45999999999999375</v>
      </c>
      <c r="AE28" s="138">
        <f t="shared" si="1"/>
        <v>-2.5081144880495509E-3</v>
      </c>
    </row>
    <row r="29" spans="1:42" x14ac:dyDescent="0.25">
      <c r="B29" s="193"/>
      <c r="C29" s="10"/>
      <c r="D29" s="200"/>
      <c r="E29" s="40"/>
      <c r="F29" s="40"/>
      <c r="G29" s="40"/>
      <c r="H29" s="232"/>
      <c r="I29" s="200"/>
      <c r="J29" s="3"/>
      <c r="K29" s="3"/>
      <c r="L29" s="4"/>
      <c r="W29" s="123">
        <v>42726</v>
      </c>
      <c r="X29" s="41">
        <v>67.78</v>
      </c>
      <c r="Y29" s="41">
        <v>68.010000000000005</v>
      </c>
      <c r="Z29" s="41">
        <v>67.459999999999994</v>
      </c>
      <c r="AA29" s="41">
        <v>67.78</v>
      </c>
      <c r="AB29" s="104">
        <v>460300</v>
      </c>
      <c r="AC29" s="9">
        <v>67.78</v>
      </c>
      <c r="AD29" s="2">
        <f t="shared" si="0"/>
        <v>0.55000000000001137</v>
      </c>
      <c r="AE29" s="138">
        <f t="shared" si="1"/>
        <v>-3.2352941176470029E-3</v>
      </c>
    </row>
    <row r="30" spans="1:42" x14ac:dyDescent="0.25">
      <c r="B30" s="193"/>
      <c r="C30" s="10"/>
      <c r="D30" s="200"/>
      <c r="E30" s="40"/>
      <c r="F30" s="40"/>
      <c r="G30" s="40"/>
      <c r="H30" s="232"/>
      <c r="I30" s="200"/>
      <c r="J30" s="3"/>
      <c r="K30" s="3"/>
      <c r="L30" s="4"/>
      <c r="W30" s="123">
        <v>42725</v>
      </c>
      <c r="X30" s="41">
        <v>67.94</v>
      </c>
      <c r="Y30" s="41">
        <v>68.44</v>
      </c>
      <c r="Z30" s="41">
        <v>67.69</v>
      </c>
      <c r="AA30" s="41">
        <v>68</v>
      </c>
      <c r="AB30" s="104">
        <v>614300</v>
      </c>
      <c r="AC30" s="9">
        <v>68</v>
      </c>
      <c r="AD30" s="2">
        <f t="shared" si="0"/>
        <v>0.75</v>
      </c>
      <c r="AE30" s="138">
        <f t="shared" si="1"/>
        <v>1.4727540500736325E-3</v>
      </c>
    </row>
    <row r="31" spans="1:42" x14ac:dyDescent="0.25">
      <c r="B31" s="193"/>
      <c r="C31" s="10"/>
      <c r="D31" s="200"/>
      <c r="E31" s="40"/>
      <c r="F31" s="40"/>
      <c r="G31" s="40"/>
      <c r="H31" s="232"/>
      <c r="I31" s="200"/>
      <c r="Q31" s="2"/>
      <c r="W31" s="123">
        <v>42724</v>
      </c>
      <c r="X31" s="41">
        <v>67.319999999999993</v>
      </c>
      <c r="Y31" s="41">
        <v>68.319999999999993</v>
      </c>
      <c r="Z31" s="41">
        <v>67.3</v>
      </c>
      <c r="AA31" s="41">
        <v>67.900000000000006</v>
      </c>
      <c r="AB31" s="104">
        <v>1344400</v>
      </c>
      <c r="AC31" s="9">
        <v>67.900000000000006</v>
      </c>
      <c r="AD31" s="2">
        <f t="shared" si="0"/>
        <v>1.019999999999996</v>
      </c>
      <c r="AE31" s="138">
        <f t="shared" si="1"/>
        <v>1.1922503725782629E-2</v>
      </c>
      <c r="AL31" s="234"/>
      <c r="AO31" s="234"/>
    </row>
    <row r="32" spans="1:42" x14ac:dyDescent="0.25">
      <c r="B32" s="193"/>
      <c r="C32" s="10"/>
      <c r="D32" s="200"/>
      <c r="E32" s="40"/>
      <c r="F32" s="40"/>
      <c r="G32" s="40"/>
      <c r="H32" s="232"/>
      <c r="I32" s="200"/>
      <c r="J32" s="3"/>
      <c r="K32" s="3"/>
      <c r="L32" s="4"/>
      <c r="Q32" s="2"/>
      <c r="W32" s="123">
        <v>42723</v>
      </c>
      <c r="X32" s="41">
        <v>66.92</v>
      </c>
      <c r="Y32" s="41">
        <v>67.290000000000006</v>
      </c>
      <c r="Z32" s="41">
        <v>66.78</v>
      </c>
      <c r="AA32" s="41">
        <v>67.099999999999994</v>
      </c>
      <c r="AB32" s="104">
        <v>481800</v>
      </c>
      <c r="AC32" s="9">
        <v>67.099999999999994</v>
      </c>
      <c r="AD32" s="2">
        <f t="shared" si="0"/>
        <v>0.51000000000000512</v>
      </c>
      <c r="AE32" s="138">
        <f t="shared" si="1"/>
        <v>2.9815146094214207E-4</v>
      </c>
    </row>
    <row r="33" spans="1:41" x14ac:dyDescent="0.25">
      <c r="B33" s="74"/>
      <c r="C33" s="4"/>
      <c r="D33" s="240"/>
      <c r="E33" s="3"/>
      <c r="F33" s="3"/>
      <c r="G33" s="3"/>
      <c r="H33" s="233"/>
      <c r="I33" s="240"/>
      <c r="J33" s="3"/>
      <c r="K33" s="3"/>
      <c r="L33" s="4"/>
      <c r="Q33" s="2"/>
      <c r="W33" s="123">
        <v>42720</v>
      </c>
      <c r="X33" s="41">
        <v>67.13</v>
      </c>
      <c r="Y33" s="41">
        <v>67.569999999999993</v>
      </c>
      <c r="Z33" s="41">
        <v>66.77</v>
      </c>
      <c r="AA33" s="41">
        <v>67.08</v>
      </c>
      <c r="AB33" s="104">
        <v>744600</v>
      </c>
      <c r="AC33" s="9">
        <v>67.08</v>
      </c>
      <c r="AD33" s="2">
        <f t="shared" si="0"/>
        <v>0.79999999999999716</v>
      </c>
      <c r="AE33" s="138">
        <f t="shared" si="1"/>
        <v>-5.9594755661507293E-4</v>
      </c>
      <c r="AL33" s="234"/>
      <c r="AO33" s="234"/>
    </row>
    <row r="34" spans="1:41" x14ac:dyDescent="0.25">
      <c r="B34" s="74"/>
      <c r="C34" s="4"/>
      <c r="D34" s="240"/>
      <c r="E34" s="3"/>
      <c r="F34" s="3"/>
      <c r="G34" s="3"/>
      <c r="H34" s="233"/>
      <c r="I34" s="240"/>
      <c r="J34" s="3"/>
      <c r="K34" s="3"/>
      <c r="L34" s="4"/>
      <c r="W34" s="123">
        <v>42719</v>
      </c>
      <c r="X34" s="41">
        <v>66.64</v>
      </c>
      <c r="Y34" s="41">
        <v>67.709999999999994</v>
      </c>
      <c r="Z34" s="41">
        <v>66.58</v>
      </c>
      <c r="AA34" s="41">
        <v>67.12</v>
      </c>
      <c r="AB34" s="104">
        <v>978200</v>
      </c>
      <c r="AC34" s="9">
        <v>67.12</v>
      </c>
      <c r="AD34" s="2">
        <f t="shared" si="0"/>
        <v>1.1299999999999955</v>
      </c>
      <c r="AE34" s="138">
        <f t="shared" si="1"/>
        <v>2.5392083644510954E-3</v>
      </c>
    </row>
    <row r="35" spans="1:41" x14ac:dyDescent="0.25">
      <c r="B35" s="74"/>
      <c r="C35" s="4"/>
      <c r="D35" s="240"/>
      <c r="E35" s="3"/>
      <c r="F35" s="3"/>
      <c r="G35" s="3"/>
      <c r="H35" s="233"/>
      <c r="I35" s="240"/>
      <c r="J35" s="3"/>
      <c r="K35" s="3"/>
      <c r="L35" s="4"/>
      <c r="W35" s="123">
        <v>42718</v>
      </c>
      <c r="X35" s="41">
        <v>68.44</v>
      </c>
      <c r="Y35" s="41">
        <v>68.75</v>
      </c>
      <c r="Z35" s="41">
        <v>66.849999999999994</v>
      </c>
      <c r="AA35" s="41">
        <v>66.95</v>
      </c>
      <c r="AB35" s="104">
        <v>988900</v>
      </c>
      <c r="AC35" s="9">
        <v>66.95</v>
      </c>
      <c r="AD35" s="2">
        <f t="shared" si="0"/>
        <v>1.9000000000000057</v>
      </c>
      <c r="AE35" s="138">
        <f t="shared" si="1"/>
        <v>-2.1627940961566616E-2</v>
      </c>
      <c r="AL35" s="234"/>
      <c r="AO35" s="234"/>
    </row>
    <row r="36" spans="1:41" x14ac:dyDescent="0.25">
      <c r="B36" s="74"/>
      <c r="C36" s="4"/>
      <c r="D36" s="240"/>
      <c r="E36" s="3"/>
      <c r="F36" s="3"/>
      <c r="G36" s="3"/>
      <c r="H36" s="233"/>
      <c r="I36" s="74"/>
      <c r="L36" t="s">
        <v>213</v>
      </c>
      <c r="M36" s="2">
        <f>K54+M54-F54</f>
        <v>121.94999999999982</v>
      </c>
      <c r="W36" s="123">
        <v>42717</v>
      </c>
      <c r="X36" s="41">
        <v>68.42</v>
      </c>
      <c r="Y36" s="41">
        <v>69.319999999999993</v>
      </c>
      <c r="Z36" s="41">
        <v>68.260000000000005</v>
      </c>
      <c r="AA36" s="41">
        <v>68.430000000000007</v>
      </c>
      <c r="AB36" s="104">
        <v>1328200</v>
      </c>
      <c r="AC36" s="9">
        <v>68.430000000000007</v>
      </c>
      <c r="AD36" s="2">
        <f t="shared" si="0"/>
        <v>1.0599999999999881</v>
      </c>
      <c r="AE36" s="138">
        <f t="shared" si="1"/>
        <v>3.961267605633978E-3</v>
      </c>
    </row>
    <row r="37" spans="1:41" x14ac:dyDescent="0.25">
      <c r="A37" s="387" t="s">
        <v>1</v>
      </c>
      <c r="B37" s="387" t="s">
        <v>2</v>
      </c>
      <c r="C37" s="387" t="s">
        <v>4</v>
      </c>
      <c r="D37" s="388" t="s">
        <v>5</v>
      </c>
      <c r="E37" s="389" t="s">
        <v>94</v>
      </c>
      <c r="F37" s="389" t="s">
        <v>60</v>
      </c>
      <c r="G37" s="387" t="s">
        <v>3</v>
      </c>
      <c r="H37" s="387" t="s">
        <v>6</v>
      </c>
      <c r="I37" s="388" t="s">
        <v>7</v>
      </c>
      <c r="J37" s="389" t="s">
        <v>95</v>
      </c>
      <c r="K37" s="389" t="s">
        <v>61</v>
      </c>
      <c r="L37" s="22" t="s">
        <v>37</v>
      </c>
      <c r="M37" s="22" t="s">
        <v>38</v>
      </c>
      <c r="W37" s="123">
        <v>42716</v>
      </c>
      <c r="X37" s="41">
        <v>67.400000000000006</v>
      </c>
      <c r="Y37" s="41">
        <v>68.510000000000005</v>
      </c>
      <c r="Z37" s="41">
        <v>66.89</v>
      </c>
      <c r="AA37" s="41">
        <v>68.16</v>
      </c>
      <c r="AB37" s="104">
        <v>4194800</v>
      </c>
      <c r="AC37" s="9">
        <v>68.16</v>
      </c>
      <c r="AD37" s="2">
        <f t="shared" si="0"/>
        <v>1.6200000000000045</v>
      </c>
      <c r="AE37" s="138">
        <f t="shared" si="1"/>
        <v>-1.9562715765247374E-2</v>
      </c>
    </row>
    <row r="38" spans="1:41" x14ac:dyDescent="0.25">
      <c r="A38" s="390" t="s">
        <v>8</v>
      </c>
      <c r="B38" s="380">
        <v>42375</v>
      </c>
      <c r="C38" s="385">
        <v>40</v>
      </c>
      <c r="D38" s="386">
        <v>52.4</v>
      </c>
      <c r="E38" s="382">
        <v>0</v>
      </c>
      <c r="F38" s="382">
        <f>C38*D38+E38</f>
        <v>2096</v>
      </c>
      <c r="G38" s="380">
        <v>42416</v>
      </c>
      <c r="H38" s="385">
        <v>40</v>
      </c>
      <c r="I38" s="386">
        <v>55.45</v>
      </c>
      <c r="J38" s="382">
        <v>0.05</v>
      </c>
      <c r="K38" s="382">
        <f>H38*I38-J38</f>
        <v>2217.9499999999998</v>
      </c>
      <c r="L38" s="381"/>
      <c r="M38" s="381"/>
      <c r="W38" s="123">
        <v>42713</v>
      </c>
      <c r="X38" s="41">
        <v>69.58</v>
      </c>
      <c r="Y38" s="41">
        <v>70</v>
      </c>
      <c r="Z38" s="41">
        <v>69.25</v>
      </c>
      <c r="AA38" s="41">
        <v>69.52</v>
      </c>
      <c r="AB38" s="104">
        <v>1701000</v>
      </c>
      <c r="AC38" s="9">
        <v>69.52</v>
      </c>
      <c r="AD38" s="2">
        <f t="shared" si="0"/>
        <v>0.75</v>
      </c>
      <c r="AE38" s="138">
        <f t="shared" si="1"/>
        <v>-4.7244094488189115E-3</v>
      </c>
    </row>
    <row r="39" spans="1:41" x14ac:dyDescent="0.25">
      <c r="A39" s="391"/>
      <c r="B39" s="380"/>
      <c r="C39" s="385"/>
      <c r="D39" s="386"/>
      <c r="E39" s="382"/>
      <c r="F39" s="382"/>
      <c r="G39" s="380"/>
      <c r="H39" s="385"/>
      <c r="I39" s="386"/>
      <c r="J39" s="382"/>
      <c r="K39" s="382"/>
      <c r="L39" s="381"/>
      <c r="M39" s="381"/>
      <c r="W39" s="123">
        <v>42712</v>
      </c>
      <c r="X39" s="41">
        <v>69.19</v>
      </c>
      <c r="Y39" s="41">
        <v>69.92</v>
      </c>
      <c r="Z39" s="41">
        <v>68.56</v>
      </c>
      <c r="AA39" s="41">
        <v>69.849999999999994</v>
      </c>
      <c r="AB39" s="104">
        <v>984400</v>
      </c>
      <c r="AC39" s="9">
        <v>69.849999999999994</v>
      </c>
      <c r="AD39" s="2">
        <f t="shared" si="0"/>
        <v>1.3599999999999994</v>
      </c>
      <c r="AE39" s="138">
        <f t="shared" si="1"/>
        <v>9.9768652400231694E-3</v>
      </c>
    </row>
    <row r="40" spans="1:41" x14ac:dyDescent="0.25">
      <c r="A40" s="381"/>
      <c r="B40" s="380"/>
      <c r="C40" s="385"/>
      <c r="D40" s="386"/>
      <c r="E40" s="382"/>
      <c r="F40" s="382"/>
      <c r="G40" s="380"/>
      <c r="H40" s="385"/>
      <c r="I40" s="386"/>
      <c r="J40" s="382"/>
      <c r="K40" s="382"/>
      <c r="L40" s="381"/>
      <c r="M40" s="381"/>
      <c r="W40" s="123">
        <v>42711</v>
      </c>
      <c r="X40" s="41">
        <v>67.459999999999994</v>
      </c>
      <c r="Y40" s="41">
        <v>69.22</v>
      </c>
      <c r="Z40" s="41">
        <v>67.33</v>
      </c>
      <c r="AA40" s="41">
        <v>69.16</v>
      </c>
      <c r="AB40" s="104">
        <v>1006100</v>
      </c>
      <c r="AC40" s="9">
        <v>69.16</v>
      </c>
      <c r="AD40" s="2">
        <f t="shared" si="0"/>
        <v>1.8900000000000006</v>
      </c>
      <c r="AE40" s="138" t="e">
        <f t="shared" si="1"/>
        <v>#DIV/0!</v>
      </c>
    </row>
    <row r="41" spans="1:41" x14ac:dyDescent="0.25">
      <c r="A41" s="381"/>
      <c r="B41" s="380"/>
      <c r="C41" s="385"/>
      <c r="D41" s="386"/>
      <c r="E41" s="382"/>
      <c r="F41" s="382"/>
      <c r="G41" s="380"/>
      <c r="H41" s="385"/>
      <c r="I41" s="386"/>
      <c r="J41" s="382"/>
      <c r="K41" s="382"/>
      <c r="L41" s="381"/>
      <c r="M41" s="381"/>
      <c r="W41" s="123">
        <v>42711</v>
      </c>
      <c r="X41" s="41" t="s">
        <v>347</v>
      </c>
      <c r="Y41" s="41"/>
      <c r="Z41" s="41"/>
      <c r="AA41" s="41"/>
      <c r="AB41" s="104"/>
      <c r="AC41" s="9"/>
      <c r="AD41" s="2">
        <f t="shared" si="0"/>
        <v>0</v>
      </c>
      <c r="AE41" s="138">
        <f t="shared" si="1"/>
        <v>-1</v>
      </c>
      <c r="AL41" s="234"/>
      <c r="AO41" s="234"/>
    </row>
    <row r="42" spans="1:41" ht="20.25" thickBot="1" x14ac:dyDescent="0.35">
      <c r="A42" s="381"/>
      <c r="B42" s="380"/>
      <c r="C42" s="385"/>
      <c r="D42" s="386"/>
      <c r="E42" s="382"/>
      <c r="F42" s="382"/>
      <c r="G42" s="380"/>
      <c r="H42" s="385"/>
      <c r="I42" s="386"/>
      <c r="J42" s="382"/>
      <c r="K42" s="382"/>
      <c r="L42" s="381"/>
      <c r="M42" s="381"/>
      <c r="O42" s="374" t="s">
        <v>78</v>
      </c>
      <c r="P42" s="374"/>
      <c r="T42" s="105" t="s">
        <v>92</v>
      </c>
      <c r="U42" s="109"/>
      <c r="W42" s="123">
        <v>42710</v>
      </c>
      <c r="X42" s="41">
        <v>67.5</v>
      </c>
      <c r="Y42" s="41">
        <v>67.849999999999994</v>
      </c>
      <c r="Z42" s="41">
        <v>67.22</v>
      </c>
      <c r="AA42" s="41">
        <v>67.7</v>
      </c>
      <c r="AB42" s="104">
        <v>814800</v>
      </c>
      <c r="AC42" s="9">
        <v>67.42</v>
      </c>
      <c r="AD42" s="2">
        <f t="shared" si="0"/>
        <v>0.62999999999999545</v>
      </c>
      <c r="AE42" s="138">
        <f t="shared" si="1"/>
        <v>-1.0371906949177001E-3</v>
      </c>
    </row>
    <row r="43" spans="1:41" ht="15.75" thickTop="1" x14ac:dyDescent="0.25">
      <c r="A43" s="381"/>
      <c r="B43" s="380"/>
      <c r="C43" s="385"/>
      <c r="D43" s="386"/>
      <c r="E43" s="382"/>
      <c r="F43" s="382"/>
      <c r="G43" s="380"/>
      <c r="H43" s="385"/>
      <c r="I43" s="386"/>
      <c r="J43" s="382"/>
      <c r="K43" s="382"/>
      <c r="L43" s="381"/>
      <c r="M43" s="381"/>
      <c r="O43" s="83">
        <v>1.1000000000000001</v>
      </c>
      <c r="P43" s="83">
        <f t="shared" ref="P43:P63" si="2">O43*$Q$4</f>
        <v>76.251999999999995</v>
      </c>
      <c r="T43" s="139" t="s">
        <v>98</v>
      </c>
      <c r="U43" s="140">
        <v>69.069999999999993</v>
      </c>
      <c r="W43" s="123">
        <v>42709</v>
      </c>
      <c r="X43" s="41">
        <v>67.650000000000006</v>
      </c>
      <c r="Y43" s="41">
        <v>68.209999999999994</v>
      </c>
      <c r="Z43" s="41">
        <v>67.48</v>
      </c>
      <c r="AA43" s="41">
        <v>67.77</v>
      </c>
      <c r="AB43" s="104">
        <v>778100</v>
      </c>
      <c r="AC43" s="9">
        <v>67.489999999999995</v>
      </c>
      <c r="AD43" s="2">
        <f t="shared" si="0"/>
        <v>0.72999999999998977</v>
      </c>
      <c r="AE43" s="138">
        <f t="shared" si="1"/>
        <v>4.6144685918425576E-3</v>
      </c>
    </row>
    <row r="44" spans="1:41" x14ac:dyDescent="0.25">
      <c r="A44" s="381"/>
      <c r="B44" s="380"/>
      <c r="C44" s="385"/>
      <c r="D44" s="386"/>
      <c r="E44" s="382"/>
      <c r="F44" s="382"/>
      <c r="G44" s="380"/>
      <c r="H44" s="385"/>
      <c r="I44" s="386"/>
      <c r="J44" s="382"/>
      <c r="K44" s="382"/>
      <c r="L44" s="381"/>
      <c r="M44" s="381"/>
      <c r="O44" s="83">
        <v>1.0900000000000001</v>
      </c>
      <c r="P44" s="83">
        <f t="shared" si="2"/>
        <v>75.558800000000005</v>
      </c>
      <c r="T44" s="108" t="s">
        <v>99</v>
      </c>
      <c r="U44" s="106">
        <v>69.239999999999995</v>
      </c>
      <c r="W44" s="123">
        <v>42706</v>
      </c>
      <c r="X44" s="41">
        <v>67.78</v>
      </c>
      <c r="Y44" s="41">
        <v>68.06</v>
      </c>
      <c r="Z44" s="41">
        <v>67.239999999999995</v>
      </c>
      <c r="AA44" s="41">
        <v>67.459999999999994</v>
      </c>
      <c r="AB44" s="104">
        <v>697000</v>
      </c>
      <c r="AC44" s="9">
        <v>67.180000000000007</v>
      </c>
      <c r="AD44" s="2">
        <f t="shared" si="0"/>
        <v>0.82000000000000739</v>
      </c>
      <c r="AE44" s="138">
        <f t="shared" si="1"/>
        <v>-4.2982066103451899E-3</v>
      </c>
    </row>
    <row r="45" spans="1:41" x14ac:dyDescent="0.25">
      <c r="A45" s="381"/>
      <c r="B45" s="381"/>
      <c r="C45" s="381"/>
      <c r="D45" s="386"/>
      <c r="E45" s="382"/>
      <c r="F45" s="382"/>
      <c r="G45" s="381"/>
      <c r="H45" s="381"/>
      <c r="I45" s="386"/>
      <c r="J45" s="382"/>
      <c r="K45" s="382"/>
      <c r="L45" s="381"/>
      <c r="M45" s="381"/>
      <c r="O45" s="83">
        <v>1.08</v>
      </c>
      <c r="P45" s="83">
        <f t="shared" si="2"/>
        <v>74.865600000000001</v>
      </c>
      <c r="Q45" s="2"/>
      <c r="T45" s="108" t="s">
        <v>100</v>
      </c>
      <c r="U45" s="106" t="s">
        <v>129</v>
      </c>
      <c r="W45" s="123">
        <v>42705</v>
      </c>
      <c r="X45" s="41">
        <v>66.819999999999993</v>
      </c>
      <c r="Y45" s="41">
        <v>67.87</v>
      </c>
      <c r="Z45" s="41">
        <v>66.819999999999993</v>
      </c>
      <c r="AA45" s="41">
        <v>67.75</v>
      </c>
      <c r="AB45" s="104">
        <v>861700</v>
      </c>
      <c r="AC45" s="9">
        <v>67.47</v>
      </c>
      <c r="AD45" s="2">
        <f t="shared" si="0"/>
        <v>1.0500000000000114</v>
      </c>
      <c r="AE45" s="138">
        <f t="shared" si="1"/>
        <v>1.3824192336589158E-2</v>
      </c>
      <c r="AL45" s="234"/>
      <c r="AO45" s="234"/>
    </row>
    <row r="46" spans="1:41" x14ac:dyDescent="0.25">
      <c r="A46" s="381"/>
      <c r="B46" s="381"/>
      <c r="C46" s="381"/>
      <c r="D46" s="386"/>
      <c r="E46" s="382"/>
      <c r="F46" s="382"/>
      <c r="G46" s="381"/>
      <c r="H46" s="381"/>
      <c r="I46" s="386"/>
      <c r="J46" s="382"/>
      <c r="K46" s="382"/>
      <c r="L46" s="381"/>
      <c r="M46" s="381"/>
      <c r="O46" s="83">
        <v>1.07</v>
      </c>
      <c r="P46" s="83">
        <f t="shared" si="2"/>
        <v>74.172399999999996</v>
      </c>
      <c r="Q46" s="2"/>
      <c r="T46" s="108" t="s">
        <v>101</v>
      </c>
      <c r="U46" s="106" t="s">
        <v>129</v>
      </c>
      <c r="W46" s="123">
        <v>42704</v>
      </c>
      <c r="X46" s="41">
        <v>67.11</v>
      </c>
      <c r="Y46" s="41">
        <v>67.599999999999994</v>
      </c>
      <c r="Z46" s="41">
        <v>66.790000000000006</v>
      </c>
      <c r="AA46" s="41">
        <v>66.83</v>
      </c>
      <c r="AB46" s="104">
        <v>1552700</v>
      </c>
      <c r="AC46" s="9">
        <v>66.55</v>
      </c>
      <c r="AD46" s="2">
        <f t="shared" si="0"/>
        <v>0.80999999999998806</v>
      </c>
      <c r="AE46" s="138">
        <f t="shared" si="1"/>
        <v>6.0141332130503322E-4</v>
      </c>
    </row>
    <row r="47" spans="1:41" x14ac:dyDescent="0.25">
      <c r="A47" s="381"/>
      <c r="B47" s="381"/>
      <c r="C47" s="381"/>
      <c r="D47" s="386"/>
      <c r="E47" s="382"/>
      <c r="F47" s="382"/>
      <c r="G47" s="381"/>
      <c r="H47" s="381"/>
      <c r="I47" s="386"/>
      <c r="J47" s="382"/>
      <c r="K47" s="382"/>
      <c r="L47" s="381"/>
      <c r="M47" s="381"/>
      <c r="O47" s="83">
        <v>1.06</v>
      </c>
      <c r="P47" s="83">
        <f t="shared" si="2"/>
        <v>73.479199999999992</v>
      </c>
      <c r="Q47" s="2"/>
      <c r="T47" s="108" t="s">
        <v>102</v>
      </c>
      <c r="U47" s="106">
        <v>70.83</v>
      </c>
      <c r="W47" s="123">
        <v>42703</v>
      </c>
      <c r="X47" s="41">
        <v>66.45</v>
      </c>
      <c r="Y47" s="41">
        <v>67.17</v>
      </c>
      <c r="Z47" s="41">
        <v>66.22</v>
      </c>
      <c r="AA47" s="41">
        <v>66.790000000000006</v>
      </c>
      <c r="AB47" s="104">
        <v>737900</v>
      </c>
      <c r="AC47" s="9">
        <v>66.510000000000005</v>
      </c>
      <c r="AD47" s="2">
        <f t="shared" si="0"/>
        <v>0.95000000000000284</v>
      </c>
      <c r="AE47" s="138">
        <f t="shared" si="1"/>
        <v>2.4114544084401501E-3</v>
      </c>
    </row>
    <row r="48" spans="1:41" x14ac:dyDescent="0.25">
      <c r="A48" s="381"/>
      <c r="B48" s="381"/>
      <c r="C48" s="381"/>
      <c r="D48" s="386"/>
      <c r="E48" s="382"/>
      <c r="F48" s="382"/>
      <c r="G48" s="381"/>
      <c r="H48" s="381"/>
      <c r="I48" s="386"/>
      <c r="J48" s="382"/>
      <c r="K48" s="382"/>
      <c r="L48" s="381"/>
      <c r="M48" s="381"/>
      <c r="O48" s="83">
        <v>1.05</v>
      </c>
      <c r="P48" s="83">
        <f t="shared" si="2"/>
        <v>72.786000000000001</v>
      </c>
      <c r="Q48" s="2"/>
      <c r="T48" s="108" t="s">
        <v>103</v>
      </c>
      <c r="U48" s="106">
        <v>1.18781</v>
      </c>
      <c r="W48" s="123">
        <v>42702</v>
      </c>
      <c r="X48" s="41">
        <v>66.75</v>
      </c>
      <c r="Y48" s="41">
        <v>66.91</v>
      </c>
      <c r="Z48" s="41">
        <v>66.42</v>
      </c>
      <c r="AA48" s="41">
        <v>66.63</v>
      </c>
      <c r="AB48" s="104">
        <v>867200</v>
      </c>
      <c r="AC48" s="9">
        <v>66.349999999999994</v>
      </c>
      <c r="AD48" s="2">
        <f t="shared" si="0"/>
        <v>0.48999999999999488</v>
      </c>
      <c r="AE48" s="138">
        <f t="shared" si="1"/>
        <v>-1.3546056592415034E-3</v>
      </c>
    </row>
    <row r="49" spans="1:42" x14ac:dyDescent="0.25">
      <c r="A49" s="381"/>
      <c r="B49" s="381"/>
      <c r="C49" s="381"/>
      <c r="D49" s="386"/>
      <c r="E49" s="382"/>
      <c r="F49" s="382"/>
      <c r="G49" s="381"/>
      <c r="H49" s="381"/>
      <c r="I49" s="386"/>
      <c r="J49" s="382"/>
      <c r="K49" s="382"/>
      <c r="L49" s="381"/>
      <c r="M49" s="381"/>
      <c r="O49" s="83">
        <v>1.04</v>
      </c>
      <c r="P49" s="83">
        <f t="shared" si="2"/>
        <v>72.092799999999997</v>
      </c>
      <c r="Q49" s="2"/>
      <c r="T49" s="108" t="s">
        <v>104</v>
      </c>
      <c r="U49" s="106" t="s">
        <v>129</v>
      </c>
      <c r="W49" s="123">
        <v>42699</v>
      </c>
      <c r="X49" s="41">
        <v>66.16</v>
      </c>
      <c r="Y49" s="41">
        <v>66.900000000000006</v>
      </c>
      <c r="Z49" s="41">
        <v>65.959999999999994</v>
      </c>
      <c r="AA49" s="41">
        <v>66.72</v>
      </c>
      <c r="AB49" s="104">
        <v>299800</v>
      </c>
      <c r="AC49" s="9">
        <v>66.44</v>
      </c>
      <c r="AD49" s="2">
        <f t="shared" si="0"/>
        <v>0.94000000000001194</v>
      </c>
      <c r="AE49" s="138">
        <f t="shared" si="1"/>
        <v>1.0187015356545537E-2</v>
      </c>
    </row>
    <row r="50" spans="1:42" x14ac:dyDescent="0.25">
      <c r="A50" s="381"/>
      <c r="B50" s="381"/>
      <c r="C50" s="381"/>
      <c r="D50" s="386"/>
      <c r="E50" s="382"/>
      <c r="F50" s="382"/>
      <c r="G50" s="381"/>
      <c r="H50" s="381"/>
      <c r="I50" s="386"/>
      <c r="J50" s="382"/>
      <c r="K50" s="382"/>
      <c r="L50" s="381"/>
      <c r="M50" s="381"/>
      <c r="O50" s="83">
        <v>1.03</v>
      </c>
      <c r="P50" s="83">
        <f t="shared" si="2"/>
        <v>71.399599999999992</v>
      </c>
      <c r="Q50" s="2"/>
      <c r="T50" s="108"/>
      <c r="U50" s="106"/>
      <c r="W50" s="123">
        <v>42697</v>
      </c>
      <c r="X50" s="41">
        <v>65.73</v>
      </c>
      <c r="Y50" s="41">
        <v>66.180000000000007</v>
      </c>
      <c r="Z50" s="41">
        <v>65.7</v>
      </c>
      <c r="AA50" s="41">
        <v>66.05</v>
      </c>
      <c r="AB50" s="104">
        <v>491900</v>
      </c>
      <c r="AC50" s="9">
        <v>65.77</v>
      </c>
      <c r="AD50" s="2">
        <f t="shared" si="0"/>
        <v>0.48000000000000398</v>
      </c>
      <c r="AE50" s="138">
        <f t="shared" si="1"/>
        <v>-7.5964752354906739E-4</v>
      </c>
    </row>
    <row r="51" spans="1:42" x14ac:dyDescent="0.25">
      <c r="A51" s="381"/>
      <c r="B51" s="381"/>
      <c r="C51" s="381"/>
      <c r="D51" s="386"/>
      <c r="E51" s="382"/>
      <c r="F51" s="382"/>
      <c r="G51" s="381"/>
      <c r="H51" s="381"/>
      <c r="I51" s="386"/>
      <c r="J51" s="382"/>
      <c r="K51" s="382"/>
      <c r="L51" s="381"/>
      <c r="M51" s="381"/>
      <c r="O51" s="83">
        <v>1.02</v>
      </c>
      <c r="P51" s="83">
        <f t="shared" si="2"/>
        <v>70.706399999999988</v>
      </c>
      <c r="Q51" s="2"/>
      <c r="T51" s="108" t="s">
        <v>105</v>
      </c>
      <c r="U51" s="106" t="s">
        <v>616</v>
      </c>
      <c r="W51" s="123">
        <v>42696</v>
      </c>
      <c r="X51" s="41">
        <v>66.209999999999994</v>
      </c>
      <c r="Y51" s="41">
        <v>66.34</v>
      </c>
      <c r="Z51" s="41">
        <v>65.900000000000006</v>
      </c>
      <c r="AA51" s="41">
        <v>66.099999999999994</v>
      </c>
      <c r="AB51" s="104">
        <v>958200</v>
      </c>
      <c r="AC51" s="9">
        <v>65.819999999999993</v>
      </c>
      <c r="AD51" s="2">
        <f t="shared" si="0"/>
        <v>0.43999999999999773</v>
      </c>
      <c r="AE51" s="138">
        <f>AC51/AC52-1</f>
        <v>1.8264840182646847E-3</v>
      </c>
    </row>
    <row r="52" spans="1:42" x14ac:dyDescent="0.25">
      <c r="A52" s="381"/>
      <c r="B52" s="381"/>
      <c r="C52" s="381"/>
      <c r="D52" s="386"/>
      <c r="E52" s="382"/>
      <c r="F52" s="382"/>
      <c r="G52" s="381"/>
      <c r="H52" s="381"/>
      <c r="I52" s="386"/>
      <c r="J52" s="382"/>
      <c r="K52" s="382"/>
      <c r="L52" s="381"/>
      <c r="M52" s="381"/>
      <c r="O52" s="83">
        <v>1.01</v>
      </c>
      <c r="P52" s="83">
        <f t="shared" si="2"/>
        <v>70.013199999999998</v>
      </c>
      <c r="Q52" s="2"/>
      <c r="T52" s="108" t="s">
        <v>106</v>
      </c>
      <c r="U52" s="106" t="s">
        <v>617</v>
      </c>
      <c r="W52" s="123">
        <v>42695</v>
      </c>
      <c r="X52" s="41">
        <v>64.67</v>
      </c>
      <c r="Y52" s="41">
        <v>66.08</v>
      </c>
      <c r="Z52" s="41">
        <v>64.67</v>
      </c>
      <c r="AA52" s="41">
        <v>65.97</v>
      </c>
      <c r="AB52" s="104">
        <v>1405000</v>
      </c>
      <c r="AC52" s="9">
        <v>65.7</v>
      </c>
      <c r="AD52" s="2">
        <f t="shared" si="0"/>
        <v>1.4099999999999966</v>
      </c>
      <c r="AE52" s="138">
        <f t="shared" si="1"/>
        <v>2.4641297567061793E-2</v>
      </c>
    </row>
    <row r="53" spans="1:42" x14ac:dyDescent="0.25">
      <c r="A53" s="381"/>
      <c r="B53" s="381"/>
      <c r="C53" s="381"/>
      <c r="D53" s="386"/>
      <c r="E53" s="382"/>
      <c r="F53" s="382"/>
      <c r="G53" s="381"/>
      <c r="H53" s="381"/>
      <c r="I53" s="386"/>
      <c r="J53" s="382"/>
      <c r="K53" s="382"/>
      <c r="L53" s="381"/>
      <c r="M53" s="381"/>
      <c r="O53" s="83">
        <v>1</v>
      </c>
      <c r="P53" s="83">
        <f t="shared" si="2"/>
        <v>69.319999999999993</v>
      </c>
      <c r="Q53" s="2"/>
      <c r="T53" s="108" t="s">
        <v>107</v>
      </c>
      <c r="U53" s="107">
        <v>1278700</v>
      </c>
      <c r="W53" s="123">
        <v>42692</v>
      </c>
      <c r="X53" s="41">
        <v>63.93</v>
      </c>
      <c r="Y53" s="41">
        <v>64.47</v>
      </c>
      <c r="Z53" s="41">
        <v>63.71</v>
      </c>
      <c r="AA53" s="41">
        <v>64.39</v>
      </c>
      <c r="AB53" s="104">
        <v>676400</v>
      </c>
      <c r="AC53" s="9">
        <v>64.12</v>
      </c>
      <c r="AD53" s="2">
        <f t="shared" si="0"/>
        <v>0.75999999999999801</v>
      </c>
      <c r="AE53" s="138">
        <f t="shared" si="1"/>
        <v>3.2858707557503752E-3</v>
      </c>
      <c r="AL53" s="234"/>
      <c r="AO53" s="234"/>
    </row>
    <row r="54" spans="1:42" x14ac:dyDescent="0.25">
      <c r="A54" s="22" t="s">
        <v>81</v>
      </c>
      <c r="B54" s="12"/>
      <c r="C54" s="77">
        <f>SUM(C38:C44)</f>
        <v>40</v>
      </c>
      <c r="D54" s="13"/>
      <c r="E54" s="13"/>
      <c r="F54" s="13">
        <f>SUM(F38:F44)</f>
        <v>2096</v>
      </c>
      <c r="G54" s="13"/>
      <c r="H54" s="77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3">
        <v>0.99</v>
      </c>
      <c r="P54" s="83">
        <f t="shared" si="2"/>
        <v>68.626799999999989</v>
      </c>
      <c r="Q54" s="2"/>
      <c r="T54" s="108" t="s">
        <v>110</v>
      </c>
      <c r="U54" s="107">
        <v>1081940</v>
      </c>
      <c r="W54" s="123">
        <v>42691</v>
      </c>
      <c r="X54" s="41">
        <v>63.58</v>
      </c>
      <c r="Y54" s="41">
        <v>64.47</v>
      </c>
      <c r="Z54" s="41">
        <v>63.41</v>
      </c>
      <c r="AA54" s="41">
        <v>64.180000000000007</v>
      </c>
      <c r="AB54" s="104">
        <v>1019700</v>
      </c>
      <c r="AC54" s="9">
        <v>63.91</v>
      </c>
      <c r="AD54" s="2">
        <f t="shared" si="0"/>
        <v>1.0600000000000023</v>
      </c>
      <c r="AE54" s="138">
        <f t="shared" si="1"/>
        <v>1.075438873952228E-2</v>
      </c>
    </row>
    <row r="55" spans="1:42" x14ac:dyDescent="0.25">
      <c r="O55" s="83">
        <v>0.98</v>
      </c>
      <c r="P55" s="83">
        <f t="shared" si="2"/>
        <v>67.933599999999998</v>
      </c>
      <c r="T55" s="108" t="s">
        <v>108</v>
      </c>
      <c r="U55" s="106" t="s">
        <v>618</v>
      </c>
      <c r="W55" s="123">
        <v>42690</v>
      </c>
      <c r="X55" s="41">
        <v>63.88</v>
      </c>
      <c r="Y55" s="41">
        <v>64</v>
      </c>
      <c r="Z55" s="41">
        <v>63.19</v>
      </c>
      <c r="AA55" s="41">
        <v>63.49</v>
      </c>
      <c r="AB55" s="104">
        <v>936100</v>
      </c>
      <c r="AC55" s="9">
        <v>63.23</v>
      </c>
      <c r="AD55" s="2">
        <f t="shared" si="0"/>
        <v>0.81000000000000227</v>
      </c>
      <c r="AE55" s="138">
        <f t="shared" si="1"/>
        <v>-1.2956603184514637E-2</v>
      </c>
    </row>
    <row r="56" spans="1:42" x14ac:dyDescent="0.25">
      <c r="O56" s="83">
        <v>0.97</v>
      </c>
      <c r="P56" s="83">
        <f t="shared" si="2"/>
        <v>67.240399999999994</v>
      </c>
      <c r="T56" s="108" t="s">
        <v>111</v>
      </c>
      <c r="U56" s="106">
        <v>19.34</v>
      </c>
      <c r="W56" s="123">
        <v>42689</v>
      </c>
      <c r="X56" s="41">
        <v>63.98</v>
      </c>
      <c r="Y56" s="41">
        <v>64.45</v>
      </c>
      <c r="Z56" s="41">
        <v>63.49</v>
      </c>
      <c r="AA56" s="41">
        <v>64.33</v>
      </c>
      <c r="AB56" s="104">
        <v>894600</v>
      </c>
      <c r="AC56" s="9">
        <v>64.06</v>
      </c>
      <c r="AD56" s="2">
        <f t="shared" si="0"/>
        <v>0.96000000000000085</v>
      </c>
      <c r="AE56" s="138">
        <f t="shared" si="1"/>
        <v>9.1367359798362191E-3</v>
      </c>
    </row>
    <row r="57" spans="1:42" x14ac:dyDescent="0.25">
      <c r="O57" s="83">
        <v>0.96</v>
      </c>
      <c r="P57" s="83">
        <f t="shared" si="2"/>
        <v>66.547199999999989</v>
      </c>
      <c r="T57" s="108" t="s">
        <v>112</v>
      </c>
      <c r="U57" s="106">
        <v>3.56</v>
      </c>
      <c r="W57" s="123">
        <v>42688</v>
      </c>
      <c r="X57" s="41">
        <v>63.58</v>
      </c>
      <c r="Y57" s="41">
        <v>63.89</v>
      </c>
      <c r="Z57" s="41">
        <v>62.97</v>
      </c>
      <c r="AA57" s="41">
        <v>63.75</v>
      </c>
      <c r="AB57" s="104">
        <v>1770600</v>
      </c>
      <c r="AC57" s="9">
        <v>63.48</v>
      </c>
      <c r="AD57" s="2">
        <f t="shared" si="0"/>
        <v>0.92000000000000171</v>
      </c>
      <c r="AE57" s="138">
        <f t="shared" si="1"/>
        <v>7.7790125416732359E-3</v>
      </c>
      <c r="AL57" s="234"/>
      <c r="AO57" s="234"/>
    </row>
    <row r="58" spans="1:42" x14ac:dyDescent="0.25">
      <c r="O58" s="83">
        <v>0.95</v>
      </c>
      <c r="P58" s="83">
        <f t="shared" si="2"/>
        <v>65.853999999999985</v>
      </c>
      <c r="T58" s="108" t="s">
        <v>109</v>
      </c>
      <c r="U58" s="106" t="s">
        <v>371</v>
      </c>
      <c r="W58" s="123">
        <v>42685</v>
      </c>
      <c r="X58" s="41">
        <v>64.41</v>
      </c>
      <c r="Y58" s="41">
        <v>64.72</v>
      </c>
      <c r="Z58" s="41">
        <v>62.97</v>
      </c>
      <c r="AA58" s="41">
        <v>63.25</v>
      </c>
      <c r="AB58" s="104">
        <v>1163200</v>
      </c>
      <c r="AC58" s="9">
        <v>62.99</v>
      </c>
      <c r="AD58" s="2">
        <f t="shared" si="0"/>
        <v>1.75</v>
      </c>
      <c r="AE58" s="138">
        <f t="shared" si="1"/>
        <v>-2.250155183116076E-2</v>
      </c>
    </row>
    <row r="59" spans="1:42" x14ac:dyDescent="0.25">
      <c r="O59" s="83">
        <v>0.94</v>
      </c>
      <c r="P59" s="83">
        <f t="shared" si="2"/>
        <v>65.160799999999995</v>
      </c>
      <c r="W59" s="123">
        <v>42684</v>
      </c>
      <c r="X59" s="41">
        <v>63.48</v>
      </c>
      <c r="Y59" s="41">
        <v>65.13</v>
      </c>
      <c r="Z59" s="41">
        <v>62.89</v>
      </c>
      <c r="AA59" s="41">
        <v>64.709999999999994</v>
      </c>
      <c r="AB59" s="104">
        <v>1533300</v>
      </c>
      <c r="AC59" s="9">
        <v>64.44</v>
      </c>
      <c r="AD59" s="2">
        <f t="shared" si="0"/>
        <v>2.2399999999999949</v>
      </c>
      <c r="AE59" s="138">
        <f t="shared" si="1"/>
        <v>2.2045995241871452E-2</v>
      </c>
      <c r="AL59" s="234"/>
    </row>
    <row r="60" spans="1:42" x14ac:dyDescent="0.25">
      <c r="O60" s="83">
        <v>0.93</v>
      </c>
      <c r="P60" s="83">
        <f t="shared" si="2"/>
        <v>64.46759999999999</v>
      </c>
      <c r="W60" s="123">
        <v>42683</v>
      </c>
      <c r="X60" s="41">
        <v>62.49</v>
      </c>
      <c r="Y60" s="41">
        <v>63.48</v>
      </c>
      <c r="Z60" s="41">
        <v>62.38</v>
      </c>
      <c r="AA60" s="41">
        <v>63.31</v>
      </c>
      <c r="AB60" s="104">
        <v>1546200</v>
      </c>
      <c r="AC60" s="9">
        <v>63.05</v>
      </c>
      <c r="AD60" s="2">
        <f t="shared" si="0"/>
        <v>1.0999999999999943</v>
      </c>
      <c r="AE60" s="138">
        <f t="shared" si="1"/>
        <v>-9.5821551994973442E-3</v>
      </c>
    </row>
    <row r="61" spans="1:42" x14ac:dyDescent="0.25">
      <c r="O61" s="83">
        <v>0.92</v>
      </c>
      <c r="P61" s="83">
        <f t="shared" si="2"/>
        <v>63.7744</v>
      </c>
      <c r="W61" s="123">
        <v>42682</v>
      </c>
      <c r="X61" s="41">
        <v>63.49</v>
      </c>
      <c r="Y61" s="41">
        <v>64</v>
      </c>
      <c r="Z61" s="41">
        <v>62.93</v>
      </c>
      <c r="AA61" s="41">
        <v>63.93</v>
      </c>
      <c r="AB61" s="104">
        <v>797400</v>
      </c>
      <c r="AC61" s="9">
        <v>63.66</v>
      </c>
      <c r="AD61" s="2">
        <f t="shared" si="0"/>
        <v>1.0700000000000003</v>
      </c>
      <c r="AE61" s="138">
        <f t="shared" si="1"/>
        <v>6.3231109705974564E-3</v>
      </c>
      <c r="AL61" s="234"/>
      <c r="AO61" s="234"/>
    </row>
    <row r="62" spans="1:42" x14ac:dyDescent="0.25">
      <c r="O62" s="83">
        <v>0.91</v>
      </c>
      <c r="P62" s="83">
        <f t="shared" si="2"/>
        <v>63.081199999999995</v>
      </c>
      <c r="W62" s="123">
        <v>42681</v>
      </c>
      <c r="X62" s="41">
        <v>62.48</v>
      </c>
      <c r="Y62" s="41">
        <v>63.55</v>
      </c>
      <c r="Z62" s="41">
        <v>62.48</v>
      </c>
      <c r="AA62" s="41">
        <v>63.52</v>
      </c>
      <c r="AB62" s="104">
        <v>812200</v>
      </c>
      <c r="AC62" s="9">
        <v>63.26</v>
      </c>
      <c r="AD62" s="2">
        <f t="shared" si="0"/>
        <v>1.0700000000000003</v>
      </c>
      <c r="AE62" s="138">
        <f t="shared" si="1"/>
        <v>2.5449829794131906E-2</v>
      </c>
    </row>
    <row r="63" spans="1:42" x14ac:dyDescent="0.25">
      <c r="O63" s="83">
        <v>0.9</v>
      </c>
      <c r="P63" s="83">
        <f t="shared" si="2"/>
        <v>62.387999999999998</v>
      </c>
      <c r="W63" s="123">
        <v>42678</v>
      </c>
      <c r="X63" s="41">
        <v>62.26</v>
      </c>
      <c r="Y63" s="41">
        <v>62.48</v>
      </c>
      <c r="Z63" s="41">
        <v>61.72</v>
      </c>
      <c r="AA63" s="41">
        <v>61.95</v>
      </c>
      <c r="AB63" s="104">
        <v>718100</v>
      </c>
      <c r="AC63" s="9">
        <v>61.69</v>
      </c>
      <c r="AD63" s="2">
        <f t="shared" si="0"/>
        <v>0.75999999999999801</v>
      </c>
      <c r="AE63" s="138">
        <f t="shared" si="1"/>
        <v>-6.602254428341392E-3</v>
      </c>
      <c r="AL63" s="234"/>
      <c r="AO63" s="234"/>
      <c r="AP63" s="234"/>
    </row>
    <row r="64" spans="1:42" x14ac:dyDescent="0.25">
      <c r="W64" s="123">
        <v>42677</v>
      </c>
      <c r="X64" s="41">
        <v>62.31</v>
      </c>
      <c r="Y64" s="41">
        <v>62.88</v>
      </c>
      <c r="Z64" s="41">
        <v>62.03</v>
      </c>
      <c r="AA64" s="41">
        <v>62.36</v>
      </c>
      <c r="AB64" s="104">
        <v>968300</v>
      </c>
      <c r="AC64" s="9">
        <v>62.1</v>
      </c>
      <c r="AD64" s="2">
        <f t="shared" si="0"/>
        <v>0.85000000000000142</v>
      </c>
      <c r="AE64" s="138">
        <f t="shared" si="1"/>
        <v>9.6711798839455021E-4</v>
      </c>
    </row>
    <row r="65" spans="23:41" x14ac:dyDescent="0.25">
      <c r="W65" s="123">
        <v>42676</v>
      </c>
      <c r="X65" s="41">
        <v>62.15</v>
      </c>
      <c r="Y65" s="41">
        <v>62.61</v>
      </c>
      <c r="Z65" s="41">
        <v>62.02</v>
      </c>
      <c r="AA65" s="41">
        <v>62.3</v>
      </c>
      <c r="AB65" s="104">
        <v>1051500</v>
      </c>
      <c r="AC65" s="9">
        <v>62.04</v>
      </c>
      <c r="AD65" s="2">
        <f t="shared" si="0"/>
        <v>0.58999999999999631</v>
      </c>
      <c r="AE65" s="138">
        <f t="shared" si="1"/>
        <v>3.5587188612098419E-3</v>
      </c>
      <c r="AL65" s="234"/>
      <c r="AO65" s="234"/>
    </row>
    <row r="66" spans="23:41" x14ac:dyDescent="0.25">
      <c r="W66" s="123">
        <v>42675</v>
      </c>
      <c r="X66" s="41">
        <v>63.02</v>
      </c>
      <c r="Y66" s="41">
        <v>63.11</v>
      </c>
      <c r="Z66" s="41">
        <v>61.85</v>
      </c>
      <c r="AA66" s="41">
        <v>62.08</v>
      </c>
      <c r="AB66" s="104">
        <v>1430800</v>
      </c>
      <c r="AC66" s="9">
        <v>61.82</v>
      </c>
      <c r="AD66" s="2">
        <f t="shared" si="0"/>
        <v>1.259999999999998</v>
      </c>
      <c r="AE66" s="138">
        <f t="shared" si="1"/>
        <v>-1.2617792684874618E-2</v>
      </c>
    </row>
    <row r="67" spans="23:41" x14ac:dyDescent="0.25">
      <c r="W67" s="123">
        <v>42674</v>
      </c>
      <c r="X67" s="41">
        <v>62.99</v>
      </c>
      <c r="Y67" s="41">
        <v>63.38</v>
      </c>
      <c r="Z67" s="41">
        <v>62.83</v>
      </c>
      <c r="AA67" s="41">
        <v>62.87</v>
      </c>
      <c r="AB67" s="104">
        <v>1134800</v>
      </c>
      <c r="AC67" s="9">
        <v>62.61</v>
      </c>
      <c r="AD67" s="2">
        <f>Y67-Z67</f>
        <v>0.55000000000000426</v>
      </c>
      <c r="AE67" s="138">
        <f>AC67/AC68-1</f>
        <v>-3.6600891152133164E-3</v>
      </c>
      <c r="AL67" s="234"/>
    </row>
    <row r="68" spans="23:41" x14ac:dyDescent="0.25">
      <c r="W68" s="123">
        <v>42671</v>
      </c>
      <c r="X68" s="41">
        <v>63.2</v>
      </c>
      <c r="Y68" s="41">
        <v>63.85</v>
      </c>
      <c r="Z68" s="41">
        <v>62.9</v>
      </c>
      <c r="AA68" s="41">
        <v>63.1</v>
      </c>
      <c r="AB68" s="104">
        <v>812700</v>
      </c>
      <c r="AC68" s="9">
        <v>62.84</v>
      </c>
      <c r="AD68" s="2">
        <f>Y68-Z68</f>
        <v>0.95000000000000284</v>
      </c>
      <c r="AE68" s="138" t="e">
        <f>AC68/AC69-1</f>
        <v>#DIV/0!</v>
      </c>
    </row>
    <row r="69" spans="23:41" x14ac:dyDescent="0.25">
      <c r="W69" s="30" t="s">
        <v>121</v>
      </c>
      <c r="AB69" s="235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447" priority="39">
      <formula>Q12&gt;0</formula>
    </cfRule>
    <cfRule type="expression" dxfId="446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445" priority="33">
      <formula>F25&gt;0</formula>
    </cfRule>
    <cfRule type="expression" dxfId="444" priority="34">
      <formula>F25&lt;0</formula>
    </cfRule>
  </conditionalFormatting>
  <conditionalFormatting sqref="F30">
    <cfRule type="expression" dxfId="443" priority="31">
      <formula>F30&gt;0</formula>
    </cfRule>
    <cfRule type="expression" dxfId="442" priority="32">
      <formula>F30&lt;0</formula>
    </cfRule>
  </conditionalFormatting>
  <conditionalFormatting sqref="F31">
    <cfRule type="expression" dxfId="441" priority="29">
      <formula>F31&gt;0</formula>
    </cfRule>
    <cfRule type="expression" dxfId="440" priority="30">
      <formula>F31&lt;0</formula>
    </cfRule>
  </conditionalFormatting>
  <conditionalFormatting sqref="F32:F34">
    <cfRule type="expression" dxfId="439" priority="27">
      <formula>F32&gt;0</formula>
    </cfRule>
    <cfRule type="expression" dxfId="438" priority="28">
      <formula>F32&lt;0</formula>
    </cfRule>
  </conditionalFormatting>
  <conditionalFormatting sqref="H25:H29">
    <cfRule type="expression" dxfId="437" priority="25">
      <formula>H25&gt;0</formula>
    </cfRule>
    <cfRule type="expression" dxfId="436" priority="26">
      <formula>H25&lt;0</formula>
    </cfRule>
  </conditionalFormatting>
  <conditionalFormatting sqref="H30">
    <cfRule type="expression" dxfId="435" priority="23">
      <formula>H30&gt;0</formula>
    </cfRule>
    <cfRule type="expression" dxfId="434" priority="24">
      <formula>H30&lt;0</formula>
    </cfRule>
  </conditionalFormatting>
  <conditionalFormatting sqref="H31">
    <cfRule type="expression" dxfId="433" priority="21">
      <formula>H31&gt;0</formula>
    </cfRule>
    <cfRule type="expression" dxfId="432" priority="22">
      <formula>H31&lt;0</formula>
    </cfRule>
  </conditionalFormatting>
  <conditionalFormatting sqref="H32:H34">
    <cfRule type="expression" dxfId="431" priority="19">
      <formula>H32&gt;0</formula>
    </cfRule>
    <cfRule type="expression" dxfId="430" priority="20">
      <formula>H32&lt;0</formula>
    </cfRule>
  </conditionalFormatting>
  <conditionalFormatting sqref="F35">
    <cfRule type="expression" dxfId="429" priority="17">
      <formula>F35&gt;0</formula>
    </cfRule>
    <cfRule type="expression" dxfId="428" priority="18">
      <formula>F35&lt;0</formula>
    </cfRule>
  </conditionalFormatting>
  <conditionalFormatting sqref="H35">
    <cfRule type="expression" dxfId="427" priority="15">
      <formula>H35&gt;0</formula>
    </cfRule>
    <cfRule type="expression" dxfId="426" priority="16">
      <formula>H35&lt;0</formula>
    </cfRule>
  </conditionalFormatting>
  <conditionalFormatting sqref="F36">
    <cfRule type="expression" dxfId="425" priority="13">
      <formula>F36&gt;0</formula>
    </cfRule>
    <cfRule type="expression" dxfId="424" priority="14">
      <formula>F36&lt;0</formula>
    </cfRule>
  </conditionalFormatting>
  <conditionalFormatting sqref="H36">
    <cfRule type="expression" dxfId="423" priority="11">
      <formula>H36&gt;0</formula>
    </cfRule>
    <cfRule type="expression" dxfId="422" priority="12">
      <formula>H36&lt;0</formula>
    </cfRule>
  </conditionalFormatting>
  <conditionalFormatting sqref="H23:H24">
    <cfRule type="expression" dxfId="421" priority="5">
      <formula>H23&gt;0</formula>
    </cfRule>
    <cfRule type="expression" dxfId="420" priority="6">
      <formula>H23&lt;0</formula>
    </cfRule>
  </conditionalFormatting>
  <conditionalFormatting sqref="F23:F24">
    <cfRule type="expression" dxfId="419" priority="7">
      <formula>F23&gt;0</formula>
    </cfRule>
    <cfRule type="expression" dxfId="418" priority="8">
      <formula>F23&lt;0</formula>
    </cfRule>
  </conditionalFormatting>
  <conditionalFormatting sqref="Q7">
    <cfRule type="expression" dxfId="417" priority="3">
      <formula>Q7&gt;0</formula>
    </cfRule>
    <cfRule type="expression" dxfId="416" priority="4">
      <formula>Q7&lt;0</formula>
    </cfRule>
  </conditionalFormatting>
  <conditionalFormatting sqref="Q8">
    <cfRule type="expression" dxfId="415" priority="1">
      <formula>Q8&gt;0</formula>
    </cfRule>
    <cfRule type="expression" dxfId="414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N125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0" style="2" bestFit="1" customWidth="1"/>
    <col min="10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8.5703125" style="86" customWidth="1"/>
    <col min="21" max="21" width="36.140625" customWidth="1"/>
    <col min="23" max="23" width="11.85546875" style="34" customWidth="1"/>
    <col min="24" max="24" width="8.7109375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 t="s">
        <v>93</v>
      </c>
      <c r="W1" s="92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0" x14ac:dyDescent="0.25">
      <c r="A2" s="6" t="s">
        <v>175</v>
      </c>
      <c r="B2" s="459">
        <v>42718</v>
      </c>
      <c r="C2" s="7">
        <v>40</v>
      </c>
      <c r="D2" s="44">
        <v>54.28</v>
      </c>
      <c r="E2" s="44">
        <v>0</v>
      </c>
      <c r="F2" s="44">
        <f t="shared" ref="F2:F5" si="0">C2*D2+E2</f>
        <v>2171.1999999999998</v>
      </c>
      <c r="G2" s="459">
        <v>42759</v>
      </c>
      <c r="H2" s="82">
        <v>40</v>
      </c>
      <c r="I2" s="44">
        <v>54.92</v>
      </c>
      <c r="J2" s="44">
        <v>0.05</v>
      </c>
      <c r="K2" s="44">
        <f>H2*I2-J2</f>
        <v>2196.75</v>
      </c>
      <c r="L2" s="74"/>
      <c r="M2" s="3"/>
      <c r="O2" s="11" t="s">
        <v>57</v>
      </c>
      <c r="Q2">
        <f>C18-H18</f>
        <v>80</v>
      </c>
      <c r="T2" s="85">
        <v>42566</v>
      </c>
      <c r="U2" t="s">
        <v>245</v>
      </c>
      <c r="W2" s="94">
        <v>42768</v>
      </c>
      <c r="X2" s="10">
        <v>55.57</v>
      </c>
      <c r="Y2" s="10">
        <v>55.96</v>
      </c>
      <c r="Z2" s="10">
        <v>55.4</v>
      </c>
      <c r="AA2" s="10">
        <v>55.75</v>
      </c>
      <c r="AB2" s="95">
        <v>13025000</v>
      </c>
      <c r="AC2" s="10">
        <v>55.75</v>
      </c>
      <c r="AD2" s="2">
        <f>Y2-Z2</f>
        <v>0.56000000000000227</v>
      </c>
      <c r="AE2" s="138">
        <f>AC2/AC3-1</f>
        <v>-2.8617420854945008E-3</v>
      </c>
    </row>
    <row r="3" spans="1:40" x14ac:dyDescent="0.25">
      <c r="A3" s="23" t="s">
        <v>71</v>
      </c>
      <c r="B3" s="459">
        <v>42733</v>
      </c>
      <c r="C3" s="7">
        <v>40</v>
      </c>
      <c r="D3" s="44">
        <v>54.58</v>
      </c>
      <c r="E3" s="44">
        <v>0</v>
      </c>
      <c r="F3" s="44">
        <f t="shared" si="0"/>
        <v>2183.1999999999998</v>
      </c>
      <c r="G3" s="635">
        <v>42767</v>
      </c>
      <c r="H3" s="82">
        <v>40</v>
      </c>
      <c r="I3" s="44">
        <v>57.05</v>
      </c>
      <c r="J3" s="44">
        <v>0.05</v>
      </c>
      <c r="K3" s="44">
        <f>H3*I3-J3</f>
        <v>2281.9499999999998</v>
      </c>
      <c r="L3" s="74"/>
      <c r="M3" s="3"/>
      <c r="O3" s="11" t="s">
        <v>58</v>
      </c>
      <c r="Q3" s="230">
        <f>IF(Q2=0, Q4, (F18-K18-M18)/Q2)</f>
        <v>54.236249999999984</v>
      </c>
      <c r="T3" s="121"/>
      <c r="W3" s="94">
        <v>42767</v>
      </c>
      <c r="X3" s="10">
        <v>56.54</v>
      </c>
      <c r="Y3" s="10">
        <v>57.07</v>
      </c>
      <c r="Z3" s="10">
        <v>55.77</v>
      </c>
      <c r="AA3" s="10">
        <v>55.91</v>
      </c>
      <c r="AB3" s="95">
        <v>21157700</v>
      </c>
      <c r="AC3" s="10">
        <v>55.91</v>
      </c>
      <c r="AD3" s="2">
        <f>Y3-Z3</f>
        <v>1.2999999999999972</v>
      </c>
      <c r="AE3" s="138" t="e">
        <f>AC3/AC4-1</f>
        <v>#DIV/0!</v>
      </c>
      <c r="AN3" s="234"/>
    </row>
    <row r="4" spans="1:40" x14ac:dyDescent="0.25">
      <c r="B4" s="503">
        <v>42740</v>
      </c>
      <c r="C4" s="4">
        <v>40</v>
      </c>
      <c r="D4" s="3">
        <v>54.9</v>
      </c>
      <c r="E4" s="3">
        <v>0</v>
      </c>
      <c r="F4" s="3">
        <f t="shared" si="0"/>
        <v>2196</v>
      </c>
      <c r="G4" s="74"/>
      <c r="H4" s="185"/>
      <c r="I4" s="3"/>
      <c r="J4" s="3"/>
      <c r="K4" s="3"/>
      <c r="L4" s="74"/>
      <c r="M4" s="4"/>
      <c r="O4" s="11" t="s">
        <v>66</v>
      </c>
      <c r="Q4" s="55">
        <v>57.27</v>
      </c>
      <c r="R4" s="505">
        <v>2.7300000000000001E-2</v>
      </c>
      <c r="T4" s="121"/>
      <c r="W4" s="94">
        <v>42767</v>
      </c>
      <c r="X4" s="10" t="s">
        <v>188</v>
      </c>
      <c r="Y4" s="10"/>
      <c r="Z4" s="10"/>
      <c r="AA4" s="10"/>
      <c r="AB4" s="95"/>
      <c r="AC4" s="10"/>
      <c r="AD4" s="2">
        <f t="shared" ref="AD4:AD67" si="1">Y4-Z4</f>
        <v>0</v>
      </c>
      <c r="AE4" s="138">
        <f t="shared" ref="AE4:AE66" si="2">AC4/AC5-1</f>
        <v>-1</v>
      </c>
      <c r="AK4" s="234"/>
      <c r="AN4" s="234"/>
    </row>
    <row r="5" spans="1:40" x14ac:dyDescent="0.25">
      <c r="B5" s="503">
        <v>42767</v>
      </c>
      <c r="C5" s="4">
        <v>40</v>
      </c>
      <c r="D5" s="3">
        <v>56.68</v>
      </c>
      <c r="E5" s="3">
        <v>0</v>
      </c>
      <c r="F5" s="3">
        <f t="shared" si="0"/>
        <v>2267.1999999999998</v>
      </c>
      <c r="G5" s="74"/>
      <c r="H5" s="393"/>
      <c r="I5" s="75"/>
      <c r="J5" s="75"/>
      <c r="K5" s="75"/>
      <c r="L5" s="4"/>
      <c r="M5" s="4"/>
      <c r="O5" s="11" t="s">
        <v>67</v>
      </c>
      <c r="Q5" s="3">
        <f>Q4*Q2</f>
        <v>4581.6000000000004</v>
      </c>
      <c r="W5" s="94">
        <v>42766</v>
      </c>
      <c r="X5" s="10">
        <v>55.98</v>
      </c>
      <c r="Y5" s="10">
        <v>56.38</v>
      </c>
      <c r="Z5" s="10">
        <v>55.8</v>
      </c>
      <c r="AA5" s="10">
        <v>56.33</v>
      </c>
      <c r="AB5" s="95">
        <v>22409100</v>
      </c>
      <c r="AC5" s="10">
        <v>55.95</v>
      </c>
      <c r="AD5" s="2">
        <f t="shared" si="1"/>
        <v>0.5800000000000054</v>
      </c>
      <c r="AE5" s="138">
        <f t="shared" si="2"/>
        <v>4.4883303411131781E-3</v>
      </c>
      <c r="AK5" s="234"/>
      <c r="AN5" s="234"/>
    </row>
    <row r="6" spans="1:40" x14ac:dyDescent="0.25">
      <c r="B6" s="74"/>
      <c r="C6" s="4"/>
      <c r="D6" s="3"/>
      <c r="E6" s="3"/>
      <c r="F6" s="3"/>
      <c r="G6" s="74"/>
      <c r="H6" s="185"/>
      <c r="I6" s="3"/>
      <c r="J6" s="3"/>
      <c r="K6" s="75"/>
      <c r="L6" s="4"/>
      <c r="M6" s="4"/>
      <c r="O6" s="11" t="s">
        <v>64</v>
      </c>
      <c r="Q6" s="2">
        <f>Q3*Q2</f>
        <v>4338.8999999999987</v>
      </c>
      <c r="W6" s="94">
        <v>42765</v>
      </c>
      <c r="X6" s="10">
        <v>56.12</v>
      </c>
      <c r="Y6" s="10">
        <v>56.32</v>
      </c>
      <c r="Z6" s="10">
        <v>55.75</v>
      </c>
      <c r="AA6" s="10">
        <v>56.08</v>
      </c>
      <c r="AB6" s="95">
        <v>15961400</v>
      </c>
      <c r="AC6" s="10">
        <v>55.7</v>
      </c>
      <c r="AD6" s="2">
        <f t="shared" si="1"/>
        <v>0.57000000000000028</v>
      </c>
      <c r="AE6" s="138">
        <f t="shared" si="2"/>
        <v>-9.0731186621597626E-3</v>
      </c>
    </row>
    <row r="7" spans="1:40" x14ac:dyDescent="0.25">
      <c r="B7" s="74"/>
      <c r="C7" s="4"/>
      <c r="D7" s="3"/>
      <c r="E7" s="3"/>
      <c r="F7" s="3"/>
      <c r="G7" s="74"/>
      <c r="H7" s="185"/>
      <c r="I7" s="3"/>
      <c r="J7" s="3"/>
      <c r="K7" s="75"/>
      <c r="L7" s="4"/>
      <c r="M7" s="4"/>
      <c r="O7" s="11" t="s">
        <v>181</v>
      </c>
      <c r="P7"/>
      <c r="Q7" s="2">
        <f>Q10+Q8</f>
        <v>1070.9800000000077</v>
      </c>
      <c r="R7" s="30">
        <v>42772</v>
      </c>
      <c r="T7" s="85"/>
      <c r="W7" s="94">
        <v>42762</v>
      </c>
      <c r="X7" s="10">
        <v>57.03</v>
      </c>
      <c r="Y7" s="10">
        <v>57.11</v>
      </c>
      <c r="Z7" s="10">
        <v>56.41</v>
      </c>
      <c r="AA7" s="10">
        <v>56.59</v>
      </c>
      <c r="AB7" s="95">
        <v>17186200</v>
      </c>
      <c r="AC7" s="10">
        <v>56.21</v>
      </c>
      <c r="AD7" s="2">
        <f t="shared" si="1"/>
        <v>0.70000000000000284</v>
      </c>
      <c r="AE7" s="138">
        <f t="shared" si="2"/>
        <v>-1.021306568057756E-2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M8" s="4"/>
      <c r="O8" s="11" t="s">
        <v>184</v>
      </c>
      <c r="Q8" s="2">
        <f>K18+M18-F18+Q2*Q4</f>
        <v>242.70000000000164</v>
      </c>
      <c r="W8" s="94">
        <v>42761</v>
      </c>
      <c r="X8" s="10">
        <v>56.61</v>
      </c>
      <c r="Y8" s="10">
        <v>57.33</v>
      </c>
      <c r="Z8" s="10">
        <v>56.59</v>
      </c>
      <c r="AA8" s="10">
        <v>57.18</v>
      </c>
      <c r="AB8" s="95">
        <v>23769800</v>
      </c>
      <c r="AC8" s="10">
        <v>56.79</v>
      </c>
      <c r="AD8" s="2">
        <f t="shared" si="1"/>
        <v>0.73999999999999488</v>
      </c>
      <c r="AE8" s="138">
        <f t="shared" si="2"/>
        <v>9.7795163584637468E-3</v>
      </c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M9" s="4"/>
      <c r="O9" s="11" t="s">
        <v>214</v>
      </c>
      <c r="P9"/>
      <c r="Q9" s="138">
        <f>IF(Q2=0, 0, Q8/Q6)</f>
        <v>5.5935836271866532E-2</v>
      </c>
      <c r="W9" s="94">
        <v>42760</v>
      </c>
      <c r="X9" s="10">
        <v>55.38</v>
      </c>
      <c r="Y9" s="10">
        <v>56.83</v>
      </c>
      <c r="Z9" s="10">
        <v>55.28</v>
      </c>
      <c r="AA9" s="10">
        <v>56.62</v>
      </c>
      <c r="AB9" s="95">
        <v>32252100</v>
      </c>
      <c r="AC9" s="10">
        <v>56.24</v>
      </c>
      <c r="AD9" s="2">
        <f t="shared" si="1"/>
        <v>1.5499999999999972</v>
      </c>
      <c r="AE9" s="138">
        <f t="shared" si="2"/>
        <v>3.5155531014172681E-2</v>
      </c>
      <c r="AK9" s="234"/>
      <c r="AN9" s="234"/>
    </row>
    <row r="10" spans="1:40" x14ac:dyDescent="0.25">
      <c r="B10" s="74"/>
      <c r="C10" s="4"/>
      <c r="D10" s="3"/>
      <c r="E10" s="3"/>
      <c r="F10" s="3"/>
      <c r="G10" s="4"/>
      <c r="H10" s="185"/>
      <c r="I10" s="3"/>
      <c r="J10" s="3"/>
      <c r="K10" s="3"/>
      <c r="L10" s="4"/>
      <c r="M10" s="4"/>
      <c r="O10" s="11" t="s">
        <v>213</v>
      </c>
      <c r="Q10" s="2">
        <f>M106</f>
        <v>828.28000000000611</v>
      </c>
      <c r="W10" s="94">
        <v>42759</v>
      </c>
      <c r="X10" s="10">
        <v>54.36</v>
      </c>
      <c r="Y10" s="10">
        <v>55.07</v>
      </c>
      <c r="Z10" s="10">
        <v>54.13</v>
      </c>
      <c r="AA10" s="10">
        <v>54.7</v>
      </c>
      <c r="AB10" s="95">
        <v>18523300</v>
      </c>
      <c r="AC10" s="10">
        <v>54.33</v>
      </c>
      <c r="AD10" s="2">
        <f t="shared" si="1"/>
        <v>0.93999999999999773</v>
      </c>
      <c r="AE10" s="138">
        <f t="shared" si="2"/>
        <v>8.3518930957682258E-3</v>
      </c>
    </row>
    <row r="11" spans="1:40" x14ac:dyDescent="0.25">
      <c r="B11" s="4"/>
      <c r="C11" s="4"/>
      <c r="D11" s="3"/>
      <c r="E11" s="3"/>
      <c r="F11" s="3"/>
      <c r="G11" s="4"/>
      <c r="H11" s="185"/>
      <c r="I11" s="3"/>
      <c r="J11" s="3"/>
      <c r="K11" s="3"/>
      <c r="L11" s="4"/>
      <c r="M11" s="4"/>
      <c r="O11" s="11" t="s">
        <v>178</v>
      </c>
      <c r="Q11" s="138">
        <f>IF(U58="N/A (N/A)", 0, VALUE(TRIM(CLEAN(MID(U58, FIND("(", U58)+1, 5)))))</f>
        <v>2.7E-2</v>
      </c>
      <c r="W11" s="94">
        <v>42758</v>
      </c>
      <c r="X11" s="10">
        <v>54.71</v>
      </c>
      <c r="Y11" s="10">
        <v>55</v>
      </c>
      <c r="Z11" s="10">
        <v>54.15</v>
      </c>
      <c r="AA11" s="10">
        <v>54.25</v>
      </c>
      <c r="AB11" s="95">
        <v>17227400</v>
      </c>
      <c r="AC11" s="10">
        <v>53.88</v>
      </c>
      <c r="AD11" s="2">
        <f t="shared" si="1"/>
        <v>0.85000000000000142</v>
      </c>
      <c r="AE11" s="138">
        <f t="shared" si="2"/>
        <v>-1.4990859232175469E-2</v>
      </c>
      <c r="AK11" s="234"/>
      <c r="AN11" s="234"/>
    </row>
    <row r="12" spans="1:40" x14ac:dyDescent="0.25">
      <c r="B12" s="4"/>
      <c r="C12" s="4"/>
      <c r="D12" s="3"/>
      <c r="E12" s="3"/>
      <c r="F12" s="3"/>
      <c r="G12" s="4"/>
      <c r="H12" s="185"/>
      <c r="I12" s="3"/>
      <c r="J12" s="3"/>
      <c r="K12" s="3"/>
      <c r="L12" s="4"/>
      <c r="M12" s="4"/>
      <c r="W12" s="94">
        <v>42755</v>
      </c>
      <c r="X12" s="10">
        <v>54.75</v>
      </c>
      <c r="Y12" s="10">
        <v>55.11</v>
      </c>
      <c r="Z12" s="10">
        <v>54.62</v>
      </c>
      <c r="AA12" s="10">
        <v>55.07</v>
      </c>
      <c r="AB12" s="95">
        <v>24160800</v>
      </c>
      <c r="AC12" s="10">
        <v>54.7</v>
      </c>
      <c r="AD12" s="2">
        <f t="shared" si="1"/>
        <v>0.49000000000000199</v>
      </c>
      <c r="AE12" s="138">
        <f t="shared" si="2"/>
        <v>9.0389227079874512E-3</v>
      </c>
    </row>
    <row r="13" spans="1:40" x14ac:dyDescent="0.25">
      <c r="B13" s="4"/>
      <c r="C13" s="4"/>
      <c r="D13" s="3"/>
      <c r="E13" s="3"/>
      <c r="F13" s="3"/>
      <c r="G13" s="4"/>
      <c r="H13" s="185"/>
      <c r="I13" s="3"/>
      <c r="J13" s="3"/>
      <c r="K13" s="3"/>
      <c r="L13" s="4"/>
      <c r="M13" s="4"/>
      <c r="W13" s="94">
        <v>42754</v>
      </c>
      <c r="X13" s="10">
        <v>54.24</v>
      </c>
      <c r="Y13" s="10">
        <v>54.77</v>
      </c>
      <c r="Z13" s="10">
        <v>53.86</v>
      </c>
      <c r="AA13" s="10">
        <v>54.58</v>
      </c>
      <c r="AB13" s="95">
        <v>20906900</v>
      </c>
      <c r="AC13" s="10">
        <v>54.21</v>
      </c>
      <c r="AD13" s="2">
        <f t="shared" si="1"/>
        <v>0.91000000000000369</v>
      </c>
      <c r="AE13" s="138">
        <f t="shared" si="2"/>
        <v>5.7513914656772691E-3</v>
      </c>
      <c r="AK13" s="234"/>
      <c r="AN13" s="234"/>
    </row>
    <row r="14" spans="1:40" x14ac:dyDescent="0.25">
      <c r="B14" s="4"/>
      <c r="C14" s="4"/>
      <c r="D14" s="3"/>
      <c r="E14" s="3"/>
      <c r="F14" s="3"/>
      <c r="G14" s="4"/>
      <c r="H14" s="185"/>
      <c r="I14" s="3"/>
      <c r="J14" s="3"/>
      <c r="K14" s="3"/>
      <c r="L14" s="4"/>
      <c r="M14" s="4"/>
      <c r="T14" s="84"/>
      <c r="U14" s="11"/>
      <c r="W14" s="94">
        <v>42753</v>
      </c>
      <c r="X14" s="10">
        <v>53.78</v>
      </c>
      <c r="Y14" s="10">
        <v>54.29</v>
      </c>
      <c r="Z14" s="10">
        <v>53.34</v>
      </c>
      <c r="AA14" s="10">
        <v>54.27</v>
      </c>
      <c r="AB14" s="95">
        <v>21186700</v>
      </c>
      <c r="AC14" s="10">
        <v>53.9</v>
      </c>
      <c r="AD14" s="2">
        <f t="shared" si="1"/>
        <v>0.94999999999999574</v>
      </c>
      <c r="AE14" s="138">
        <f t="shared" si="2"/>
        <v>8.9853987270684943E-3</v>
      </c>
    </row>
    <row r="15" spans="1:40" x14ac:dyDescent="0.25">
      <c r="H15" s="72"/>
      <c r="W15" s="94">
        <v>42752</v>
      </c>
      <c r="X15" s="10">
        <v>54.8</v>
      </c>
      <c r="Y15" s="10">
        <v>54.96</v>
      </c>
      <c r="Z15" s="10">
        <v>53.58</v>
      </c>
      <c r="AA15" s="10">
        <v>53.78</v>
      </c>
      <c r="AB15" s="95">
        <v>26974400</v>
      </c>
      <c r="AC15" s="10">
        <v>53.42</v>
      </c>
      <c r="AD15" s="2">
        <f t="shared" si="1"/>
        <v>1.3800000000000026</v>
      </c>
      <c r="AE15" s="138">
        <f t="shared" si="2"/>
        <v>-2.7666545322169611E-2</v>
      </c>
      <c r="AK15" s="234"/>
      <c r="AN15" s="234"/>
    </row>
    <row r="16" spans="1:40" x14ac:dyDescent="0.25">
      <c r="H16" s="72"/>
      <c r="W16" s="94">
        <v>42748</v>
      </c>
      <c r="X16" s="10">
        <v>55.11</v>
      </c>
      <c r="Y16" s="10">
        <v>56.2</v>
      </c>
      <c r="Z16" s="10">
        <v>54.65</v>
      </c>
      <c r="AA16" s="10">
        <v>55.31</v>
      </c>
      <c r="AB16" s="95">
        <v>37231600</v>
      </c>
      <c r="AC16" s="10">
        <v>54.94</v>
      </c>
      <c r="AD16" s="2">
        <f t="shared" si="1"/>
        <v>1.5500000000000043</v>
      </c>
      <c r="AE16" s="138">
        <f t="shared" si="2"/>
        <v>1.4963975614261882E-2</v>
      </c>
    </row>
    <row r="17" spans="1:40" x14ac:dyDescent="0.25">
      <c r="H17" s="72"/>
      <c r="W17" s="94">
        <v>42747</v>
      </c>
      <c r="X17" s="10">
        <v>54.65</v>
      </c>
      <c r="Y17" s="10">
        <v>54.78</v>
      </c>
      <c r="Z17" s="10">
        <v>53.9</v>
      </c>
      <c r="AA17" s="10">
        <v>54.5</v>
      </c>
      <c r="AB17" s="95">
        <v>20566600</v>
      </c>
      <c r="AC17" s="10">
        <v>54.13</v>
      </c>
      <c r="AD17" s="2">
        <f t="shared" si="1"/>
        <v>0.88000000000000256</v>
      </c>
      <c r="AE17" s="138">
        <f t="shared" si="2"/>
        <v>-5.5116663604629634E-3</v>
      </c>
      <c r="AK17" s="234"/>
      <c r="AN17" s="234"/>
    </row>
    <row r="18" spans="1:40" x14ac:dyDescent="0.25">
      <c r="A18" s="32" t="s">
        <v>81</v>
      </c>
      <c r="B18" s="14"/>
      <c r="C18" s="14">
        <f>SUM(C2:C17)</f>
        <v>160</v>
      </c>
      <c r="D18" s="18"/>
      <c r="E18" s="18"/>
      <c r="F18" s="18">
        <f>SUM(F2:F17)</f>
        <v>8817.5999999999985</v>
      </c>
      <c r="G18" s="14"/>
      <c r="H18" s="73">
        <f>SUM(H2:H17)</f>
        <v>80</v>
      </c>
      <c r="I18" s="18"/>
      <c r="J18" s="18"/>
      <c r="K18" s="18">
        <f>SUM(K2:K17)</f>
        <v>4478.7</v>
      </c>
      <c r="L18" s="18"/>
      <c r="M18" s="18">
        <f>SUM(M2:M17)</f>
        <v>0</v>
      </c>
      <c r="W18" s="94">
        <v>42746</v>
      </c>
      <c r="X18" s="10">
        <v>54.6</v>
      </c>
      <c r="Y18" s="10">
        <v>54.8</v>
      </c>
      <c r="Z18" s="10">
        <v>53.72</v>
      </c>
      <c r="AA18" s="10">
        <v>54.8</v>
      </c>
      <c r="AB18" s="95">
        <v>21100600</v>
      </c>
      <c r="AC18" s="10">
        <v>54.43</v>
      </c>
      <c r="AD18" s="2">
        <f t="shared" si="1"/>
        <v>1.0799999999999983</v>
      </c>
      <c r="AE18" s="138">
        <f t="shared" si="2"/>
        <v>3.3179723502303471E-3</v>
      </c>
    </row>
    <row r="19" spans="1:40" ht="15.75" thickBot="1" x14ac:dyDescent="0.3">
      <c r="A19" s="356" t="s">
        <v>198</v>
      </c>
      <c r="B19" s="357"/>
      <c r="C19" s="358" t="e">
        <f>SumByColor($A$19,C2:C17)</f>
        <v>#VALUE!</v>
      </c>
      <c r="D19" s="358"/>
      <c r="E19" s="358"/>
      <c r="F19" s="359" t="e">
        <f>SumByColor($A$19,F2:F17)</f>
        <v>#VALUE!</v>
      </c>
      <c r="G19" s="358"/>
      <c r="H19" s="358" t="e">
        <f>SumByColor($A$19,H2:H17)</f>
        <v>#VALUE!</v>
      </c>
      <c r="I19" s="358"/>
      <c r="J19" s="358"/>
      <c r="K19" s="359" t="e">
        <f>SumByColor($A$19,K2:K17)</f>
        <v>#VALUE!</v>
      </c>
      <c r="L19" s="358"/>
      <c r="M19" s="359" t="e">
        <f>SumByColor($A$19,M2:M17)</f>
        <v>#VALUE!</v>
      </c>
      <c r="W19" s="94">
        <v>42745</v>
      </c>
      <c r="X19" s="10">
        <v>54.35</v>
      </c>
      <c r="Y19" s="10">
        <v>55.18</v>
      </c>
      <c r="Z19" s="10">
        <v>54.26</v>
      </c>
      <c r="AA19" s="10">
        <v>54.62</v>
      </c>
      <c r="AB19" s="95">
        <v>17978200</v>
      </c>
      <c r="AC19" s="10">
        <v>54.25</v>
      </c>
      <c r="AD19" s="2">
        <f t="shared" si="1"/>
        <v>0.92000000000000171</v>
      </c>
      <c r="AE19" s="138">
        <f t="shared" si="2"/>
        <v>7.054018934471884E-3</v>
      </c>
      <c r="AK19" s="234"/>
      <c r="AN19" s="234"/>
    </row>
    <row r="20" spans="1:40" x14ac:dyDescent="0.25">
      <c r="W20" s="94">
        <v>42744</v>
      </c>
      <c r="X20" s="10">
        <v>54.68</v>
      </c>
      <c r="Y20" s="10">
        <v>54.81</v>
      </c>
      <c r="Z20" s="10">
        <v>54.18</v>
      </c>
      <c r="AA20" s="10">
        <v>54.24</v>
      </c>
      <c r="AB20" s="95">
        <v>21665600</v>
      </c>
      <c r="AC20" s="10">
        <v>53.87</v>
      </c>
      <c r="AD20" s="2">
        <f t="shared" si="1"/>
        <v>0.63000000000000256</v>
      </c>
      <c r="AE20" s="138">
        <f t="shared" si="2"/>
        <v>-1.4633254069873813E-2</v>
      </c>
    </row>
    <row r="21" spans="1:40" x14ac:dyDescent="0.25">
      <c r="W21" s="94">
        <v>42741</v>
      </c>
      <c r="X21" s="10">
        <v>55.26</v>
      </c>
      <c r="Y21" s="10">
        <v>55.57</v>
      </c>
      <c r="Z21" s="10">
        <v>54.7</v>
      </c>
      <c r="AA21" s="10">
        <v>55.04</v>
      </c>
      <c r="AB21" s="95">
        <v>18715900</v>
      </c>
      <c r="AC21" s="10">
        <v>54.67</v>
      </c>
      <c r="AD21" s="2">
        <f t="shared" si="1"/>
        <v>0.86999999999999744</v>
      </c>
      <c r="AE21" s="138">
        <f t="shared" si="2"/>
        <v>-2.5542784163473664E-3</v>
      </c>
      <c r="AK21" s="234"/>
      <c r="AN21" s="234"/>
    </row>
    <row r="22" spans="1:40" x14ac:dyDescent="0.25">
      <c r="W22" s="94">
        <v>42740</v>
      </c>
      <c r="X22" s="10">
        <v>55.49</v>
      </c>
      <c r="Y22" s="10">
        <v>55.82</v>
      </c>
      <c r="Z22" s="10">
        <v>54.48</v>
      </c>
      <c r="AA22" s="10">
        <v>55.18</v>
      </c>
      <c r="AB22" s="95">
        <v>18831600</v>
      </c>
      <c r="AC22" s="10">
        <v>54.81</v>
      </c>
      <c r="AD22" s="2">
        <f t="shared" si="1"/>
        <v>1.3400000000000034</v>
      </c>
      <c r="AE22" s="138">
        <f t="shared" si="2"/>
        <v>-1.5448176755882836E-2</v>
      </c>
    </row>
    <row r="23" spans="1:40" x14ac:dyDescent="0.25">
      <c r="B23" s="191" t="s">
        <v>114</v>
      </c>
      <c r="C23" s="191" t="s">
        <v>147</v>
      </c>
      <c r="D23" s="192" t="s">
        <v>146</v>
      </c>
      <c r="E23" s="194" t="s">
        <v>148</v>
      </c>
      <c r="F23" s="194" t="s">
        <v>65</v>
      </c>
      <c r="G23" s="229" t="s">
        <v>152</v>
      </c>
      <c r="H23" s="229" t="s">
        <v>88</v>
      </c>
      <c r="I23" s="229" t="s">
        <v>155</v>
      </c>
      <c r="W23" s="94">
        <v>42739</v>
      </c>
      <c r="X23" s="10">
        <v>56.16</v>
      </c>
      <c r="Y23" s="10">
        <v>56.31</v>
      </c>
      <c r="Z23" s="10">
        <v>55.61</v>
      </c>
      <c r="AA23" s="10">
        <v>56.05</v>
      </c>
      <c r="AB23" s="95">
        <v>15036100</v>
      </c>
      <c r="AC23" s="10">
        <v>55.67</v>
      </c>
      <c r="AD23" s="2">
        <f t="shared" si="1"/>
        <v>0.70000000000000284</v>
      </c>
      <c r="AE23" s="138">
        <f t="shared" si="2"/>
        <v>8.9895720963695247E-4</v>
      </c>
      <c r="AK23" s="234"/>
    </row>
    <row r="24" spans="1:40" x14ac:dyDescent="0.25">
      <c r="B24" s="193">
        <v>42718</v>
      </c>
      <c r="C24" s="10">
        <v>40</v>
      </c>
      <c r="D24" s="200">
        <v>54.28</v>
      </c>
      <c r="E24" s="40">
        <v>54.7</v>
      </c>
      <c r="F24" s="40">
        <f t="shared" ref="F24" si="3">C24*(E24-D24)</f>
        <v>16.800000000000068</v>
      </c>
      <c r="G24" s="40">
        <f t="shared" ref="G24" si="4">D24*C24</f>
        <v>2171.1999999999998</v>
      </c>
      <c r="H24" s="231">
        <f t="shared" ref="H24" si="5">(E24-D24)/D24</f>
        <v>7.7376565954311296E-3</v>
      </c>
      <c r="I24" s="40"/>
      <c r="W24" s="94">
        <v>42738</v>
      </c>
      <c r="X24" s="10">
        <v>55.67</v>
      </c>
      <c r="Y24" s="10">
        <v>56.35</v>
      </c>
      <c r="Z24" s="10">
        <v>55.46</v>
      </c>
      <c r="AA24" s="10">
        <v>56</v>
      </c>
      <c r="AB24" s="95">
        <v>22063800</v>
      </c>
      <c r="AC24" s="10">
        <v>55.62</v>
      </c>
      <c r="AD24" s="2">
        <f t="shared" si="1"/>
        <v>0.89000000000000057</v>
      </c>
      <c r="AE24" s="138">
        <f t="shared" si="2"/>
        <v>1.6075995615637551E-2</v>
      </c>
    </row>
    <row r="25" spans="1:40" x14ac:dyDescent="0.25">
      <c r="B25" s="193">
        <v>42733</v>
      </c>
      <c r="C25" s="10">
        <v>80</v>
      </c>
      <c r="D25" s="200">
        <v>54.43</v>
      </c>
      <c r="E25" s="40">
        <v>54.58</v>
      </c>
      <c r="F25" s="40">
        <f t="shared" ref="F25" si="6">C25*(E25-D25)</f>
        <v>11.999999999999886</v>
      </c>
      <c r="G25" s="40">
        <f t="shared" ref="G25" si="7">D25*C25</f>
        <v>4354.3999999999996</v>
      </c>
      <c r="H25" s="231">
        <f t="shared" ref="H25" si="8">(E25-D25)/D25</f>
        <v>2.7558331802314639E-3</v>
      </c>
      <c r="I25" s="40"/>
      <c r="W25" s="94">
        <v>42734</v>
      </c>
      <c r="X25" s="10">
        <v>54.89</v>
      </c>
      <c r="Y25" s="10">
        <v>55.36</v>
      </c>
      <c r="Z25" s="10">
        <v>54.79</v>
      </c>
      <c r="AA25" s="10">
        <v>55.11</v>
      </c>
      <c r="AB25" s="95">
        <v>15095500</v>
      </c>
      <c r="AC25" s="10">
        <v>54.74</v>
      </c>
      <c r="AD25" s="2">
        <f t="shared" si="1"/>
        <v>0.57000000000000028</v>
      </c>
      <c r="AE25" s="138">
        <f t="shared" si="2"/>
        <v>4.9568569854967492E-3</v>
      </c>
    </row>
    <row r="26" spans="1:40" x14ac:dyDescent="0.25">
      <c r="B26" s="193">
        <v>42740</v>
      </c>
      <c r="C26" s="10">
        <v>120</v>
      </c>
      <c r="D26" s="200">
        <v>54.5867</v>
      </c>
      <c r="E26" s="40">
        <v>55.18</v>
      </c>
      <c r="F26" s="40">
        <f t="shared" ref="F26" si="9">C26*(E26-D26)</f>
        <v>71.195999999999913</v>
      </c>
      <c r="G26" s="40">
        <f t="shared" ref="G26" si="10">D26*C26</f>
        <v>6550.4040000000005</v>
      </c>
      <c r="H26" s="231">
        <f t="shared" ref="H26" si="11">(E26-D26)/D26</f>
        <v>1.0868947930539843E-2</v>
      </c>
      <c r="I26" s="40"/>
      <c r="W26" s="94">
        <v>42733</v>
      </c>
      <c r="X26" s="10">
        <v>55.19</v>
      </c>
      <c r="Y26" s="10">
        <v>55.46</v>
      </c>
      <c r="Z26" s="10">
        <v>54.48</v>
      </c>
      <c r="AA26" s="10">
        <v>54.84</v>
      </c>
      <c r="AB26" s="95">
        <v>15933500</v>
      </c>
      <c r="AC26" s="10">
        <v>54.47</v>
      </c>
      <c r="AD26" s="2">
        <f t="shared" si="1"/>
        <v>0.98000000000000398</v>
      </c>
      <c r="AE26" s="138">
        <f t="shared" si="2"/>
        <v>-8.7352138307552618E-3</v>
      </c>
    </row>
    <row r="27" spans="1:40" x14ac:dyDescent="0.25">
      <c r="A27" t="s">
        <v>420</v>
      </c>
      <c r="B27" s="193">
        <v>42754</v>
      </c>
      <c r="C27" s="10">
        <v>120</v>
      </c>
      <c r="D27" s="200">
        <v>54.5867</v>
      </c>
      <c r="E27" s="40">
        <v>54.58</v>
      </c>
      <c r="F27" s="40">
        <f t="shared" ref="F27:F28" si="12">C27*(E27-D27)</f>
        <v>-0.80400000000025784</v>
      </c>
      <c r="G27" s="40">
        <f t="shared" ref="G27:G28" si="13">D27*C27</f>
        <v>6550.4040000000005</v>
      </c>
      <c r="H27" s="231">
        <f t="shared" ref="H27:H28" si="14">(E27-D27)/D27</f>
        <v>-1.2274052104271094E-4</v>
      </c>
      <c r="I27" s="40"/>
      <c r="W27" s="94">
        <v>42732</v>
      </c>
      <c r="X27" s="10">
        <v>55.98</v>
      </c>
      <c r="Y27" s="10">
        <v>56.08</v>
      </c>
      <c r="Z27" s="10">
        <v>55.27</v>
      </c>
      <c r="AA27" s="10">
        <v>55.32</v>
      </c>
      <c r="AB27" s="95">
        <v>10609100</v>
      </c>
      <c r="AC27" s="10">
        <v>54.95</v>
      </c>
      <c r="AD27" s="2">
        <f t="shared" si="1"/>
        <v>0.80999999999999517</v>
      </c>
      <c r="AE27" s="138">
        <f t="shared" si="2"/>
        <v>-1.1157099154219807E-2</v>
      </c>
    </row>
    <row r="28" spans="1:40" x14ac:dyDescent="0.25">
      <c r="A28" t="s">
        <v>439</v>
      </c>
      <c r="B28" s="193">
        <v>42759</v>
      </c>
      <c r="C28" s="10">
        <v>80</v>
      </c>
      <c r="D28" s="200">
        <v>54.4206</v>
      </c>
      <c r="E28" s="40">
        <v>54.78</v>
      </c>
      <c r="F28" s="40">
        <f t="shared" si="12"/>
        <v>28.752000000000066</v>
      </c>
      <c r="G28" s="40">
        <f t="shared" si="13"/>
        <v>4353.6480000000001</v>
      </c>
      <c r="H28" s="231">
        <f t="shared" si="14"/>
        <v>6.6041168234087979E-3</v>
      </c>
      <c r="I28" s="40"/>
      <c r="W28" s="94">
        <v>42731</v>
      </c>
      <c r="X28" s="10">
        <v>55.9</v>
      </c>
      <c r="Y28" s="10">
        <v>56.1</v>
      </c>
      <c r="Z28" s="10">
        <v>55.84</v>
      </c>
      <c r="AA28" s="10">
        <v>55.95</v>
      </c>
      <c r="AB28" s="95">
        <v>8893900</v>
      </c>
      <c r="AC28" s="10">
        <v>55.57</v>
      </c>
      <c r="AD28" s="2">
        <f t="shared" si="1"/>
        <v>0.25999999999999801</v>
      </c>
      <c r="AE28" s="138">
        <f t="shared" si="2"/>
        <v>-1.7992083483264754E-4</v>
      </c>
    </row>
    <row r="29" spans="1:40" x14ac:dyDescent="0.25">
      <c r="A29" t="s">
        <v>439</v>
      </c>
      <c r="B29" s="193">
        <v>42760</v>
      </c>
      <c r="C29" s="10">
        <v>80</v>
      </c>
      <c r="D29" s="200">
        <v>54.4206</v>
      </c>
      <c r="E29" s="40">
        <v>56.62</v>
      </c>
      <c r="F29" s="40">
        <f t="shared" ref="F29:F30" si="15">C29*(E29-D29)</f>
        <v>175.95199999999977</v>
      </c>
      <c r="G29" s="40">
        <f t="shared" ref="G29:G30" si="16">D29*C29</f>
        <v>4353.6480000000001</v>
      </c>
      <c r="H29" s="231">
        <f t="shared" ref="H29:H30" si="17">(E29-D29)/D29</f>
        <v>4.0414842908751414E-2</v>
      </c>
      <c r="I29" s="40"/>
      <c r="W29" s="94">
        <v>42727</v>
      </c>
      <c r="X29" s="10">
        <v>55.78</v>
      </c>
      <c r="Y29" s="10">
        <v>55.98</v>
      </c>
      <c r="Z29" s="10">
        <v>55.62</v>
      </c>
      <c r="AA29" s="10">
        <v>55.96</v>
      </c>
      <c r="AB29" s="95">
        <v>8313000</v>
      </c>
      <c r="AC29" s="10">
        <v>55.58</v>
      </c>
      <c r="AD29" s="2">
        <f t="shared" si="1"/>
        <v>0.35999999999999943</v>
      </c>
      <c r="AE29" s="138">
        <f t="shared" si="2"/>
        <v>3.7926675094817064E-3</v>
      </c>
    </row>
    <row r="30" spans="1:40" x14ac:dyDescent="0.25">
      <c r="A30" t="s">
        <v>498</v>
      </c>
      <c r="B30" s="193">
        <v>42767</v>
      </c>
      <c r="C30" s="10">
        <v>80</v>
      </c>
      <c r="D30" s="200">
        <v>54.2363</v>
      </c>
      <c r="E30" s="40">
        <v>55.91</v>
      </c>
      <c r="F30" s="40">
        <f t="shared" si="15"/>
        <v>133.89599999999973</v>
      </c>
      <c r="G30" s="40">
        <f t="shared" si="16"/>
        <v>4338.9040000000005</v>
      </c>
      <c r="H30" s="231">
        <f t="shared" si="17"/>
        <v>3.085940596980245E-2</v>
      </c>
      <c r="I30" s="40"/>
      <c r="W30" s="94">
        <v>42726</v>
      </c>
      <c r="X30" s="10">
        <v>55.76</v>
      </c>
      <c r="Y30" s="10">
        <v>56.03</v>
      </c>
      <c r="Z30" s="10">
        <v>55.5</v>
      </c>
      <c r="AA30" s="10">
        <v>55.75</v>
      </c>
      <c r="AB30" s="95">
        <v>14515500</v>
      </c>
      <c r="AC30" s="10">
        <v>55.37</v>
      </c>
      <c r="AD30" s="2">
        <f t="shared" si="1"/>
        <v>0.53000000000000114</v>
      </c>
      <c r="AE30" s="138">
        <f t="shared" si="2"/>
        <v>7.2293511657317566E-4</v>
      </c>
    </row>
    <row r="31" spans="1:40" x14ac:dyDescent="0.25">
      <c r="B31" s="193"/>
      <c r="C31" s="10"/>
      <c r="D31" s="200"/>
      <c r="E31" s="40"/>
      <c r="F31" s="40"/>
      <c r="G31" s="40"/>
      <c r="H31" s="231"/>
      <c r="I31" s="40"/>
      <c r="W31" s="94">
        <v>42725</v>
      </c>
      <c r="X31" s="10">
        <v>56.09</v>
      </c>
      <c r="Y31" s="10">
        <v>56.09</v>
      </c>
      <c r="Z31" s="10">
        <v>55.64</v>
      </c>
      <c r="AA31" s="10">
        <v>55.71</v>
      </c>
      <c r="AB31" s="95">
        <v>14058400</v>
      </c>
      <c r="AC31" s="10">
        <v>55.33</v>
      </c>
      <c r="AD31" s="2">
        <f t="shared" si="1"/>
        <v>0.45000000000000284</v>
      </c>
      <c r="AE31" s="138">
        <f t="shared" si="2"/>
        <v>-6.9992821249102999E-3</v>
      </c>
    </row>
    <row r="32" spans="1:40" x14ac:dyDescent="0.25">
      <c r="B32" s="193"/>
      <c r="C32" s="10"/>
      <c r="D32" s="200"/>
      <c r="E32" s="40"/>
      <c r="F32" s="40"/>
      <c r="G32" s="40"/>
      <c r="H32" s="231"/>
      <c r="I32" s="40"/>
      <c r="W32" s="94">
        <v>42724</v>
      </c>
      <c r="X32" s="10">
        <v>55.47</v>
      </c>
      <c r="Y32" s="10">
        <v>56.32</v>
      </c>
      <c r="Z32" s="10">
        <v>55.15</v>
      </c>
      <c r="AA32" s="10">
        <v>56.1</v>
      </c>
      <c r="AB32" s="95">
        <v>19245300</v>
      </c>
      <c r="AC32" s="10">
        <v>55.72</v>
      </c>
      <c r="AD32" s="2">
        <f t="shared" si="1"/>
        <v>1.1700000000000017</v>
      </c>
      <c r="AE32" s="138">
        <f t="shared" si="2"/>
        <v>1.5861440291704554E-2</v>
      </c>
    </row>
    <row r="33" spans="2:31" x14ac:dyDescent="0.25">
      <c r="B33" s="193"/>
      <c r="C33" s="10"/>
      <c r="D33" s="200"/>
      <c r="E33" s="40"/>
      <c r="F33" s="40"/>
      <c r="G33" s="40"/>
      <c r="H33" s="231"/>
      <c r="I33" s="40"/>
      <c r="W33" s="94">
        <v>42723</v>
      </c>
      <c r="X33" s="10">
        <v>55.18</v>
      </c>
      <c r="Y33" s="10">
        <v>55.47</v>
      </c>
      <c r="Z33" s="10">
        <v>54.65</v>
      </c>
      <c r="AA33" s="10">
        <v>55.22</v>
      </c>
      <c r="AB33" s="95">
        <v>16801400</v>
      </c>
      <c r="AC33" s="10">
        <v>54.85</v>
      </c>
      <c r="AD33" s="2">
        <f t="shared" si="1"/>
        <v>0.82000000000000028</v>
      </c>
      <c r="AE33" s="138">
        <f t="shared" si="2"/>
        <v>-2.1830089139530662E-3</v>
      </c>
    </row>
    <row r="34" spans="2:31" x14ac:dyDescent="0.25">
      <c r="B34" s="193"/>
      <c r="C34" s="10"/>
      <c r="D34" s="200"/>
      <c r="E34" s="40"/>
      <c r="F34" s="40"/>
      <c r="G34" s="40"/>
      <c r="H34" s="231"/>
      <c r="I34" s="40"/>
      <c r="W34" s="94">
        <v>42720</v>
      </c>
      <c r="X34" s="10">
        <v>55.49</v>
      </c>
      <c r="Y34" s="10">
        <v>55.65</v>
      </c>
      <c r="Z34" s="10">
        <v>54.92</v>
      </c>
      <c r="AA34" s="10">
        <v>55.34</v>
      </c>
      <c r="AB34" s="95">
        <v>33171800</v>
      </c>
      <c r="AC34" s="10">
        <v>54.97</v>
      </c>
      <c r="AD34" s="2">
        <f t="shared" si="1"/>
        <v>0.72999999999999687</v>
      </c>
      <c r="AE34" s="138">
        <f t="shared" si="2"/>
        <v>2.7362276541407216E-3</v>
      </c>
    </row>
    <row r="35" spans="2:31" x14ac:dyDescent="0.25">
      <c r="B35" s="193"/>
      <c r="C35" s="10"/>
      <c r="D35" s="200"/>
      <c r="E35" s="40"/>
      <c r="F35" s="40"/>
      <c r="G35" s="40"/>
      <c r="H35" s="231"/>
      <c r="I35" s="40"/>
      <c r="W35" s="94">
        <v>42719</v>
      </c>
      <c r="X35" s="10">
        <v>55.17</v>
      </c>
      <c r="Y35" s="10">
        <v>56.25</v>
      </c>
      <c r="Z35" s="10">
        <v>54.9</v>
      </c>
      <c r="AA35" s="10">
        <v>55.19</v>
      </c>
      <c r="AB35" s="95">
        <v>31345900</v>
      </c>
      <c r="AC35" s="10">
        <v>54.82</v>
      </c>
      <c r="AD35" s="2">
        <f t="shared" si="1"/>
        <v>1.3500000000000014</v>
      </c>
      <c r="AE35" s="138">
        <f t="shared" si="2"/>
        <v>9.0189582182955697E-3</v>
      </c>
    </row>
    <row r="36" spans="2:31" x14ac:dyDescent="0.25">
      <c r="B36" s="193"/>
      <c r="C36" s="10"/>
      <c r="D36" s="200"/>
      <c r="E36" s="40"/>
      <c r="F36" s="40"/>
      <c r="G36" s="40"/>
      <c r="H36" s="231"/>
      <c r="I36" s="40"/>
      <c r="W36" s="94">
        <v>42718</v>
      </c>
      <c r="X36" s="10">
        <v>54.74</v>
      </c>
      <c r="Y36" s="10">
        <v>55.62</v>
      </c>
      <c r="Z36" s="10">
        <v>54.03</v>
      </c>
      <c r="AA36" s="10">
        <v>54.7</v>
      </c>
      <c r="AB36" s="95">
        <v>54590600</v>
      </c>
      <c r="AC36" s="10">
        <v>54.33</v>
      </c>
      <c r="AD36" s="2">
        <f t="shared" si="1"/>
        <v>1.5899999999999963</v>
      </c>
      <c r="AE36" s="138">
        <f t="shared" si="2"/>
        <v>-2.0375045077533405E-2</v>
      </c>
    </row>
    <row r="37" spans="2:31" x14ac:dyDescent="0.25">
      <c r="B37" s="193"/>
      <c r="C37" s="10"/>
      <c r="D37" s="200"/>
      <c r="E37" s="40"/>
      <c r="F37" s="40"/>
      <c r="G37" s="40"/>
      <c r="H37" s="231"/>
      <c r="I37" s="40"/>
      <c r="W37" s="94">
        <v>42717</v>
      </c>
      <c r="X37" s="10">
        <v>55.85</v>
      </c>
      <c r="Y37" s="10">
        <v>56.21</v>
      </c>
      <c r="Z37" s="10">
        <v>55.29</v>
      </c>
      <c r="AA37" s="10">
        <v>55.84</v>
      </c>
      <c r="AB37" s="95">
        <v>24355600</v>
      </c>
      <c r="AC37" s="10">
        <v>55.46</v>
      </c>
      <c r="AD37" s="2">
        <f t="shared" si="1"/>
        <v>0.92000000000000171</v>
      </c>
      <c r="AE37" s="138">
        <f t="shared" si="2"/>
        <v>1.0830324909747446E-3</v>
      </c>
    </row>
    <row r="38" spans="2:31" x14ac:dyDescent="0.25">
      <c r="W38" s="94">
        <v>42716</v>
      </c>
      <c r="X38" s="10">
        <v>56.5</v>
      </c>
      <c r="Y38" s="10">
        <v>57.1</v>
      </c>
      <c r="Z38" s="10">
        <v>55.55</v>
      </c>
      <c r="AA38" s="10">
        <v>55.78</v>
      </c>
      <c r="AB38" s="95">
        <v>27886200</v>
      </c>
      <c r="AC38" s="10">
        <v>55.4</v>
      </c>
      <c r="AD38" s="2">
        <f t="shared" si="1"/>
        <v>1.5500000000000043</v>
      </c>
      <c r="AE38" s="138">
        <f t="shared" si="2"/>
        <v>-2.3788546255506637E-2</v>
      </c>
    </row>
    <row r="39" spans="2:31" ht="20.25" thickBot="1" x14ac:dyDescent="0.35">
      <c r="O39" s="11"/>
      <c r="P39" s="638" t="s">
        <v>78</v>
      </c>
      <c r="Q39" s="638"/>
      <c r="R39" s="34"/>
      <c r="W39" s="94">
        <v>42713</v>
      </c>
      <c r="X39" s="10">
        <v>56.91</v>
      </c>
      <c r="Y39" s="10">
        <v>57.24</v>
      </c>
      <c r="Z39" s="10">
        <v>56.49</v>
      </c>
      <c r="AA39" s="10">
        <v>57.14</v>
      </c>
      <c r="AB39" s="95">
        <v>20331200</v>
      </c>
      <c r="AC39" s="10">
        <v>56.75</v>
      </c>
      <c r="AD39" s="2">
        <f t="shared" si="1"/>
        <v>0.75</v>
      </c>
      <c r="AE39" s="138">
        <f t="shared" si="2"/>
        <v>-2.6362038664322629E-3</v>
      </c>
    </row>
    <row r="40" spans="2:31" ht="15.75" thickTop="1" x14ac:dyDescent="0.25">
      <c r="B40" s="191" t="s">
        <v>114</v>
      </c>
      <c r="C40" s="191" t="s">
        <v>147</v>
      </c>
      <c r="D40" s="192" t="s">
        <v>146</v>
      </c>
      <c r="E40" s="194" t="s">
        <v>148</v>
      </c>
      <c r="F40" s="194" t="s">
        <v>65</v>
      </c>
      <c r="G40" s="229" t="s">
        <v>152</v>
      </c>
      <c r="H40" s="229" t="s">
        <v>88</v>
      </c>
      <c r="I40" s="229" t="s">
        <v>155</v>
      </c>
      <c r="O40" s="2"/>
      <c r="P40" s="83">
        <v>1.1000000000000001</v>
      </c>
      <c r="Q40" s="83">
        <f>P40*$Q$4</f>
        <v>62.997000000000007</v>
      </c>
      <c r="R40" s="34"/>
      <c r="W40" s="94">
        <v>42712</v>
      </c>
      <c r="X40" s="10">
        <v>57.29</v>
      </c>
      <c r="Y40" s="10">
        <v>58.02</v>
      </c>
      <c r="Z40" s="10">
        <v>56.71</v>
      </c>
      <c r="AA40" s="10">
        <v>57.29</v>
      </c>
      <c r="AB40" s="95">
        <v>39828600</v>
      </c>
      <c r="AC40" s="10">
        <v>56.9</v>
      </c>
      <c r="AD40" s="2">
        <f t="shared" si="1"/>
        <v>1.3100000000000023</v>
      </c>
      <c r="AE40" s="138">
        <f t="shared" si="2"/>
        <v>1.7577781683941751E-4</v>
      </c>
    </row>
    <row r="41" spans="2:31" x14ac:dyDescent="0.25">
      <c r="B41" s="380">
        <v>42376</v>
      </c>
      <c r="C41" s="381">
        <v>40</v>
      </c>
      <c r="D41" s="386">
        <v>50.5</v>
      </c>
      <c r="E41" s="382">
        <v>50.4</v>
      </c>
      <c r="F41" s="382">
        <f t="shared" ref="F41:F63" si="18">C41*(E41-D41)</f>
        <v>-4.0000000000000568</v>
      </c>
      <c r="G41" s="382">
        <f t="shared" ref="G41:G63" si="19">D41*C41</f>
        <v>2020</v>
      </c>
      <c r="H41" s="383">
        <f t="shared" ref="H41:H63" si="20">(E41-D41)/D41</f>
        <v>-1.9801980198020084E-3</v>
      </c>
      <c r="I41" s="382"/>
      <c r="O41" s="2"/>
      <c r="P41" s="83">
        <v>1.0900000000000001</v>
      </c>
      <c r="Q41" s="83">
        <f t="shared" ref="Q41:Q60" si="21">P41*$Q$4</f>
        <v>62.424300000000009</v>
      </c>
      <c r="R41" s="34"/>
      <c r="W41" s="94">
        <v>42711</v>
      </c>
      <c r="X41" s="10">
        <v>55.55</v>
      </c>
      <c r="Y41" s="10">
        <v>57.29</v>
      </c>
      <c r="Z41" s="10">
        <v>55.23</v>
      </c>
      <c r="AA41" s="10">
        <v>57.28</v>
      </c>
      <c r="AB41" s="95">
        <v>46617000</v>
      </c>
      <c r="AC41" s="10">
        <v>56.89</v>
      </c>
      <c r="AD41" s="2">
        <f t="shared" si="1"/>
        <v>2.0600000000000023</v>
      </c>
      <c r="AE41" s="138">
        <f t="shared" si="2"/>
        <v>3.0989488945269983E-2</v>
      </c>
    </row>
    <row r="42" spans="2:31" ht="20.25" thickBot="1" x14ac:dyDescent="0.35">
      <c r="B42" s="380">
        <v>42403</v>
      </c>
      <c r="C42" s="381">
        <v>40</v>
      </c>
      <c r="D42" s="386">
        <v>50.5</v>
      </c>
      <c r="E42" s="382">
        <v>47.6</v>
      </c>
      <c r="F42" s="382">
        <f t="shared" si="18"/>
        <v>-115.99999999999994</v>
      </c>
      <c r="G42" s="382">
        <f t="shared" si="19"/>
        <v>2020</v>
      </c>
      <c r="H42" s="383">
        <f t="shared" si="20"/>
        <v>-5.74257425742574E-2</v>
      </c>
      <c r="I42" s="382"/>
      <c r="O42" s="2"/>
      <c r="P42" s="83">
        <v>1.08</v>
      </c>
      <c r="Q42" s="83">
        <f t="shared" si="21"/>
        <v>61.851600000000005</v>
      </c>
      <c r="R42" s="34"/>
      <c r="T42" s="91" t="s">
        <v>113</v>
      </c>
      <c r="W42" s="94">
        <v>42710</v>
      </c>
      <c r="X42" s="10">
        <v>54.45</v>
      </c>
      <c r="Y42" s="10">
        <v>55.57</v>
      </c>
      <c r="Z42" s="10">
        <v>54.22</v>
      </c>
      <c r="AA42" s="10">
        <v>55.55</v>
      </c>
      <c r="AB42" s="95">
        <v>30706700</v>
      </c>
      <c r="AC42" s="10">
        <v>55.18</v>
      </c>
      <c r="AD42" s="2">
        <f t="shared" si="1"/>
        <v>1.3500000000000014</v>
      </c>
      <c r="AE42" s="138">
        <f t="shared" si="2"/>
        <v>2.2230455724342457E-2</v>
      </c>
    </row>
    <row r="43" spans="2:31" ht="15.75" thickTop="1" x14ac:dyDescent="0.25">
      <c r="B43" s="380">
        <v>42430</v>
      </c>
      <c r="C43" s="381">
        <v>40</v>
      </c>
      <c r="D43" s="386">
        <v>50.125</v>
      </c>
      <c r="E43" s="382">
        <v>48.72</v>
      </c>
      <c r="F43" s="382">
        <f t="shared" si="18"/>
        <v>-56.200000000000045</v>
      </c>
      <c r="G43" s="382">
        <f t="shared" si="19"/>
        <v>2005</v>
      </c>
      <c r="H43" s="383">
        <f t="shared" si="20"/>
        <v>-2.8029925187032442E-2</v>
      </c>
      <c r="I43" s="382" t="s">
        <v>186</v>
      </c>
      <c r="O43" s="2"/>
      <c r="P43" s="83">
        <v>1.07</v>
      </c>
      <c r="Q43" s="83">
        <f t="shared" si="21"/>
        <v>61.278900000000007</v>
      </c>
      <c r="R43" s="83"/>
      <c r="T43" s="97" t="s">
        <v>98</v>
      </c>
      <c r="U43" s="98">
        <v>55.91</v>
      </c>
      <c r="W43" s="94">
        <v>42709</v>
      </c>
      <c r="X43" s="10">
        <v>53.9</v>
      </c>
      <c r="Y43" s="10">
        <v>54.53</v>
      </c>
      <c r="Z43" s="10">
        <v>53.87</v>
      </c>
      <c r="AA43" s="10">
        <v>54.35</v>
      </c>
      <c r="AB43" s="95">
        <v>24793900</v>
      </c>
      <c r="AC43" s="10">
        <v>53.98</v>
      </c>
      <c r="AD43" s="2">
        <f t="shared" si="1"/>
        <v>0.66000000000000369</v>
      </c>
      <c r="AE43" s="138">
        <f t="shared" si="2"/>
        <v>1.4280345734686062E-2</v>
      </c>
    </row>
    <row r="44" spans="2:31" x14ac:dyDescent="0.25">
      <c r="B44" s="380">
        <v>42431</v>
      </c>
      <c r="C44" s="381">
        <v>40</v>
      </c>
      <c r="D44" s="386">
        <v>50.125</v>
      </c>
      <c r="E44" s="382">
        <v>49.57</v>
      </c>
      <c r="F44" s="382">
        <f t="shared" si="18"/>
        <v>-22.199999999999989</v>
      </c>
      <c r="G44" s="382">
        <f t="shared" si="19"/>
        <v>2005</v>
      </c>
      <c r="H44" s="383">
        <f t="shared" si="20"/>
        <v>-1.1072319201995006E-2</v>
      </c>
      <c r="I44" s="382"/>
      <c r="O44" s="2"/>
      <c r="P44" s="83">
        <v>1.06</v>
      </c>
      <c r="Q44" s="83">
        <f t="shared" si="21"/>
        <v>60.70620000000001</v>
      </c>
      <c r="R44" s="83"/>
      <c r="T44" s="87" t="s">
        <v>99</v>
      </c>
      <c r="U44" s="88">
        <v>55.56</v>
      </c>
      <c r="W44" s="94">
        <v>42706</v>
      </c>
      <c r="X44" s="10">
        <v>54.24</v>
      </c>
      <c r="Y44" s="10">
        <v>54.27</v>
      </c>
      <c r="Z44" s="10">
        <v>53.31</v>
      </c>
      <c r="AA44" s="10">
        <v>53.58</v>
      </c>
      <c r="AB44" s="95">
        <v>21894700</v>
      </c>
      <c r="AC44" s="10">
        <v>53.22</v>
      </c>
      <c r="AD44" s="2">
        <f t="shared" si="1"/>
        <v>0.96000000000000085</v>
      </c>
      <c r="AE44" s="138">
        <f t="shared" si="2"/>
        <v>-1.3896609227348478E-2</v>
      </c>
    </row>
    <row r="45" spans="2:31" x14ac:dyDescent="0.25">
      <c r="B45" s="380">
        <v>42438</v>
      </c>
      <c r="C45" s="381">
        <v>40</v>
      </c>
      <c r="D45" s="386">
        <v>50.125</v>
      </c>
      <c r="E45" s="382">
        <v>48.79</v>
      </c>
      <c r="F45" s="382">
        <f t="shared" si="18"/>
        <v>-53.400000000000034</v>
      </c>
      <c r="G45" s="382">
        <f t="shared" si="19"/>
        <v>2005</v>
      </c>
      <c r="H45" s="383">
        <f t="shared" si="20"/>
        <v>-2.6633416458852886E-2</v>
      </c>
      <c r="I45" s="382"/>
      <c r="O45" s="2"/>
      <c r="P45" s="83">
        <v>1.05</v>
      </c>
      <c r="Q45" s="83">
        <f t="shared" si="21"/>
        <v>60.133500000000005</v>
      </c>
      <c r="R45" s="83"/>
      <c r="T45" s="87" t="s">
        <v>100</v>
      </c>
      <c r="U45" s="88" t="s">
        <v>129</v>
      </c>
      <c r="W45" s="94">
        <v>42705</v>
      </c>
      <c r="X45" s="10">
        <v>53.13</v>
      </c>
      <c r="Y45" s="10">
        <v>54.47</v>
      </c>
      <c r="Z45" s="10">
        <v>53.06</v>
      </c>
      <c r="AA45" s="10">
        <v>54.34</v>
      </c>
      <c r="AB45" s="95">
        <v>35623100</v>
      </c>
      <c r="AC45" s="10">
        <v>53.97</v>
      </c>
      <c r="AD45" s="2">
        <f t="shared" si="1"/>
        <v>1.4099999999999966</v>
      </c>
      <c r="AE45" s="138">
        <f t="shared" si="2"/>
        <v>2.6826484018264818E-2</v>
      </c>
    </row>
    <row r="46" spans="2:31" x14ac:dyDescent="0.25">
      <c r="B46" s="380">
        <v>42444</v>
      </c>
      <c r="C46" s="402">
        <v>40</v>
      </c>
      <c r="D46" s="553">
        <v>50.125</v>
      </c>
      <c r="E46" s="382">
        <v>49.98</v>
      </c>
      <c r="F46" s="382">
        <f t="shared" si="18"/>
        <v>-5.8000000000001251</v>
      </c>
      <c r="G46" s="382">
        <f t="shared" si="19"/>
        <v>2005</v>
      </c>
      <c r="H46" s="383">
        <f t="shared" si="20"/>
        <v>-2.8927680798005611E-3</v>
      </c>
      <c r="I46" s="382"/>
      <c r="O46" s="2"/>
      <c r="P46" s="83">
        <v>1.04</v>
      </c>
      <c r="Q46" s="83">
        <f t="shared" si="21"/>
        <v>59.560800000000008</v>
      </c>
      <c r="R46" s="83"/>
      <c r="T46" s="87" t="s">
        <v>101</v>
      </c>
      <c r="U46" s="88" t="s">
        <v>129</v>
      </c>
      <c r="W46" s="94">
        <v>42704</v>
      </c>
      <c r="X46" s="10">
        <v>52.48</v>
      </c>
      <c r="Y46" s="10">
        <v>53.16</v>
      </c>
      <c r="Z46" s="10">
        <v>52.3</v>
      </c>
      <c r="AA46" s="10">
        <v>52.92</v>
      </c>
      <c r="AB46" s="95">
        <v>26567200</v>
      </c>
      <c r="AC46" s="10">
        <v>52.56</v>
      </c>
      <c r="AD46" s="2">
        <f t="shared" si="1"/>
        <v>0.85999999999999943</v>
      </c>
      <c r="AE46" s="138">
        <f t="shared" si="2"/>
        <v>2.0384391380314559E-2</v>
      </c>
    </row>
    <row r="47" spans="2:31" x14ac:dyDescent="0.25">
      <c r="B47" s="380">
        <v>42466</v>
      </c>
      <c r="C47" s="402">
        <v>80</v>
      </c>
      <c r="D47" s="553">
        <v>48.752499999999998</v>
      </c>
      <c r="E47" s="382">
        <v>48.08</v>
      </c>
      <c r="F47" s="382">
        <f t="shared" si="18"/>
        <v>-53.799999999999955</v>
      </c>
      <c r="G47" s="382">
        <f t="shared" si="19"/>
        <v>3900.2</v>
      </c>
      <c r="H47" s="383">
        <f t="shared" si="20"/>
        <v>-1.3794164401825536E-2</v>
      </c>
      <c r="I47" s="382"/>
      <c r="O47" s="2"/>
      <c r="P47" s="83">
        <v>1.03</v>
      </c>
      <c r="Q47" s="83">
        <f t="shared" si="21"/>
        <v>58.988100000000003</v>
      </c>
      <c r="R47" s="83"/>
      <c r="T47" s="87" t="s">
        <v>102</v>
      </c>
      <c r="U47" s="88">
        <v>57.92</v>
      </c>
      <c r="W47" s="94">
        <v>42703</v>
      </c>
      <c r="X47" s="10">
        <v>51.56</v>
      </c>
      <c r="Y47" s="10">
        <v>52.13</v>
      </c>
      <c r="Z47" s="10">
        <v>51.56</v>
      </c>
      <c r="AA47" s="10">
        <v>51.86</v>
      </c>
      <c r="AB47" s="95">
        <v>16267300</v>
      </c>
      <c r="AC47" s="10">
        <v>51.51</v>
      </c>
      <c r="AD47" s="2">
        <f t="shared" si="1"/>
        <v>0.57000000000000028</v>
      </c>
      <c r="AE47" s="138">
        <f t="shared" si="2"/>
        <v>5.4655475307436863E-3</v>
      </c>
    </row>
    <row r="48" spans="2:31" x14ac:dyDescent="0.25">
      <c r="B48" s="380">
        <v>42469</v>
      </c>
      <c r="C48" s="402">
        <v>80</v>
      </c>
      <c r="D48" s="553">
        <v>48.752499999999998</v>
      </c>
      <c r="E48" s="382">
        <v>47.07</v>
      </c>
      <c r="F48" s="382">
        <f t="shared" si="18"/>
        <v>-134.5999999999998</v>
      </c>
      <c r="G48" s="382">
        <f t="shared" si="19"/>
        <v>3900.2</v>
      </c>
      <c r="H48" s="383">
        <f t="shared" si="20"/>
        <v>-3.451105071534788E-2</v>
      </c>
      <c r="I48" s="382"/>
      <c r="O48" s="2"/>
      <c r="P48" s="83">
        <v>1.02</v>
      </c>
      <c r="Q48" s="83">
        <f t="shared" si="21"/>
        <v>58.415400000000005</v>
      </c>
      <c r="R48" s="83"/>
      <c r="T48" s="87" t="s">
        <v>103</v>
      </c>
      <c r="U48" s="88">
        <v>0.96955000000000002</v>
      </c>
      <c r="W48" s="94">
        <v>42702</v>
      </c>
      <c r="X48" s="10">
        <v>52.12</v>
      </c>
      <c r="Y48" s="10">
        <v>52.48</v>
      </c>
      <c r="Z48" s="10">
        <v>51.39</v>
      </c>
      <c r="AA48" s="10">
        <v>51.58</v>
      </c>
      <c r="AB48" s="95">
        <v>26518500</v>
      </c>
      <c r="AC48" s="10">
        <v>51.23</v>
      </c>
      <c r="AD48" s="2">
        <f t="shared" si="1"/>
        <v>1.0899999999999963</v>
      </c>
      <c r="AE48" s="138">
        <f t="shared" si="2"/>
        <v>-1.9896690262100725E-2</v>
      </c>
    </row>
    <row r="49" spans="2:31" x14ac:dyDescent="0.25">
      <c r="B49" s="380">
        <v>42473</v>
      </c>
      <c r="C49" s="402">
        <v>40</v>
      </c>
      <c r="D49" s="553">
        <v>48.595999999999997</v>
      </c>
      <c r="E49" s="382">
        <v>49.03</v>
      </c>
      <c r="F49" s="382">
        <f t="shared" si="18"/>
        <v>17.360000000000184</v>
      </c>
      <c r="G49" s="382">
        <f t="shared" si="19"/>
        <v>1943.84</v>
      </c>
      <c r="H49" s="383">
        <f t="shared" si="20"/>
        <v>8.9307761955717477E-3</v>
      </c>
      <c r="I49" s="382"/>
      <c r="O49" s="2"/>
      <c r="P49" s="83">
        <v>1.01</v>
      </c>
      <c r="Q49" s="83">
        <f t="shared" si="21"/>
        <v>57.842700000000001</v>
      </c>
      <c r="R49" s="83"/>
      <c r="T49" s="87" t="s">
        <v>104</v>
      </c>
      <c r="U49" s="89" t="s">
        <v>404</v>
      </c>
      <c r="W49" s="94">
        <v>42699</v>
      </c>
      <c r="X49" s="10">
        <v>52.4</v>
      </c>
      <c r="Y49" s="10">
        <v>52.62</v>
      </c>
      <c r="Z49" s="10">
        <v>52.04</v>
      </c>
      <c r="AA49" s="10">
        <v>52.62</v>
      </c>
      <c r="AB49" s="95">
        <v>9635500</v>
      </c>
      <c r="AC49" s="10">
        <v>52.27</v>
      </c>
      <c r="AD49" s="2">
        <f t="shared" si="1"/>
        <v>0.57999999999999829</v>
      </c>
      <c r="AE49" s="138">
        <f t="shared" si="2"/>
        <v>8.8785948658560709E-3</v>
      </c>
    </row>
    <row r="50" spans="2:31" x14ac:dyDescent="0.25">
      <c r="B50" s="380">
        <v>42474</v>
      </c>
      <c r="C50" s="402">
        <v>80</v>
      </c>
      <c r="D50" s="553">
        <v>48.573</v>
      </c>
      <c r="E50" s="382">
        <v>48.79</v>
      </c>
      <c r="F50" s="382">
        <f t="shared" si="18"/>
        <v>17.3599999999999</v>
      </c>
      <c r="G50" s="382">
        <f t="shared" si="19"/>
        <v>3885.84</v>
      </c>
      <c r="H50" s="383">
        <f t="shared" si="20"/>
        <v>4.4675025219772044E-3</v>
      </c>
      <c r="I50" s="382"/>
      <c r="O50" s="2"/>
      <c r="P50" s="83">
        <v>1</v>
      </c>
      <c r="Q50" s="83">
        <f t="shared" si="21"/>
        <v>57.27</v>
      </c>
      <c r="R50" s="83"/>
      <c r="T50" s="87"/>
      <c r="U50" s="88"/>
      <c r="W50" s="94">
        <v>42697</v>
      </c>
      <c r="X50" s="10">
        <v>52.45</v>
      </c>
      <c r="Y50" s="10">
        <v>52.63</v>
      </c>
      <c r="Z50" s="10">
        <v>51.95</v>
      </c>
      <c r="AA50" s="10">
        <v>52.16</v>
      </c>
      <c r="AB50" s="95">
        <v>19986800</v>
      </c>
      <c r="AC50" s="10">
        <v>51.81</v>
      </c>
      <c r="AD50" s="2">
        <f t="shared" si="1"/>
        <v>0.67999999999999972</v>
      </c>
      <c r="AE50" s="138">
        <f t="shared" si="2"/>
        <v>-1.1567379988431936E-3</v>
      </c>
    </row>
    <row r="51" spans="2:31" x14ac:dyDescent="0.25">
      <c r="B51" s="380">
        <v>42484</v>
      </c>
      <c r="C51" s="402">
        <v>80</v>
      </c>
      <c r="D51" s="553">
        <v>48.573</v>
      </c>
      <c r="E51" s="382">
        <v>50.62</v>
      </c>
      <c r="F51" s="382">
        <f t="shared" si="18"/>
        <v>163.75999999999976</v>
      </c>
      <c r="G51" s="382">
        <f t="shared" si="19"/>
        <v>3885.84</v>
      </c>
      <c r="H51" s="383">
        <f t="shared" si="20"/>
        <v>4.214275420501095E-2</v>
      </c>
      <c r="I51" s="382"/>
      <c r="O51" s="2"/>
      <c r="P51" s="83">
        <v>0.99</v>
      </c>
      <c r="Q51" s="83">
        <f t="shared" si="21"/>
        <v>56.697300000000006</v>
      </c>
      <c r="R51" s="83"/>
      <c r="T51" s="87" t="s">
        <v>105</v>
      </c>
      <c r="U51" s="88" t="s">
        <v>619</v>
      </c>
      <c r="W51" s="94">
        <v>42696</v>
      </c>
      <c r="X51" s="10">
        <v>52.43</v>
      </c>
      <c r="Y51" s="10">
        <v>52.58</v>
      </c>
      <c r="Z51" s="10">
        <v>51.81</v>
      </c>
      <c r="AA51" s="10">
        <v>52.22</v>
      </c>
      <c r="AB51" s="95">
        <v>22816900</v>
      </c>
      <c r="AC51" s="10">
        <v>51.87</v>
      </c>
      <c r="AD51" s="2">
        <f t="shared" si="1"/>
        <v>0.76999999999999602</v>
      </c>
      <c r="AE51" s="138">
        <f t="shared" si="2"/>
        <v>1.9316206297081973E-3</v>
      </c>
    </row>
    <row r="52" spans="2:31" x14ac:dyDescent="0.25">
      <c r="B52" s="380">
        <v>42487</v>
      </c>
      <c r="C52" s="402">
        <v>40</v>
      </c>
      <c r="D52" s="553">
        <v>46.177</v>
      </c>
      <c r="E52" s="382">
        <v>50.92</v>
      </c>
      <c r="F52" s="382">
        <f t="shared" si="18"/>
        <v>189.72000000000008</v>
      </c>
      <c r="G52" s="382">
        <f t="shared" si="19"/>
        <v>1847.08</v>
      </c>
      <c r="H52" s="383">
        <f t="shared" si="20"/>
        <v>0.10271347207484251</v>
      </c>
      <c r="I52" s="382"/>
      <c r="O52" s="2"/>
      <c r="P52" s="83">
        <v>0.98</v>
      </c>
      <c r="Q52" s="83">
        <f t="shared" si="21"/>
        <v>56.124600000000001</v>
      </c>
      <c r="R52" s="83"/>
      <c r="T52" s="87" t="s">
        <v>106</v>
      </c>
      <c r="U52" s="88" t="s">
        <v>348</v>
      </c>
      <c r="W52" s="94">
        <v>42695</v>
      </c>
      <c r="X52" s="10">
        <v>52.85</v>
      </c>
      <c r="Y52" s="10">
        <v>52.98</v>
      </c>
      <c r="Z52" s="10">
        <v>52.02</v>
      </c>
      <c r="AA52" s="10">
        <v>52.12</v>
      </c>
      <c r="AB52" s="95">
        <v>23587200</v>
      </c>
      <c r="AC52" s="10">
        <v>51.77</v>
      </c>
      <c r="AD52" s="2">
        <f t="shared" si="1"/>
        <v>0.95999999999999375</v>
      </c>
      <c r="AE52" s="138">
        <f t="shared" si="2"/>
        <v>-1.3152878383530298E-2</v>
      </c>
    </row>
    <row r="53" spans="2:31" x14ac:dyDescent="0.25">
      <c r="B53" s="380">
        <v>42489</v>
      </c>
      <c r="C53" s="402">
        <v>80</v>
      </c>
      <c r="D53" s="553">
        <v>48.093499999999999</v>
      </c>
      <c r="E53" s="382">
        <v>49.98</v>
      </c>
      <c r="F53" s="382">
        <f t="shared" si="18"/>
        <v>150.91999999999985</v>
      </c>
      <c r="G53" s="382">
        <f t="shared" si="19"/>
        <v>3847.48</v>
      </c>
      <c r="H53" s="383">
        <f t="shared" si="20"/>
        <v>3.9225674987264349E-2</v>
      </c>
      <c r="I53" s="382"/>
      <c r="O53" s="2"/>
      <c r="P53" s="83">
        <v>0.97</v>
      </c>
      <c r="Q53" s="83">
        <f t="shared" si="21"/>
        <v>55.551900000000003</v>
      </c>
      <c r="R53" s="83"/>
      <c r="T53" s="87" t="s">
        <v>107</v>
      </c>
      <c r="U53" s="90">
        <v>13044449</v>
      </c>
      <c r="W53" s="94">
        <v>42692</v>
      </c>
      <c r="X53" s="10">
        <v>52.45</v>
      </c>
      <c r="Y53" s="10">
        <v>52.98</v>
      </c>
      <c r="Z53" s="10">
        <v>51.99</v>
      </c>
      <c r="AA53" s="10">
        <v>52.82</v>
      </c>
      <c r="AB53" s="95">
        <v>29673400</v>
      </c>
      <c r="AC53" s="10">
        <v>52.46</v>
      </c>
      <c r="AD53" s="2">
        <f t="shared" si="1"/>
        <v>0.98999999999999488</v>
      </c>
      <c r="AE53" s="138">
        <f t="shared" si="2"/>
        <v>6.1373225930188013E-3</v>
      </c>
    </row>
    <row r="54" spans="2:31" x14ac:dyDescent="0.25">
      <c r="B54" s="380">
        <v>42502</v>
      </c>
      <c r="C54" s="402">
        <v>80</v>
      </c>
      <c r="D54" s="553">
        <v>48.093499999999999</v>
      </c>
      <c r="E54" s="382">
        <v>49.2</v>
      </c>
      <c r="F54" s="382">
        <f t="shared" si="18"/>
        <v>88.520000000000323</v>
      </c>
      <c r="G54" s="382">
        <f t="shared" si="19"/>
        <v>3847.48</v>
      </c>
      <c r="H54" s="383">
        <f t="shared" si="20"/>
        <v>2.3007267094305967E-2</v>
      </c>
      <c r="I54" s="382"/>
      <c r="O54" s="2"/>
      <c r="P54" s="83">
        <v>0.96</v>
      </c>
      <c r="Q54" s="83">
        <f t="shared" si="21"/>
        <v>54.979199999999999</v>
      </c>
      <c r="R54" s="83"/>
      <c r="T54" s="87" t="s">
        <v>110</v>
      </c>
      <c r="U54" s="90">
        <v>26051500</v>
      </c>
      <c r="W54" s="94">
        <v>42691</v>
      </c>
      <c r="X54" s="10">
        <v>51.39</v>
      </c>
      <c r="Y54" s="10">
        <v>52.9</v>
      </c>
      <c r="Z54" s="10">
        <v>50.96</v>
      </c>
      <c r="AA54" s="10">
        <v>52.49</v>
      </c>
      <c r="AB54" s="95">
        <v>29205900</v>
      </c>
      <c r="AC54" s="10">
        <v>52.14</v>
      </c>
      <c r="AD54" s="2">
        <f t="shared" si="1"/>
        <v>1.9399999999999977</v>
      </c>
      <c r="AE54" s="138">
        <f t="shared" si="2"/>
        <v>1.5780245470485177E-2</v>
      </c>
    </row>
    <row r="55" spans="2:31" x14ac:dyDescent="0.25">
      <c r="B55" s="380">
        <v>42503</v>
      </c>
      <c r="C55" s="402">
        <v>110</v>
      </c>
      <c r="D55" s="553">
        <v>48.122500000000002</v>
      </c>
      <c r="E55" s="382">
        <v>48.93</v>
      </c>
      <c r="F55" s="382">
        <f t="shared" si="18"/>
        <v>88.824999999999719</v>
      </c>
      <c r="G55" s="382">
        <f t="shared" si="19"/>
        <v>5293.4750000000004</v>
      </c>
      <c r="H55" s="383">
        <f t="shared" si="20"/>
        <v>1.678009247233617E-2</v>
      </c>
      <c r="I55" s="382"/>
      <c r="O55" s="2"/>
      <c r="P55" s="83">
        <v>0.95</v>
      </c>
      <c r="Q55" s="83">
        <f t="shared" si="21"/>
        <v>54.406500000000001</v>
      </c>
      <c r="R55" s="83"/>
      <c r="T55" s="87" t="s">
        <v>108</v>
      </c>
      <c r="U55" s="88" t="s">
        <v>620</v>
      </c>
      <c r="W55" s="94">
        <v>42690</v>
      </c>
      <c r="X55" s="10">
        <v>51.79</v>
      </c>
      <c r="Y55" s="10">
        <v>52.17</v>
      </c>
      <c r="Z55" s="10">
        <v>51.36</v>
      </c>
      <c r="AA55" s="10">
        <v>51.68</v>
      </c>
      <c r="AB55" s="95">
        <v>26996200</v>
      </c>
      <c r="AC55" s="10">
        <v>51.33</v>
      </c>
      <c r="AD55" s="2">
        <f t="shared" si="1"/>
        <v>0.81000000000000227</v>
      </c>
      <c r="AE55" s="138">
        <f>AC55/AC56-1</f>
        <v>-1.7419601837672327E-2</v>
      </c>
    </row>
    <row r="56" spans="2:31" x14ac:dyDescent="0.25">
      <c r="B56" s="380">
        <v>42506</v>
      </c>
      <c r="C56" s="402">
        <v>110</v>
      </c>
      <c r="D56" s="553">
        <v>48.122999999999998</v>
      </c>
      <c r="E56" s="382">
        <v>48.27</v>
      </c>
      <c r="F56" s="382">
        <f t="shared" si="18"/>
        <v>16.170000000000613</v>
      </c>
      <c r="G56" s="382">
        <f t="shared" si="19"/>
        <v>5293.53</v>
      </c>
      <c r="H56" s="383">
        <f t="shared" si="20"/>
        <v>3.0546724019700679E-3</v>
      </c>
      <c r="I56" s="382"/>
      <c r="O56" s="2"/>
      <c r="P56" s="83">
        <v>0.94</v>
      </c>
      <c r="Q56" s="83">
        <f t="shared" si="21"/>
        <v>53.833799999999997</v>
      </c>
      <c r="R56" s="83"/>
      <c r="T56" s="87" t="s">
        <v>111</v>
      </c>
      <c r="U56" s="88">
        <v>13.97</v>
      </c>
      <c r="W56" s="94">
        <v>42689</v>
      </c>
      <c r="X56" s="10">
        <v>52.38</v>
      </c>
      <c r="Y56" s="10">
        <v>52.59</v>
      </c>
      <c r="Z56" s="10">
        <v>51.54</v>
      </c>
      <c r="AA56" s="10">
        <v>52.59</v>
      </c>
      <c r="AB56" s="95">
        <v>39437900</v>
      </c>
      <c r="AC56" s="10">
        <v>52.24</v>
      </c>
      <c r="AD56" s="2">
        <f t="shared" si="1"/>
        <v>1.0500000000000043</v>
      </c>
      <c r="AE56" s="138">
        <f t="shared" si="2"/>
        <v>-1.1729095724555383E-2</v>
      </c>
    </row>
    <row r="57" spans="2:31" x14ac:dyDescent="0.25">
      <c r="B57" s="380">
        <v>42507</v>
      </c>
      <c r="C57" s="402">
        <v>110</v>
      </c>
      <c r="D57" s="553">
        <v>48.122500000000002</v>
      </c>
      <c r="E57" s="382">
        <v>47.62</v>
      </c>
      <c r="F57" s="382">
        <f t="shared" si="18"/>
        <v>-55.275000000000531</v>
      </c>
      <c r="G57" s="382">
        <f t="shared" si="19"/>
        <v>5293.4750000000004</v>
      </c>
      <c r="H57" s="383">
        <f t="shared" si="20"/>
        <v>-1.0442100888357937E-2</v>
      </c>
      <c r="I57" s="382"/>
      <c r="O57" s="2"/>
      <c r="P57" s="83">
        <v>0.93</v>
      </c>
      <c r="Q57" s="83">
        <f t="shared" si="21"/>
        <v>53.261100000000006</v>
      </c>
      <c r="R57" s="83"/>
      <c r="T57" s="87" t="s">
        <v>112</v>
      </c>
      <c r="U57" s="88">
        <v>3.99</v>
      </c>
      <c r="W57" s="94">
        <v>42688</v>
      </c>
      <c r="X57" s="10">
        <v>51.91</v>
      </c>
      <c r="Y57" s="10">
        <v>54.06</v>
      </c>
      <c r="Z57" s="10">
        <v>51.91</v>
      </c>
      <c r="AA57" s="10">
        <v>53.22</v>
      </c>
      <c r="AB57" s="95">
        <v>59154400</v>
      </c>
      <c r="AC57" s="10">
        <v>52.86</v>
      </c>
      <c r="AD57" s="2">
        <f t="shared" si="1"/>
        <v>2.1500000000000057</v>
      </c>
      <c r="AE57" s="138">
        <f t="shared" si="2"/>
        <v>2.8804982483456643E-2</v>
      </c>
    </row>
    <row r="58" spans="2:31" x14ac:dyDescent="0.25">
      <c r="B58" s="380">
        <v>42514</v>
      </c>
      <c r="C58" s="402">
        <v>70</v>
      </c>
      <c r="D58" s="553">
        <v>47.456000000000003</v>
      </c>
      <c r="E58" s="382">
        <v>49.2</v>
      </c>
      <c r="F58" s="382">
        <f t="shared" si="18"/>
        <v>122.07999999999998</v>
      </c>
      <c r="G58" s="382">
        <f t="shared" si="19"/>
        <v>3321.92</v>
      </c>
      <c r="H58" s="383">
        <f t="shared" si="20"/>
        <v>3.6749831422791632E-2</v>
      </c>
      <c r="I58" s="382"/>
      <c r="O58" s="2"/>
      <c r="P58" s="83">
        <v>0.92</v>
      </c>
      <c r="Q58" s="83">
        <f t="shared" si="21"/>
        <v>52.688400000000009</v>
      </c>
      <c r="R58" s="83"/>
      <c r="T58" s="87" t="s">
        <v>109</v>
      </c>
      <c r="U58" s="88" t="s">
        <v>621</v>
      </c>
      <c r="W58" s="94">
        <v>42685</v>
      </c>
      <c r="X58" s="10">
        <v>51.09</v>
      </c>
      <c r="Y58" s="10">
        <v>51.99</v>
      </c>
      <c r="Z58" s="10">
        <v>50.73</v>
      </c>
      <c r="AA58" s="10">
        <v>51.73</v>
      </c>
      <c r="AB58" s="95">
        <v>46594900</v>
      </c>
      <c r="AC58" s="10">
        <v>51.38</v>
      </c>
      <c r="AD58" s="2">
        <f t="shared" si="1"/>
        <v>1.2600000000000051</v>
      </c>
      <c r="AE58" s="138">
        <f t="shared" si="2"/>
        <v>1.9500780031200815E-3</v>
      </c>
    </row>
    <row r="59" spans="2:31" x14ac:dyDescent="0.25">
      <c r="B59" s="380">
        <v>42522</v>
      </c>
      <c r="C59" s="402">
        <v>50</v>
      </c>
      <c r="D59" s="553">
        <v>46.150799999999997</v>
      </c>
      <c r="E59" s="382">
        <v>51</v>
      </c>
      <c r="F59" s="382">
        <f t="shared" si="18"/>
        <v>242.46000000000015</v>
      </c>
      <c r="G59" s="382">
        <f t="shared" si="19"/>
        <v>2307.54</v>
      </c>
      <c r="H59" s="383">
        <f t="shared" si="20"/>
        <v>0.10507293481369778</v>
      </c>
      <c r="I59" s="382"/>
      <c r="O59" s="2"/>
      <c r="P59" s="83">
        <v>0.91</v>
      </c>
      <c r="Q59" s="83">
        <f t="shared" si="21"/>
        <v>52.115700000000004</v>
      </c>
      <c r="R59" s="83"/>
      <c r="W59" s="94">
        <v>42684</v>
      </c>
      <c r="X59" s="10">
        <v>48.93</v>
      </c>
      <c r="Y59" s="10">
        <v>51.93</v>
      </c>
      <c r="Z59" s="10">
        <v>48.79</v>
      </c>
      <c r="AA59" s="10">
        <v>51.63</v>
      </c>
      <c r="AB59" s="95">
        <v>100988800</v>
      </c>
      <c r="AC59" s="10">
        <v>51.28</v>
      </c>
      <c r="AD59" s="2">
        <f t="shared" si="1"/>
        <v>3.1400000000000006</v>
      </c>
      <c r="AE59" s="138">
        <f t="shared" si="2"/>
        <v>7.5728970002097773E-2</v>
      </c>
    </row>
    <row r="60" spans="2:31" x14ac:dyDescent="0.25">
      <c r="B60" s="380">
        <v>42524</v>
      </c>
      <c r="C60" s="402">
        <v>80</v>
      </c>
      <c r="D60" s="553">
        <v>47.218000000000004</v>
      </c>
      <c r="E60" s="382">
        <v>50.19</v>
      </c>
      <c r="F60" s="382">
        <f t="shared" si="18"/>
        <v>237.75999999999954</v>
      </c>
      <c r="G60" s="382">
        <f t="shared" si="19"/>
        <v>3777.4400000000005</v>
      </c>
      <c r="H60" s="383">
        <f t="shared" si="20"/>
        <v>6.2942098352323145E-2</v>
      </c>
      <c r="I60" s="382"/>
      <c r="O60" s="2"/>
      <c r="P60" s="83">
        <v>0.9</v>
      </c>
      <c r="Q60" s="83">
        <f t="shared" si="21"/>
        <v>51.543000000000006</v>
      </c>
      <c r="R60" s="83"/>
      <c r="W60" s="94">
        <v>42683</v>
      </c>
      <c r="X60" s="10">
        <v>46.33</v>
      </c>
      <c r="Y60" s="10">
        <v>48.61</v>
      </c>
      <c r="Z60" s="10">
        <v>46</v>
      </c>
      <c r="AA60" s="10">
        <v>47.99</v>
      </c>
      <c r="AB60" s="95">
        <v>67615000</v>
      </c>
      <c r="AC60" s="10">
        <v>47.67</v>
      </c>
      <c r="AD60" s="2">
        <f t="shared" si="1"/>
        <v>2.6099999999999994</v>
      </c>
      <c r="AE60" s="138">
        <f t="shared" si="2"/>
        <v>5.3946495688702356E-2</v>
      </c>
    </row>
    <row r="61" spans="2:31" x14ac:dyDescent="0.25">
      <c r="B61" s="380">
        <v>42527</v>
      </c>
      <c r="C61" s="402">
        <v>50</v>
      </c>
      <c r="D61" s="553">
        <v>45.195399999999999</v>
      </c>
      <c r="E61" s="382">
        <v>50.49</v>
      </c>
      <c r="F61" s="382">
        <f t="shared" si="18"/>
        <v>264.73000000000013</v>
      </c>
      <c r="G61" s="382">
        <f t="shared" si="19"/>
        <v>2259.77</v>
      </c>
      <c r="H61" s="383">
        <f t="shared" si="20"/>
        <v>0.11714909039415522</v>
      </c>
      <c r="I61" s="382"/>
      <c r="W61" s="94">
        <v>42682</v>
      </c>
      <c r="X61" s="10">
        <v>45.18</v>
      </c>
      <c r="Y61" s="10">
        <v>45.82</v>
      </c>
      <c r="Z61" s="10">
        <v>44.87</v>
      </c>
      <c r="AA61" s="10">
        <v>45.54</v>
      </c>
      <c r="AB61" s="95">
        <v>19462600</v>
      </c>
      <c r="AC61" s="10">
        <v>45.23</v>
      </c>
      <c r="AD61" s="2">
        <f t="shared" si="1"/>
        <v>0.95000000000000284</v>
      </c>
      <c r="AE61" s="138">
        <f t="shared" si="2"/>
        <v>3.1049013084940569E-3</v>
      </c>
    </row>
    <row r="62" spans="2:31" x14ac:dyDescent="0.25">
      <c r="B62" s="380">
        <v>42531</v>
      </c>
      <c r="C62" s="402">
        <v>80</v>
      </c>
      <c r="D62" s="553">
        <v>46.438400000000001</v>
      </c>
      <c r="E62" s="382">
        <v>48.34</v>
      </c>
      <c r="F62" s="382">
        <f t="shared" si="18"/>
        <v>152.12800000000016</v>
      </c>
      <c r="G62" s="382">
        <f t="shared" si="19"/>
        <v>3715.0720000000001</v>
      </c>
      <c r="H62" s="383">
        <f t="shared" si="20"/>
        <v>4.0948869900771817E-2</v>
      </c>
      <c r="I62" s="382"/>
      <c r="W62" s="94">
        <v>42681</v>
      </c>
      <c r="X62" s="10">
        <v>45.22</v>
      </c>
      <c r="Y62" s="10">
        <v>45.69</v>
      </c>
      <c r="Z62" s="10">
        <v>45.21</v>
      </c>
      <c r="AA62" s="10">
        <v>45.4</v>
      </c>
      <c r="AB62" s="95">
        <v>25769400</v>
      </c>
      <c r="AC62" s="10">
        <v>45.09</v>
      </c>
      <c r="AD62" s="2">
        <f t="shared" si="1"/>
        <v>0.47999999999999687</v>
      </c>
      <c r="AE62" s="138">
        <f t="shared" si="2"/>
        <v>1.7832957110609726E-2</v>
      </c>
    </row>
    <row r="63" spans="2:31" x14ac:dyDescent="0.25">
      <c r="B63" s="380">
        <v>42535</v>
      </c>
      <c r="C63" s="402">
        <v>80</v>
      </c>
      <c r="D63" s="553">
        <v>46.438000000000002</v>
      </c>
      <c r="E63" s="382">
        <v>46.88</v>
      </c>
      <c r="F63" s="382">
        <f t="shared" si="18"/>
        <v>35.360000000000014</v>
      </c>
      <c r="G63" s="382">
        <f t="shared" si="19"/>
        <v>3715.04</v>
      </c>
      <c r="H63" s="383">
        <f t="shared" si="20"/>
        <v>9.5180671002196501E-3</v>
      </c>
      <c r="I63" s="382"/>
      <c r="W63" s="94">
        <v>42678</v>
      </c>
      <c r="X63" s="10">
        <v>45.36</v>
      </c>
      <c r="Y63" s="10">
        <v>45.42</v>
      </c>
      <c r="Z63" s="10">
        <v>44.49</v>
      </c>
      <c r="AA63" s="10">
        <v>44.6</v>
      </c>
      <c r="AB63" s="95">
        <v>27391600</v>
      </c>
      <c r="AC63" s="10">
        <v>44.3</v>
      </c>
      <c r="AD63" s="2">
        <f t="shared" si="1"/>
        <v>0.92999999999999972</v>
      </c>
      <c r="AE63" s="138">
        <f t="shared" si="2"/>
        <v>-1.6211414612480657E-2</v>
      </c>
    </row>
    <row r="64" spans="2:31" x14ac:dyDescent="0.25">
      <c r="B64" s="380">
        <v>42549</v>
      </c>
      <c r="C64" s="381">
        <v>80</v>
      </c>
      <c r="D64" s="386">
        <v>46.438000000000002</v>
      </c>
      <c r="E64" s="382">
        <v>46.1</v>
      </c>
      <c r="F64" s="382">
        <f t="shared" ref="F64" si="22">C64*(E64-D64)</f>
        <v>-27.040000000000077</v>
      </c>
      <c r="G64" s="382">
        <f t="shared" ref="G64" si="23">D64*C64</f>
        <v>3715.04</v>
      </c>
      <c r="H64" s="383">
        <f t="shared" ref="H64" si="24">(E64-D64)/D64</f>
        <v>-7.2785219001679866E-3</v>
      </c>
      <c r="I64" s="471">
        <v>45</v>
      </c>
      <c r="W64" s="94">
        <v>42677</v>
      </c>
      <c r="X64" s="10">
        <v>45.33</v>
      </c>
      <c r="Y64" s="10">
        <v>45.79</v>
      </c>
      <c r="Z64" s="10">
        <v>45.25</v>
      </c>
      <c r="AA64" s="10">
        <v>45.34</v>
      </c>
      <c r="AB64" s="95">
        <v>14982700</v>
      </c>
      <c r="AC64" s="10">
        <v>45.03</v>
      </c>
      <c r="AD64" s="2">
        <f t="shared" si="1"/>
        <v>0.53999999999999915</v>
      </c>
      <c r="AE64" s="138">
        <f t="shared" si="2"/>
        <v>2.2256843979524543E-3</v>
      </c>
    </row>
    <row r="65" spans="2:31" x14ac:dyDescent="0.25">
      <c r="B65" s="380">
        <v>42552</v>
      </c>
      <c r="C65" s="381">
        <v>80</v>
      </c>
      <c r="D65" s="386">
        <v>46.438400000000001</v>
      </c>
      <c r="E65" s="382">
        <v>47.03</v>
      </c>
      <c r="F65" s="382">
        <f t="shared" ref="F65" si="25">C65*(E65-D65)</f>
        <v>47.327999999999975</v>
      </c>
      <c r="G65" s="382">
        <f t="shared" ref="G65" si="26">D65*C65</f>
        <v>3715.0720000000001</v>
      </c>
      <c r="H65" s="383">
        <f t="shared" ref="H65" si="27">(E65-D65)/D65</f>
        <v>1.2739457001102529E-2</v>
      </c>
      <c r="I65" s="382"/>
      <c r="W65" s="94">
        <v>42676</v>
      </c>
      <c r="X65" s="10">
        <v>45.38</v>
      </c>
      <c r="Y65" s="10">
        <v>45.51</v>
      </c>
      <c r="Z65" s="10">
        <v>45.07</v>
      </c>
      <c r="AA65" s="10">
        <v>45.24</v>
      </c>
      <c r="AB65" s="95">
        <v>19566600</v>
      </c>
      <c r="AC65" s="10">
        <v>44.93</v>
      </c>
      <c r="AD65" s="2">
        <f t="shared" si="1"/>
        <v>0.43999999999999773</v>
      </c>
      <c r="AE65" s="138" t="e">
        <f t="shared" si="2"/>
        <v>#DIV/0!</v>
      </c>
    </row>
    <row r="66" spans="2:31" x14ac:dyDescent="0.25">
      <c r="B66" s="380">
        <v>42556</v>
      </c>
      <c r="C66" s="381">
        <v>80</v>
      </c>
      <c r="D66" s="386">
        <v>46.438400000000001</v>
      </c>
      <c r="E66" s="382">
        <v>46.21</v>
      </c>
      <c r="F66" s="382">
        <f t="shared" ref="F66" si="28">C66*(E66-D66)</f>
        <v>-18.272000000000048</v>
      </c>
      <c r="G66" s="382">
        <f t="shared" ref="G66" si="29">D66*C66</f>
        <v>3715.0720000000001</v>
      </c>
      <c r="H66" s="383">
        <f t="shared" ref="H66" si="30">(E66-D66)/D66</f>
        <v>-4.9183434399118096E-3</v>
      </c>
      <c r="I66" s="382"/>
      <c r="W66" s="94">
        <v>42676</v>
      </c>
      <c r="X66" s="10" t="s">
        <v>188</v>
      </c>
      <c r="Y66" s="10"/>
      <c r="Z66" s="10"/>
      <c r="AA66" s="10"/>
      <c r="AB66" s="95"/>
      <c r="AC66" s="10"/>
      <c r="AD66" s="2">
        <f t="shared" si="1"/>
        <v>0</v>
      </c>
      <c r="AE66" s="138">
        <f t="shared" si="2"/>
        <v>-1</v>
      </c>
    </row>
    <row r="67" spans="2:31" x14ac:dyDescent="0.25">
      <c r="B67" s="380">
        <v>42562</v>
      </c>
      <c r="C67" s="381">
        <v>80</v>
      </c>
      <c r="D67" s="386">
        <v>46.438400000000001</v>
      </c>
      <c r="E67" s="382">
        <v>48.08</v>
      </c>
      <c r="F67" s="382">
        <f t="shared" ref="F67" si="31">C67*(E67-D67)</f>
        <v>131.32799999999975</v>
      </c>
      <c r="G67" s="382">
        <f t="shared" ref="G67" si="32">D67*C67</f>
        <v>3715.0720000000001</v>
      </c>
      <c r="H67" s="383">
        <f t="shared" ref="H67" si="33">(E67-D67)/D67</f>
        <v>3.5350055126791555E-2</v>
      </c>
      <c r="I67" s="382"/>
      <c r="W67" s="94">
        <v>42675</v>
      </c>
      <c r="X67" s="10">
        <v>46.12</v>
      </c>
      <c r="Y67" s="10">
        <v>46.28</v>
      </c>
      <c r="Z67" s="10">
        <v>45.6</v>
      </c>
      <c r="AA67" s="10">
        <v>45.99</v>
      </c>
      <c r="AB67" s="95">
        <v>20020200</v>
      </c>
      <c r="AC67" s="10">
        <v>45.3</v>
      </c>
      <c r="AD67" s="2">
        <f t="shared" si="1"/>
        <v>0.67999999999999972</v>
      </c>
      <c r="AE67" s="138" t="e">
        <f>AC67/#REF!-1</f>
        <v>#REF!</v>
      </c>
    </row>
    <row r="68" spans="2:31" x14ac:dyDescent="0.25">
      <c r="B68" s="380">
        <v>42563</v>
      </c>
      <c r="C68" s="381">
        <v>80</v>
      </c>
      <c r="D68" s="386">
        <v>46.438400000000001</v>
      </c>
      <c r="E68" s="382">
        <v>48.35</v>
      </c>
      <c r="F68" s="382">
        <f t="shared" ref="F68:F69" si="34">C68*(E68-D68)</f>
        <v>152.928</v>
      </c>
      <c r="G68" s="382">
        <f t="shared" ref="G68:G69" si="35">D68*C68</f>
        <v>3715.0720000000001</v>
      </c>
      <c r="H68" s="383">
        <f t="shared" ref="H68:H69" si="36">(E68-D68)/D68</f>
        <v>4.1164208930540243E-2</v>
      </c>
      <c r="I68" s="382"/>
      <c r="W68" s="94">
        <v>42674</v>
      </c>
      <c r="X68" s="10">
        <v>46.4</v>
      </c>
      <c r="Y68" s="10">
        <v>46.56</v>
      </c>
      <c r="Z68" s="10">
        <v>46</v>
      </c>
      <c r="AA68" s="10">
        <v>46.01</v>
      </c>
      <c r="AB68" s="95">
        <v>20115900</v>
      </c>
      <c r="AC68" s="10">
        <v>45.32</v>
      </c>
      <c r="AD68" s="2" t="e">
        <f>#REF!-#REF!</f>
        <v>#REF!</v>
      </c>
      <c r="AE68" s="138" t="e">
        <f>#REF!/AC70-1</f>
        <v>#REF!</v>
      </c>
    </row>
    <row r="69" spans="2:31" x14ac:dyDescent="0.25">
      <c r="B69" s="380">
        <v>42566</v>
      </c>
      <c r="C69" s="402">
        <v>110</v>
      </c>
      <c r="D69" s="553">
        <v>46.749699999999997</v>
      </c>
      <c r="E69" s="382">
        <v>47.71</v>
      </c>
      <c r="F69" s="382">
        <f t="shared" si="34"/>
        <v>105.63300000000041</v>
      </c>
      <c r="G69" s="382">
        <f t="shared" si="35"/>
        <v>5142.4669999999996</v>
      </c>
      <c r="H69" s="383">
        <f t="shared" si="36"/>
        <v>2.0541308286470369E-2</v>
      </c>
      <c r="I69" s="382" t="s">
        <v>246</v>
      </c>
      <c r="W69" s="94">
        <v>42671</v>
      </c>
      <c r="X69" s="10">
        <v>46.57</v>
      </c>
      <c r="Y69" s="10">
        <v>46.64</v>
      </c>
      <c r="Z69" s="10">
        <v>45.88</v>
      </c>
      <c r="AA69" s="10">
        <v>46.23</v>
      </c>
      <c r="AB69" s="95">
        <v>20882000</v>
      </c>
      <c r="AC69" s="10">
        <v>45.54</v>
      </c>
      <c r="AD69" s="2">
        <f>Y70-Z70</f>
        <v>0</v>
      </c>
      <c r="AE69" s="138" t="e">
        <f>AC70/AC71-1</f>
        <v>#DIV/0!</v>
      </c>
    </row>
    <row r="70" spans="2:31" x14ac:dyDescent="0.25">
      <c r="B70" s="380">
        <v>42569</v>
      </c>
      <c r="C70" s="381">
        <v>110</v>
      </c>
      <c r="D70" s="386">
        <v>46.749699999999997</v>
      </c>
      <c r="E70" s="382">
        <v>48.28</v>
      </c>
      <c r="F70" s="382">
        <f t="shared" ref="F70" si="37">C70*(E70-D70)</f>
        <v>168.33300000000042</v>
      </c>
      <c r="G70" s="382">
        <f t="shared" ref="G70" si="38">D70*C70</f>
        <v>5142.4669999999996</v>
      </c>
      <c r="H70" s="383">
        <f t="shared" ref="H70" si="39">(E70-D70)/D70</f>
        <v>3.2733899896683918E-2</v>
      </c>
      <c r="I70" s="382"/>
      <c r="W70" s="94" t="s">
        <v>121</v>
      </c>
      <c r="X70" s="10"/>
      <c r="Y70" s="10"/>
      <c r="Z70" s="10"/>
      <c r="AA70" s="10"/>
      <c r="AB70" s="95"/>
      <c r="AC70" s="10"/>
    </row>
    <row r="71" spans="2:31" x14ac:dyDescent="0.25">
      <c r="B71" s="380">
        <v>42570</v>
      </c>
      <c r="C71" s="381">
        <v>110</v>
      </c>
      <c r="D71" s="386">
        <v>46.749699999999997</v>
      </c>
      <c r="E71" s="382">
        <v>48.37</v>
      </c>
      <c r="F71" s="382">
        <f t="shared" ref="F71" si="40">C71*(E71-D71)</f>
        <v>178.23300000000003</v>
      </c>
      <c r="G71" s="382">
        <f t="shared" ref="G71" si="41">D71*C71</f>
        <v>5142.4669999999996</v>
      </c>
      <c r="H71" s="383">
        <f t="shared" ref="H71" si="42">(E71-D71)/D71</f>
        <v>3.4659045940401763E-2</v>
      </c>
      <c r="I71" s="382"/>
    </row>
    <row r="72" spans="2:31" x14ac:dyDescent="0.25">
      <c r="B72" s="380">
        <v>42571</v>
      </c>
      <c r="C72" s="381">
        <v>110</v>
      </c>
      <c r="D72" s="386">
        <v>46.749699999999997</v>
      </c>
      <c r="E72" s="382">
        <v>48.61</v>
      </c>
      <c r="F72" s="382">
        <f t="shared" ref="F72" si="43">C72*(E72-D72)</f>
        <v>204.63300000000027</v>
      </c>
      <c r="G72" s="382">
        <f t="shared" ref="G72" si="44">D72*C72</f>
        <v>5142.4669999999996</v>
      </c>
      <c r="H72" s="383">
        <f t="shared" ref="H72" si="45">(E72-D72)/D72</f>
        <v>3.9792768723649612E-2</v>
      </c>
      <c r="I72" s="382"/>
    </row>
    <row r="73" spans="2:31" x14ac:dyDescent="0.25">
      <c r="B73" s="380">
        <v>42572</v>
      </c>
      <c r="C73" s="381">
        <v>110</v>
      </c>
      <c r="D73" s="386">
        <v>46.749699999999997</v>
      </c>
      <c r="E73" s="382">
        <v>48.3</v>
      </c>
      <c r="F73" s="382">
        <f t="shared" ref="F73" si="46">C73*(E73-D73)</f>
        <v>170.53300000000002</v>
      </c>
      <c r="G73" s="382">
        <f t="shared" ref="G73" si="47">D73*C73</f>
        <v>5142.4669999999996</v>
      </c>
      <c r="H73" s="383">
        <f t="shared" ref="H73" si="48">(E73-D73)/D73</f>
        <v>3.3161710128621145E-2</v>
      </c>
      <c r="I73" s="382"/>
    </row>
    <row r="74" spans="2:31" x14ac:dyDescent="0.25">
      <c r="B74" s="380">
        <v>42576</v>
      </c>
      <c r="C74" s="381">
        <v>110</v>
      </c>
      <c r="D74" s="386">
        <v>46.749699999999997</v>
      </c>
      <c r="E74" s="382">
        <v>48.12</v>
      </c>
      <c r="F74" s="382">
        <f t="shared" ref="F74" si="49">C74*(E74-D74)</f>
        <v>150.73300000000003</v>
      </c>
      <c r="G74" s="382">
        <f t="shared" ref="G74" si="50">D74*C74</f>
        <v>5142.4669999999996</v>
      </c>
      <c r="H74" s="383">
        <f t="shared" ref="H74" si="51">(E74-D74)/D74</f>
        <v>2.9311418041185301E-2</v>
      </c>
      <c r="I74" s="382"/>
    </row>
    <row r="75" spans="2:31" x14ac:dyDescent="0.25">
      <c r="B75" s="380">
        <v>42585</v>
      </c>
      <c r="C75" s="381">
        <v>110</v>
      </c>
      <c r="D75" s="386">
        <v>46.749699999999997</v>
      </c>
      <c r="E75" s="382">
        <v>47.7</v>
      </c>
      <c r="F75" s="382">
        <f t="shared" ref="F75:F76" si="52">C75*(E75-D75)</f>
        <v>104.53300000000063</v>
      </c>
      <c r="G75" s="382">
        <f t="shared" ref="G75:G76" si="53">D75*C75</f>
        <v>5142.4669999999996</v>
      </c>
      <c r="H75" s="383">
        <f t="shared" ref="H75:H76" si="54">(E75-D75)/D75</f>
        <v>2.0327403170501752E-2</v>
      </c>
      <c r="I75" s="382"/>
    </row>
    <row r="76" spans="2:31" x14ac:dyDescent="0.25">
      <c r="B76" s="380">
        <v>42587</v>
      </c>
      <c r="C76" s="381">
        <v>80</v>
      </c>
      <c r="D76" s="386">
        <v>46.025700000000001</v>
      </c>
      <c r="E76" s="382">
        <v>48.43</v>
      </c>
      <c r="F76" s="382">
        <f t="shared" si="52"/>
        <v>192.34399999999994</v>
      </c>
      <c r="G76" s="382">
        <f t="shared" si="53"/>
        <v>3682.056</v>
      </c>
      <c r="H76" s="383">
        <f t="shared" si="54"/>
        <v>5.2238206045752682E-2</v>
      </c>
      <c r="I76" s="382"/>
    </row>
    <row r="77" spans="2:31" x14ac:dyDescent="0.25">
      <c r="B77" s="380">
        <v>42600</v>
      </c>
      <c r="C77" s="381">
        <v>80</v>
      </c>
      <c r="D77" s="386">
        <v>46.026000000000003</v>
      </c>
      <c r="E77" s="382">
        <v>48.53</v>
      </c>
      <c r="F77" s="382">
        <f t="shared" ref="F77" si="55">C77*(E77-D77)</f>
        <v>200.31999999999982</v>
      </c>
      <c r="G77" s="382">
        <f t="shared" ref="G77" si="56">D77*C77</f>
        <v>3682.0800000000004</v>
      </c>
      <c r="H77" s="383">
        <f t="shared" ref="H77" si="57">(E77-D77)/D77</f>
        <v>5.4404032503367609E-2</v>
      </c>
      <c r="I77" s="382"/>
    </row>
    <row r="78" spans="2:31" x14ac:dyDescent="0.25">
      <c r="B78" s="380">
        <v>42601</v>
      </c>
      <c r="C78" s="381">
        <v>80</v>
      </c>
      <c r="D78" s="386">
        <v>46.026000000000003</v>
      </c>
      <c r="E78" s="382">
        <v>48.65</v>
      </c>
      <c r="F78" s="382">
        <f t="shared" ref="F78" si="58">C78*(E78-D78)</f>
        <v>209.91999999999962</v>
      </c>
      <c r="G78" s="382">
        <f t="shared" ref="G78" si="59">D78*C78</f>
        <v>3682.0800000000004</v>
      </c>
      <c r="H78" s="383">
        <f t="shared" ref="H78" si="60">(E78-D78)/D78</f>
        <v>5.7011254508321278E-2</v>
      </c>
      <c r="I78" s="382"/>
    </row>
    <row r="79" spans="2:31" x14ac:dyDescent="0.25">
      <c r="B79" s="380">
        <v>42605</v>
      </c>
      <c r="C79" s="381">
        <v>80</v>
      </c>
      <c r="D79" s="386">
        <v>46.026000000000003</v>
      </c>
      <c r="E79" s="382">
        <v>48.41</v>
      </c>
      <c r="F79" s="382">
        <f t="shared" ref="F79" si="61">C79*(E79-D79)</f>
        <v>190.71999999999946</v>
      </c>
      <c r="G79" s="382">
        <f t="shared" ref="G79" si="62">D79*C79</f>
        <v>3682.0800000000004</v>
      </c>
      <c r="H79" s="383">
        <f t="shared" ref="H79" si="63">(E79-D79)/D79</f>
        <v>5.1796810498413788E-2</v>
      </c>
      <c r="I79" s="382"/>
    </row>
    <row r="80" spans="2:31" x14ac:dyDescent="0.25">
      <c r="B80" s="380">
        <v>42606</v>
      </c>
      <c r="C80" s="381">
        <v>80</v>
      </c>
      <c r="D80" s="386">
        <v>46.026000000000003</v>
      </c>
      <c r="E80" s="382">
        <v>48.63</v>
      </c>
      <c r="F80" s="382">
        <f t="shared" ref="F80" si="64">C80*(E80-D80)</f>
        <v>208.31999999999994</v>
      </c>
      <c r="G80" s="382">
        <f t="shared" ref="G80" si="65">D80*C80</f>
        <v>3682.0800000000004</v>
      </c>
      <c r="H80" s="383">
        <f t="shared" ref="H80" si="66">(E80-D80)/D80</f>
        <v>5.6576717507495738E-2</v>
      </c>
      <c r="I80" s="382"/>
    </row>
    <row r="81" spans="2:9" x14ac:dyDescent="0.25">
      <c r="B81" s="380">
        <v>42607</v>
      </c>
      <c r="C81" s="381">
        <v>80</v>
      </c>
      <c r="D81" s="386">
        <v>46.026000000000003</v>
      </c>
      <c r="E81" s="382">
        <v>48.38</v>
      </c>
      <c r="F81" s="382">
        <f t="shared" ref="F81" si="67">C81*(E81-D81)</f>
        <v>188.31999999999994</v>
      </c>
      <c r="G81" s="382">
        <f t="shared" ref="G81" si="68">D81*C81</f>
        <v>3682.0800000000004</v>
      </c>
      <c r="H81" s="383">
        <f t="shared" ref="H81" si="69">(E81-D81)/D81</f>
        <v>5.1145004997175489E-2</v>
      </c>
      <c r="I81" s="382"/>
    </row>
    <row r="82" spans="2:9" x14ac:dyDescent="0.25">
      <c r="B82" s="380">
        <v>42608</v>
      </c>
      <c r="C82" s="381">
        <v>80</v>
      </c>
      <c r="D82" s="386">
        <v>46.026000000000003</v>
      </c>
      <c r="E82" s="382">
        <v>48.51</v>
      </c>
      <c r="F82" s="382">
        <f t="shared" ref="F82" si="70">C82*(E82-D82)</f>
        <v>198.71999999999957</v>
      </c>
      <c r="G82" s="382">
        <f t="shared" ref="G82" si="71">D82*C82</f>
        <v>3682.0800000000004</v>
      </c>
      <c r="H82" s="383">
        <f t="shared" ref="H82" si="72">(E82-D82)/D82</f>
        <v>5.3969495502541924E-2</v>
      </c>
      <c r="I82" s="382"/>
    </row>
    <row r="83" spans="2:9" x14ac:dyDescent="0.25">
      <c r="B83" s="380">
        <v>42611</v>
      </c>
      <c r="C83" s="381">
        <v>0</v>
      </c>
      <c r="D83" s="386"/>
      <c r="E83" s="382"/>
      <c r="F83" s="382">
        <v>294.61</v>
      </c>
      <c r="G83" s="382"/>
      <c r="H83" s="383"/>
      <c r="I83" s="382"/>
    </row>
    <row r="84" spans="2:9" x14ac:dyDescent="0.25">
      <c r="B84" s="193"/>
      <c r="C84" s="10"/>
      <c r="D84" s="200"/>
      <c r="E84" s="40"/>
      <c r="F84" s="40"/>
      <c r="G84" s="40"/>
      <c r="H84" s="231"/>
      <c r="I84" s="40"/>
    </row>
    <row r="85" spans="2:9" x14ac:dyDescent="0.25">
      <c r="B85" s="193"/>
      <c r="C85" s="10"/>
      <c r="D85" s="200"/>
      <c r="E85" s="40"/>
      <c r="F85" s="40"/>
      <c r="G85" s="40"/>
      <c r="H85" s="231"/>
      <c r="I85" s="40"/>
    </row>
    <row r="86" spans="2:9" x14ac:dyDescent="0.25">
      <c r="B86" s="191" t="s">
        <v>114</v>
      </c>
      <c r="C86" s="191" t="s">
        <v>147</v>
      </c>
      <c r="D86" s="192" t="s">
        <v>146</v>
      </c>
      <c r="E86" s="194" t="s">
        <v>148</v>
      </c>
      <c r="F86" s="194" t="s">
        <v>65</v>
      </c>
      <c r="G86" s="229" t="s">
        <v>152</v>
      </c>
      <c r="H86" s="229" t="s">
        <v>88</v>
      </c>
      <c r="I86" s="229" t="s">
        <v>155</v>
      </c>
    </row>
    <row r="87" spans="2:9" x14ac:dyDescent="0.25">
      <c r="B87" s="266">
        <v>42627</v>
      </c>
      <c r="C87" s="261">
        <v>40</v>
      </c>
      <c r="D87" s="543">
        <v>46.47</v>
      </c>
      <c r="E87" s="262">
        <v>46.52</v>
      </c>
      <c r="F87" s="262">
        <f t="shared" ref="F87" si="73">C87*(E87-D87)</f>
        <v>2.0000000000001705</v>
      </c>
      <c r="G87" s="262">
        <f t="shared" ref="G87" si="74">D87*C87</f>
        <v>1858.8</v>
      </c>
      <c r="H87" s="276">
        <f t="shared" ref="H87" si="75">(E87-D87)/D87</f>
        <v>1.0759629868733434E-3</v>
      </c>
      <c r="I87" s="262"/>
    </row>
    <row r="88" spans="2:9" x14ac:dyDescent="0.25">
      <c r="B88" s="266">
        <v>42629</v>
      </c>
      <c r="C88" s="261">
        <v>40</v>
      </c>
      <c r="D88" s="543">
        <v>46.47</v>
      </c>
      <c r="E88" s="262">
        <v>45.43</v>
      </c>
      <c r="F88" s="262">
        <f t="shared" ref="F88" si="76">C88*(E88-D88)</f>
        <v>-41.599999999999966</v>
      </c>
      <c r="G88" s="262">
        <f t="shared" ref="G88" si="77">D88*C88</f>
        <v>1858.8</v>
      </c>
      <c r="H88" s="276">
        <f t="shared" ref="H88" si="78">(E88-D88)/D88</f>
        <v>-2.2380030126963615E-2</v>
      </c>
      <c r="I88" s="262"/>
    </row>
    <row r="89" spans="2:9" x14ac:dyDescent="0.25">
      <c r="B89" s="266">
        <v>42632</v>
      </c>
      <c r="C89" s="261">
        <v>40</v>
      </c>
      <c r="D89" s="543">
        <v>46.47</v>
      </c>
      <c r="E89" s="262">
        <v>46.01</v>
      </c>
      <c r="F89" s="262">
        <f t="shared" ref="F89" si="79">C89*(E89-D89)</f>
        <v>-18.400000000000034</v>
      </c>
      <c r="G89" s="262">
        <f t="shared" ref="G89" si="80">D89*C89</f>
        <v>1858.8</v>
      </c>
      <c r="H89" s="276">
        <f t="shared" ref="H89" si="81">(E89-D89)/D89</f>
        <v>-9.8988594792339332E-3</v>
      </c>
      <c r="I89" s="262"/>
    </row>
    <row r="90" spans="2:9" x14ac:dyDescent="0.25">
      <c r="B90" s="266">
        <v>42633</v>
      </c>
      <c r="C90" s="261">
        <v>40</v>
      </c>
      <c r="D90" s="543">
        <v>46.47</v>
      </c>
      <c r="E90" s="262">
        <v>46.5</v>
      </c>
      <c r="F90" s="262">
        <f t="shared" ref="F90" si="82">C90*(E90-D90)</f>
        <v>1.2000000000000455</v>
      </c>
      <c r="G90" s="262">
        <f t="shared" ref="G90" si="83">D90*C90</f>
        <v>1858.8</v>
      </c>
      <c r="H90" s="276">
        <f t="shared" ref="H90" si="84">(E90-D90)/D90</f>
        <v>6.455777921239754E-4</v>
      </c>
      <c r="I90" s="262"/>
    </row>
    <row r="91" spans="2:9" x14ac:dyDescent="0.25">
      <c r="B91" s="266">
        <v>42634</v>
      </c>
      <c r="C91" s="261">
        <v>40</v>
      </c>
      <c r="D91" s="543">
        <v>46.47</v>
      </c>
      <c r="E91" s="262">
        <v>45.83</v>
      </c>
      <c r="F91" s="262">
        <f t="shared" ref="F91:F92" si="85">C91*(E91-D91)</f>
        <v>-25.600000000000023</v>
      </c>
      <c r="G91" s="262">
        <f t="shared" ref="G91:G92" si="86">D91*C91</f>
        <v>1858.8</v>
      </c>
      <c r="H91" s="276">
        <f t="shared" ref="H91:H92" si="87">(E91-D91)/D91</f>
        <v>-1.3772326231977633E-2</v>
      </c>
      <c r="I91" s="262"/>
    </row>
    <row r="92" spans="2:9" x14ac:dyDescent="0.25">
      <c r="B92" s="266">
        <v>42639</v>
      </c>
      <c r="C92" s="261">
        <v>80</v>
      </c>
      <c r="D92" s="543">
        <v>45.634999999999998</v>
      </c>
      <c r="E92" s="262">
        <v>44.88</v>
      </c>
      <c r="F92" s="262">
        <f t="shared" si="85"/>
        <v>-60.399999999999636</v>
      </c>
      <c r="G92" s="262">
        <f t="shared" si="86"/>
        <v>3650.7999999999997</v>
      </c>
      <c r="H92" s="276">
        <f t="shared" si="87"/>
        <v>-1.654431905335807E-2</v>
      </c>
      <c r="I92" s="262"/>
    </row>
    <row r="93" spans="2:9" x14ac:dyDescent="0.25">
      <c r="B93" s="266">
        <v>42646</v>
      </c>
      <c r="C93" s="261">
        <v>80</v>
      </c>
      <c r="D93" s="543">
        <v>45.634999999999998</v>
      </c>
      <c r="E93" s="262">
        <v>43.83</v>
      </c>
      <c r="F93" s="262">
        <f t="shared" ref="F93" si="88">C93*(E93-D93)</f>
        <v>-144.39999999999998</v>
      </c>
      <c r="G93" s="262">
        <f t="shared" ref="G93" si="89">D93*C93</f>
        <v>3650.7999999999997</v>
      </c>
      <c r="H93" s="276">
        <f t="shared" ref="H93" si="90">(E93-D93)/D93</f>
        <v>-3.9552974690478797E-2</v>
      </c>
      <c r="I93" s="262"/>
    </row>
    <row r="94" spans="2:9" x14ac:dyDescent="0.25">
      <c r="B94" s="266">
        <v>42648</v>
      </c>
      <c r="C94" s="261">
        <v>80</v>
      </c>
      <c r="D94" s="543">
        <v>45.634999999999998</v>
      </c>
      <c r="E94" s="262">
        <v>44.99</v>
      </c>
      <c r="F94" s="262">
        <f t="shared" ref="F94" si="91">C94*(E94-D94)</f>
        <v>-51.599999999999682</v>
      </c>
      <c r="G94" s="262">
        <f t="shared" ref="G94" si="92">D94*C94</f>
        <v>3650.7999999999997</v>
      </c>
      <c r="H94" s="276">
        <f t="shared" ref="H94" si="93">(E94-D94)/D94</f>
        <v>-1.4133888462802587E-2</v>
      </c>
      <c r="I94" s="262"/>
    </row>
    <row r="95" spans="2:9" x14ac:dyDescent="0.25">
      <c r="B95" s="266">
        <v>42649</v>
      </c>
      <c r="C95" s="261">
        <v>80</v>
      </c>
      <c r="D95" s="543">
        <v>45.634999999999998</v>
      </c>
      <c r="E95" s="262">
        <v>45.18</v>
      </c>
      <c r="F95" s="262">
        <f t="shared" ref="F95" si="94">C95*(E95-D95)</f>
        <v>-36.399999999999864</v>
      </c>
      <c r="G95" s="262">
        <f t="shared" ref="G95" si="95">D95*C95</f>
        <v>3650.7999999999997</v>
      </c>
      <c r="H95" s="276">
        <f t="shared" ref="H95" si="96">(E95-D95)/D95</f>
        <v>-9.9704174427522364E-3</v>
      </c>
      <c r="I95" s="262"/>
    </row>
    <row r="96" spans="2:9" x14ac:dyDescent="0.25">
      <c r="B96" s="266">
        <v>42650</v>
      </c>
      <c r="C96" s="261">
        <v>80</v>
      </c>
      <c r="D96" s="543">
        <v>45.634999999999998</v>
      </c>
      <c r="E96" s="262">
        <v>45.33</v>
      </c>
      <c r="F96" s="262">
        <f t="shared" ref="F96:F100" si="97">C96*(E96-D96)</f>
        <v>-24.399999999999977</v>
      </c>
      <c r="G96" s="262">
        <f t="shared" ref="G96:G100" si="98">D96*C96</f>
        <v>3650.7999999999997</v>
      </c>
      <c r="H96" s="276">
        <f t="shared" ref="H96:H100" si="99">(E96-D96)/D96</f>
        <v>-6.6834666374493206E-3</v>
      </c>
      <c r="I96" s="262"/>
    </row>
    <row r="97" spans="1:13" x14ac:dyDescent="0.25">
      <c r="B97" s="266">
        <v>42670</v>
      </c>
      <c r="C97" s="261">
        <v>40</v>
      </c>
      <c r="D97" s="543">
        <v>44.790999999999997</v>
      </c>
      <c r="E97" s="262">
        <v>46.41</v>
      </c>
      <c r="F97" s="262">
        <f t="shared" si="97"/>
        <v>64.759999999999991</v>
      </c>
      <c r="G97" s="262">
        <f t="shared" si="98"/>
        <v>1791.6399999999999</v>
      </c>
      <c r="H97" s="276">
        <f t="shared" si="99"/>
        <v>3.6145654260900627E-2</v>
      </c>
      <c r="I97" s="262"/>
    </row>
    <row r="98" spans="1:13" x14ac:dyDescent="0.25">
      <c r="B98" s="266">
        <v>42678</v>
      </c>
      <c r="C98" s="261">
        <v>80</v>
      </c>
      <c r="D98" s="543">
        <v>44.8705</v>
      </c>
      <c r="E98" s="262">
        <v>44.6</v>
      </c>
      <c r="F98" s="262">
        <f t="shared" si="97"/>
        <v>-21.639999999999873</v>
      </c>
      <c r="G98" s="262">
        <f t="shared" si="98"/>
        <v>3589.64</v>
      </c>
      <c r="H98" s="276">
        <f t="shared" si="99"/>
        <v>-6.0284596784078272E-3</v>
      </c>
      <c r="I98" s="262"/>
    </row>
    <row r="99" spans="1:13" x14ac:dyDescent="0.25">
      <c r="B99" s="266">
        <v>42701</v>
      </c>
      <c r="C99" s="261">
        <v>40</v>
      </c>
      <c r="D99" s="543">
        <v>43.161999999999999</v>
      </c>
      <c r="E99" s="262">
        <v>52.62</v>
      </c>
      <c r="F99" s="262">
        <f t="shared" si="97"/>
        <v>378.31999999999994</v>
      </c>
      <c r="G99" s="262">
        <f t="shared" si="98"/>
        <v>1726.48</v>
      </c>
      <c r="H99" s="276">
        <f t="shared" si="99"/>
        <v>0.21912793661090771</v>
      </c>
      <c r="I99" s="262"/>
    </row>
    <row r="100" spans="1:13" x14ac:dyDescent="0.25">
      <c r="B100" s="266">
        <v>42706</v>
      </c>
      <c r="C100" s="261">
        <v>40</v>
      </c>
      <c r="D100" s="543">
        <v>42.781999999999996</v>
      </c>
      <c r="E100" s="262">
        <v>53.58</v>
      </c>
      <c r="F100" s="262">
        <f t="shared" si="97"/>
        <v>431.92000000000007</v>
      </c>
      <c r="G100" s="262">
        <f t="shared" si="98"/>
        <v>1711.2799999999997</v>
      </c>
      <c r="H100" s="276">
        <f t="shared" si="99"/>
        <v>0.252395867420878</v>
      </c>
      <c r="I100" s="262"/>
    </row>
    <row r="101" spans="1:13" x14ac:dyDescent="0.25">
      <c r="B101" s="266">
        <v>42710</v>
      </c>
      <c r="C101" s="261">
        <v>0</v>
      </c>
      <c r="D101" s="543"/>
      <c r="E101" s="262"/>
      <c r="F101" s="262">
        <v>491.87</v>
      </c>
      <c r="G101" s="262"/>
      <c r="H101" s="276"/>
      <c r="I101" s="262"/>
    </row>
    <row r="102" spans="1:13" x14ac:dyDescent="0.25">
      <c r="B102" s="193"/>
      <c r="C102" s="10"/>
      <c r="D102" s="200"/>
      <c r="E102" s="40"/>
      <c r="F102" s="40"/>
      <c r="G102" s="40"/>
      <c r="H102" s="231"/>
      <c r="I102" s="40"/>
    </row>
    <row r="103" spans="1:13" x14ac:dyDescent="0.25">
      <c r="B103" s="193"/>
      <c r="C103" s="10"/>
      <c r="D103" s="200"/>
      <c r="E103" s="40"/>
      <c r="F103" s="40"/>
      <c r="G103" s="40"/>
      <c r="H103" s="231"/>
      <c r="I103" s="40"/>
    </row>
    <row r="106" spans="1:13" x14ac:dyDescent="0.25">
      <c r="L106" t="s">
        <v>65</v>
      </c>
      <c r="M106" s="40">
        <f>M124+K124-F124</f>
        <v>828.28000000000611</v>
      </c>
    </row>
    <row r="107" spans="1:13" x14ac:dyDescent="0.25">
      <c r="A107" s="263" t="s">
        <v>1</v>
      </c>
      <c r="B107" s="263" t="s">
        <v>2</v>
      </c>
      <c r="C107" s="263" t="s">
        <v>4</v>
      </c>
      <c r="D107" s="264" t="s">
        <v>5</v>
      </c>
      <c r="E107" s="264" t="s">
        <v>90</v>
      </c>
      <c r="F107" s="264" t="s">
        <v>60</v>
      </c>
      <c r="G107" s="263" t="s">
        <v>3</v>
      </c>
      <c r="H107" s="263" t="s">
        <v>6</v>
      </c>
      <c r="I107" s="264" t="s">
        <v>7</v>
      </c>
      <c r="J107" s="264" t="s">
        <v>89</v>
      </c>
      <c r="K107" s="264" t="s">
        <v>61</v>
      </c>
      <c r="L107" s="263" t="s">
        <v>77</v>
      </c>
      <c r="M107" s="263" t="s">
        <v>38</v>
      </c>
    </row>
    <row r="108" spans="1:13" x14ac:dyDescent="0.25">
      <c r="A108" s="265" t="s">
        <v>175</v>
      </c>
      <c r="B108" s="266">
        <v>42376</v>
      </c>
      <c r="C108" s="261">
        <v>40</v>
      </c>
      <c r="D108" s="262">
        <v>50.5</v>
      </c>
      <c r="E108" s="262">
        <v>0</v>
      </c>
      <c r="F108" s="262">
        <f t="shared" ref="F108:F112" si="100">C108*D108+E108</f>
        <v>2020</v>
      </c>
      <c r="G108" s="261"/>
      <c r="H108" s="261"/>
      <c r="I108" s="262"/>
      <c r="J108" s="262"/>
      <c r="K108" s="262"/>
      <c r="L108" s="266">
        <v>42430</v>
      </c>
      <c r="M108" s="262">
        <v>15</v>
      </c>
    </row>
    <row r="109" spans="1:13" x14ac:dyDescent="0.25">
      <c r="A109" s="268" t="s">
        <v>71</v>
      </c>
      <c r="B109" s="266">
        <v>42466</v>
      </c>
      <c r="C109" s="261">
        <v>40</v>
      </c>
      <c r="D109" s="262">
        <v>47.38</v>
      </c>
      <c r="E109" s="262">
        <v>0</v>
      </c>
      <c r="F109" s="262">
        <f t="shared" si="100"/>
        <v>1895.2</v>
      </c>
      <c r="G109" s="266">
        <v>42473</v>
      </c>
      <c r="H109" s="267">
        <v>40</v>
      </c>
      <c r="I109" s="262">
        <v>48.91</v>
      </c>
      <c r="J109" s="262">
        <v>0.04</v>
      </c>
      <c r="K109" s="262">
        <f t="shared" ref="K109:K115" si="101">I109*H109-J109</f>
        <v>1956.36</v>
      </c>
      <c r="L109" s="266">
        <v>42522</v>
      </c>
      <c r="M109" s="262">
        <v>30.4</v>
      </c>
    </row>
    <row r="110" spans="1:13" x14ac:dyDescent="0.25">
      <c r="A110" s="261"/>
      <c r="B110" s="266">
        <v>42474</v>
      </c>
      <c r="C110" s="261">
        <v>40</v>
      </c>
      <c r="D110" s="262">
        <v>48.55</v>
      </c>
      <c r="E110" s="262">
        <v>0</v>
      </c>
      <c r="F110" s="262">
        <f t="shared" si="100"/>
        <v>1942</v>
      </c>
      <c r="G110" s="266">
        <v>42487</v>
      </c>
      <c r="H110" s="267">
        <v>40</v>
      </c>
      <c r="I110" s="262">
        <v>50.97</v>
      </c>
      <c r="J110" s="262">
        <v>0.04</v>
      </c>
      <c r="K110" s="262">
        <f t="shared" si="101"/>
        <v>2038.76</v>
      </c>
      <c r="L110" s="266">
        <v>42614</v>
      </c>
      <c r="M110" s="262">
        <v>41.8</v>
      </c>
    </row>
    <row r="111" spans="1:13" x14ac:dyDescent="0.25">
      <c r="A111" s="261"/>
      <c r="B111" s="266">
        <v>42489</v>
      </c>
      <c r="C111" s="261">
        <v>40</v>
      </c>
      <c r="D111" s="262">
        <v>50.01</v>
      </c>
      <c r="E111" s="262">
        <v>0</v>
      </c>
      <c r="F111" s="262">
        <f t="shared" si="100"/>
        <v>2000.3999999999999</v>
      </c>
      <c r="G111" s="266">
        <v>42514</v>
      </c>
      <c r="H111" s="411">
        <v>40</v>
      </c>
      <c r="I111" s="370">
        <v>49.29</v>
      </c>
      <c r="J111" s="370">
        <v>0.04</v>
      </c>
      <c r="K111" s="370">
        <f t="shared" si="101"/>
        <v>1971.56</v>
      </c>
      <c r="L111" s="261"/>
      <c r="M111" s="261"/>
    </row>
    <row r="112" spans="1:13" x14ac:dyDescent="0.25">
      <c r="A112" s="261"/>
      <c r="B112" s="266">
        <v>42503</v>
      </c>
      <c r="C112" s="261">
        <v>10</v>
      </c>
      <c r="D112" s="262">
        <v>48.2</v>
      </c>
      <c r="E112" s="262">
        <v>0</v>
      </c>
      <c r="F112" s="262">
        <f t="shared" si="100"/>
        <v>482</v>
      </c>
      <c r="G112" s="266">
        <v>42517</v>
      </c>
      <c r="H112" s="267">
        <v>20</v>
      </c>
      <c r="I112" s="262">
        <v>50.72</v>
      </c>
      <c r="J112" s="262">
        <v>0.02</v>
      </c>
      <c r="K112" s="370">
        <f t="shared" si="101"/>
        <v>1014.38</v>
      </c>
      <c r="L112" s="261"/>
      <c r="M112" s="261"/>
    </row>
    <row r="113" spans="1:13" x14ac:dyDescent="0.25">
      <c r="A113" s="261"/>
      <c r="B113" s="266">
        <v>42503</v>
      </c>
      <c r="C113" s="261">
        <v>20</v>
      </c>
      <c r="D113" s="262">
        <v>48.2</v>
      </c>
      <c r="E113" s="262">
        <v>0</v>
      </c>
      <c r="F113" s="262">
        <f>C113*D113+E113</f>
        <v>964</v>
      </c>
      <c r="G113" s="266">
        <v>42527</v>
      </c>
      <c r="H113" s="267">
        <v>30</v>
      </c>
      <c r="I113" s="262">
        <v>50.59</v>
      </c>
      <c r="J113" s="262">
        <v>0.03</v>
      </c>
      <c r="K113" s="370">
        <f t="shared" si="101"/>
        <v>1517.67</v>
      </c>
      <c r="L113" s="261"/>
      <c r="M113" s="261"/>
    </row>
    <row r="114" spans="1:13" x14ac:dyDescent="0.25">
      <c r="A114" s="261"/>
      <c r="B114" s="266">
        <v>42524</v>
      </c>
      <c r="C114" s="261">
        <v>30</v>
      </c>
      <c r="D114" s="262">
        <v>50.01</v>
      </c>
      <c r="E114" s="262">
        <v>0</v>
      </c>
      <c r="F114" s="262">
        <f>C114*D114+E114</f>
        <v>1500.3</v>
      </c>
      <c r="G114" s="266">
        <v>42587</v>
      </c>
      <c r="H114" s="267">
        <v>30</v>
      </c>
      <c r="I114" s="262">
        <v>48.68</v>
      </c>
      <c r="J114" s="262">
        <v>0.03</v>
      </c>
      <c r="K114" s="262">
        <f t="shared" si="101"/>
        <v>1460.3700000000001</v>
      </c>
      <c r="L114" s="261"/>
      <c r="M114" s="261"/>
    </row>
    <row r="115" spans="1:13" x14ac:dyDescent="0.25">
      <c r="A115" s="261"/>
      <c r="B115" s="266">
        <v>42531</v>
      </c>
      <c r="C115" s="261">
        <v>30</v>
      </c>
      <c r="D115" s="262">
        <v>48.51</v>
      </c>
      <c r="E115" s="262">
        <v>0</v>
      </c>
      <c r="F115" s="262">
        <f>C115*D115+E115</f>
        <v>1455.3</v>
      </c>
      <c r="G115" s="266">
        <v>42611</v>
      </c>
      <c r="H115" s="267">
        <v>80</v>
      </c>
      <c r="I115" s="262">
        <v>49.71</v>
      </c>
      <c r="J115" s="262">
        <v>0.09</v>
      </c>
      <c r="K115" s="262">
        <f t="shared" si="101"/>
        <v>3976.71</v>
      </c>
      <c r="L115" s="261"/>
      <c r="M115" s="261"/>
    </row>
    <row r="116" spans="1:13" x14ac:dyDescent="0.25">
      <c r="A116" s="261"/>
      <c r="B116" s="266">
        <v>42566</v>
      </c>
      <c r="C116" s="261">
        <v>30</v>
      </c>
      <c r="D116" s="262">
        <v>47.58</v>
      </c>
      <c r="E116" s="262">
        <v>0</v>
      </c>
      <c r="F116" s="262">
        <f>C116*D116+E116</f>
        <v>1427.3999999999999</v>
      </c>
      <c r="G116" s="261"/>
      <c r="H116" s="261"/>
      <c r="I116" s="262"/>
      <c r="J116" s="262"/>
      <c r="K116" s="262"/>
      <c r="L116" s="261"/>
      <c r="M116" s="261"/>
    </row>
    <row r="117" spans="1:13" x14ac:dyDescent="0.25">
      <c r="A117" s="261"/>
      <c r="B117" s="266">
        <v>42627</v>
      </c>
      <c r="C117" s="261">
        <v>40</v>
      </c>
      <c r="D117" s="262">
        <v>46.47</v>
      </c>
      <c r="E117" s="262">
        <v>0</v>
      </c>
      <c r="F117" s="262">
        <f>D117*C117+E117</f>
        <v>1858.8</v>
      </c>
      <c r="G117" s="266">
        <v>42670</v>
      </c>
      <c r="H117" s="267">
        <v>40</v>
      </c>
      <c r="I117" s="262">
        <v>46.48</v>
      </c>
      <c r="J117" s="262">
        <v>0.04</v>
      </c>
      <c r="K117" s="262">
        <f>I117*H117-J117</f>
        <v>1859.1599999999999</v>
      </c>
      <c r="L117" s="266">
        <v>42705</v>
      </c>
      <c r="M117" s="262">
        <v>15.2</v>
      </c>
    </row>
    <row r="118" spans="1:13" x14ac:dyDescent="0.25">
      <c r="A118" s="261"/>
      <c r="B118" s="266">
        <v>42639</v>
      </c>
      <c r="C118" s="261">
        <v>40</v>
      </c>
      <c r="D118" s="262">
        <v>44.8</v>
      </c>
      <c r="E118" s="262">
        <v>0</v>
      </c>
      <c r="F118" s="262">
        <f>D118*C118+E118</f>
        <v>1792</v>
      </c>
      <c r="G118" s="266">
        <v>42683</v>
      </c>
      <c r="H118" s="267">
        <v>40</v>
      </c>
      <c r="I118" s="262">
        <v>46.58</v>
      </c>
      <c r="J118" s="262">
        <v>0.04</v>
      </c>
      <c r="K118" s="262">
        <f>I118*H118-J118</f>
        <v>1863.1599999999999</v>
      </c>
      <c r="L118" s="266"/>
      <c r="M118" s="262"/>
    </row>
    <row r="119" spans="1:13" x14ac:dyDescent="0.25">
      <c r="A119" s="261"/>
      <c r="B119" s="266">
        <v>42678</v>
      </c>
      <c r="C119" s="261">
        <v>40</v>
      </c>
      <c r="D119" s="262">
        <v>44.95</v>
      </c>
      <c r="E119" s="262">
        <v>0</v>
      </c>
      <c r="F119" s="262">
        <f>D119*C119+E119</f>
        <v>1798</v>
      </c>
      <c r="G119" s="266">
        <v>42710</v>
      </c>
      <c r="H119" s="267">
        <v>40</v>
      </c>
      <c r="I119" s="262">
        <v>55.08</v>
      </c>
      <c r="J119" s="262">
        <v>0.05</v>
      </c>
      <c r="K119" s="262">
        <f>I119*H119-J119</f>
        <v>2203.1499999999996</v>
      </c>
      <c r="L119" s="266"/>
      <c r="M119" s="261"/>
    </row>
    <row r="120" spans="1:13" x14ac:dyDescent="0.25">
      <c r="A120" s="261"/>
      <c r="B120" s="266"/>
      <c r="C120" s="261"/>
      <c r="D120" s="262"/>
      <c r="E120" s="262"/>
      <c r="F120" s="262"/>
      <c r="G120" s="266"/>
      <c r="H120" s="411"/>
      <c r="I120" s="370"/>
      <c r="J120" s="370"/>
      <c r="K120" s="370"/>
      <c r="L120" s="261"/>
      <c r="M120" s="261"/>
    </row>
    <row r="121" spans="1:13" x14ac:dyDescent="0.25">
      <c r="A121" s="261"/>
      <c r="B121" s="266"/>
      <c r="C121" s="261"/>
      <c r="D121" s="262"/>
      <c r="E121" s="262"/>
      <c r="F121" s="262"/>
      <c r="G121" s="266"/>
      <c r="H121" s="267"/>
      <c r="I121" s="262"/>
      <c r="J121" s="262"/>
      <c r="K121" s="370"/>
      <c r="L121" s="261"/>
      <c r="M121" s="261"/>
    </row>
    <row r="122" spans="1:13" x14ac:dyDescent="0.25">
      <c r="A122" s="261"/>
      <c r="B122" s="266"/>
      <c r="C122" s="261"/>
      <c r="D122" s="262"/>
      <c r="E122" s="262"/>
      <c r="F122" s="262"/>
      <c r="G122" s="266"/>
      <c r="H122" s="267"/>
      <c r="I122" s="262"/>
      <c r="J122" s="262"/>
      <c r="K122" s="370"/>
      <c r="L122" s="261"/>
      <c r="M122" s="261"/>
    </row>
    <row r="123" spans="1:13" x14ac:dyDescent="0.25">
      <c r="A123" s="261"/>
      <c r="B123" s="261"/>
      <c r="C123" s="261"/>
      <c r="D123" s="262"/>
      <c r="E123" s="262"/>
      <c r="F123" s="262"/>
      <c r="G123" s="261"/>
      <c r="H123" s="267"/>
      <c r="I123" s="262"/>
      <c r="J123" s="262"/>
      <c r="K123" s="262"/>
      <c r="L123" s="261"/>
      <c r="M123" s="261"/>
    </row>
    <row r="124" spans="1:13" x14ac:dyDescent="0.25">
      <c r="A124" s="32" t="s">
        <v>81</v>
      </c>
      <c r="B124" s="14"/>
      <c r="C124" s="14">
        <f>SUM(C108:C123)</f>
        <v>400</v>
      </c>
      <c r="D124" s="18"/>
      <c r="E124" s="18"/>
      <c r="F124" s="18">
        <f>SUM(F108:F123)</f>
        <v>19135.399999999994</v>
      </c>
      <c r="G124" s="14"/>
      <c r="H124" s="73">
        <f>SUM(H109:H123)</f>
        <v>400</v>
      </c>
      <c r="I124" s="18"/>
      <c r="J124" s="18"/>
      <c r="K124" s="18">
        <f>SUM(K109:K123)</f>
        <v>19861.28</v>
      </c>
      <c r="L124" s="18"/>
      <c r="M124" s="18">
        <f>SUM(M108:M123)</f>
        <v>102.39999999999999</v>
      </c>
    </row>
    <row r="125" spans="1:13" ht="15.75" thickBot="1" x14ac:dyDescent="0.3">
      <c r="A125" s="467" t="s">
        <v>198</v>
      </c>
      <c r="B125" s="468"/>
      <c r="C125" s="469" t="e">
        <f>SumByColor($A$19,C108:C123)</f>
        <v>#VALUE!</v>
      </c>
      <c r="D125" s="469"/>
      <c r="E125" s="469"/>
      <c r="F125" s="470" t="e">
        <f>SumByColor($A$19,F108:F123)</f>
        <v>#VALUE!</v>
      </c>
      <c r="G125" s="469"/>
      <c r="H125" s="469" t="e">
        <f>SumByColor($A$19,H108:H123)</f>
        <v>#VALUE!</v>
      </c>
      <c r="I125" s="469"/>
      <c r="J125" s="469"/>
      <c r="K125" s="470" t="e">
        <f>SumByColor($A$19,K108:K123)</f>
        <v>#VALUE!</v>
      </c>
      <c r="L125" s="469"/>
      <c r="M125" s="470" t="e">
        <f t="shared" ref="M125" si="102">SumByColor($A$19,M108:M123)</f>
        <v>#VALUE!</v>
      </c>
    </row>
  </sheetData>
  <mergeCells count="1">
    <mergeCell ref="P39:Q39"/>
  </mergeCells>
  <conditionalFormatting sqref="F45:F47">
    <cfRule type="expression" dxfId="413" priority="55">
      <formula>F45&gt;0</formula>
    </cfRule>
    <cfRule type="expression" dxfId="412" priority="56">
      <formula>F45&lt;0</formula>
    </cfRule>
  </conditionalFormatting>
  <conditionalFormatting sqref="P40:P60">
    <cfRule type="colorScale" priority="5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5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AE1:AE69">
    <cfRule type="iconSet" priority="51">
      <iconSet iconSet="3Arrows">
        <cfvo type="percent" val="0"/>
        <cfvo type="num" val="0"/>
        <cfvo type="num" val="0"/>
      </iconSet>
    </cfRule>
  </conditionalFormatting>
  <conditionalFormatting sqref="F48:F76 F83:F85 F92:F103">
    <cfRule type="expression" dxfId="411" priority="47">
      <formula>F48&gt;0</formula>
    </cfRule>
    <cfRule type="expression" dxfId="410" priority="48">
      <formula>F48&lt;0</formula>
    </cfRule>
  </conditionalFormatting>
  <conditionalFormatting sqref="F48:F76 F83:F85 F92:F103">
    <cfRule type="expression" dxfId="409" priority="49">
      <formula>F48&gt;0</formula>
    </cfRule>
    <cfRule type="expression" dxfId="408" priority="50">
      <formula>F48&lt;0</formula>
    </cfRule>
  </conditionalFormatting>
  <conditionalFormatting sqref="H45:H76 H83:H85 H92:H103">
    <cfRule type="expression" dxfId="407" priority="45">
      <formula>H45&gt;0</formula>
    </cfRule>
    <cfRule type="expression" dxfId="406" priority="46">
      <formula>H45&lt;0</formula>
    </cfRule>
  </conditionalFormatting>
  <conditionalFormatting sqref="F41:F44">
    <cfRule type="expression" dxfId="405" priority="31">
      <formula>F41&gt;0</formula>
    </cfRule>
    <cfRule type="expression" dxfId="404" priority="32">
      <formula>F41&lt;0</formula>
    </cfRule>
  </conditionalFormatting>
  <conditionalFormatting sqref="H41:H44">
    <cfRule type="expression" dxfId="403" priority="29">
      <formula>H41&gt;0</formula>
    </cfRule>
    <cfRule type="expression" dxfId="402" priority="30">
      <formula>H41&lt;0</formula>
    </cfRule>
  </conditionalFormatting>
  <conditionalFormatting sqref="Q8">
    <cfRule type="expression" dxfId="401" priority="25">
      <formula>Q8&gt;0</formula>
    </cfRule>
    <cfRule type="expression" dxfId="400" priority="26">
      <formula>Q8&lt;0</formula>
    </cfRule>
  </conditionalFormatting>
  <conditionalFormatting sqref="Q7">
    <cfRule type="expression" dxfId="399" priority="27">
      <formula>Q7&gt;0</formula>
    </cfRule>
    <cfRule type="expression" dxfId="398" priority="28">
      <formula>Q7&lt;0</formula>
    </cfRule>
  </conditionalFormatting>
  <conditionalFormatting sqref="F77:F82">
    <cfRule type="expression" dxfId="397" priority="21">
      <formula>F77&gt;0</formula>
    </cfRule>
    <cfRule type="expression" dxfId="396" priority="22">
      <formula>F77&lt;0</formula>
    </cfRule>
  </conditionalFormatting>
  <conditionalFormatting sqref="F77:F82">
    <cfRule type="expression" dxfId="395" priority="23">
      <formula>F77&gt;0</formula>
    </cfRule>
    <cfRule type="expression" dxfId="394" priority="24">
      <formula>F77&lt;0</formula>
    </cfRule>
  </conditionalFormatting>
  <conditionalFormatting sqref="H77:H82">
    <cfRule type="expression" dxfId="393" priority="19">
      <formula>H77&gt;0</formula>
    </cfRule>
    <cfRule type="expression" dxfId="392" priority="20">
      <formula>H77&lt;0</formula>
    </cfRule>
  </conditionalFormatting>
  <conditionalFormatting sqref="M106">
    <cfRule type="expression" dxfId="391" priority="15">
      <formula>M106&gt;0</formula>
    </cfRule>
    <cfRule type="expression" dxfId="390" priority="16">
      <formula>M106&lt;0</formula>
    </cfRule>
  </conditionalFormatting>
  <conditionalFormatting sqref="M106">
    <cfRule type="expression" dxfId="389" priority="17">
      <formula>M106&gt;0</formula>
    </cfRule>
    <cfRule type="expression" dxfId="388" priority="18">
      <formula>M106&lt;0</formula>
    </cfRule>
  </conditionalFormatting>
  <conditionalFormatting sqref="F87:F91">
    <cfRule type="expression" dxfId="387" priority="13">
      <formula>F87&gt;0</formula>
    </cfRule>
    <cfRule type="expression" dxfId="386" priority="14">
      <formula>F87&lt;0</formula>
    </cfRule>
  </conditionalFormatting>
  <conditionalFormatting sqref="H87:H91">
    <cfRule type="expression" dxfId="385" priority="11">
      <formula>H87&gt;0</formula>
    </cfRule>
    <cfRule type="expression" dxfId="384" priority="12">
      <formula>H87&lt;0</formula>
    </cfRule>
  </conditionalFormatting>
  <conditionalFormatting sqref="F24:F37">
    <cfRule type="expression" dxfId="383" priority="3">
      <formula>F24&gt;0</formula>
    </cfRule>
    <cfRule type="expression" dxfId="382" priority="4">
      <formula>F24&lt;0</formula>
    </cfRule>
  </conditionalFormatting>
  <conditionalFormatting sqref="F24:F37">
    <cfRule type="expression" dxfId="381" priority="5">
      <formula>F24&gt;0</formula>
    </cfRule>
    <cfRule type="expression" dxfId="380" priority="6">
      <formula>F24&lt;0</formula>
    </cfRule>
  </conditionalFormatting>
  <conditionalFormatting sqref="H24:H37">
    <cfRule type="expression" dxfId="379" priority="1">
      <formula>H24&gt;0</formula>
    </cfRule>
    <cfRule type="expression" dxfId="378" priority="2">
      <formula>H24&lt;0</formula>
    </cfRule>
  </conditionalFormatting>
  <hyperlinks>
    <hyperlink ref="A3" location="ACTIVE!A1" display="Back"/>
    <hyperlink ref="A10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3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6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8.5703125" style="86" customWidth="1"/>
    <col min="21" max="21" width="11.7109375" customWidth="1"/>
    <col min="23" max="23" width="13.28515625" style="34" customWidth="1"/>
    <col min="24" max="24" width="8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 t="s">
        <v>93</v>
      </c>
      <c r="W1" s="92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0" x14ac:dyDescent="0.25">
      <c r="A2" s="6" t="s">
        <v>10</v>
      </c>
      <c r="B2" s="120"/>
      <c r="C2" s="17"/>
      <c r="D2" s="75"/>
      <c r="E2" s="75"/>
      <c r="F2" s="75"/>
      <c r="G2" s="1"/>
      <c r="H2" s="185"/>
      <c r="I2" s="3"/>
      <c r="J2" s="3"/>
      <c r="K2" s="3"/>
      <c r="L2" s="120"/>
      <c r="M2" s="3"/>
      <c r="O2" s="11" t="s">
        <v>57</v>
      </c>
      <c r="Q2">
        <f>C18-H18</f>
        <v>0</v>
      </c>
      <c r="T2" s="85">
        <v>42562</v>
      </c>
      <c r="U2" t="s">
        <v>242</v>
      </c>
      <c r="W2" s="94">
        <v>42768</v>
      </c>
      <c r="X2" s="10">
        <v>36.700000000000003</v>
      </c>
      <c r="Y2" s="10">
        <v>38.369999999999997</v>
      </c>
      <c r="Z2" s="10">
        <v>36.630000000000003</v>
      </c>
      <c r="AA2" s="10">
        <v>37.68</v>
      </c>
      <c r="AB2" s="95">
        <v>5046900</v>
      </c>
      <c r="AC2" s="10">
        <v>37.68</v>
      </c>
      <c r="AD2" s="2">
        <f>Y2-Z2</f>
        <v>1.7399999999999949</v>
      </c>
      <c r="AE2" s="138">
        <f>AC2/AC3-1</f>
        <v>3.9161610590181972E-2</v>
      </c>
    </row>
    <row r="3" spans="1:40" x14ac:dyDescent="0.25">
      <c r="A3" s="23" t="s">
        <v>71</v>
      </c>
      <c r="B3" s="258"/>
      <c r="C3" s="277"/>
      <c r="D3" s="278"/>
      <c r="E3" s="278"/>
      <c r="F3" s="75"/>
      <c r="G3" s="1"/>
      <c r="H3" s="185"/>
      <c r="I3" s="3"/>
      <c r="J3" s="3"/>
      <c r="K3" s="3"/>
      <c r="L3" s="258"/>
      <c r="M3" s="3"/>
      <c r="O3" s="11" t="s">
        <v>58</v>
      </c>
      <c r="Q3" s="230">
        <f>IF(Q2=0, Q4, (F18-K18-M18)/Q2)</f>
        <v>36.86</v>
      </c>
      <c r="T3" s="121">
        <v>42568</v>
      </c>
      <c r="U3" t="s">
        <v>251</v>
      </c>
      <c r="W3" s="94">
        <v>42767</v>
      </c>
      <c r="X3" s="10">
        <v>36.58</v>
      </c>
      <c r="Y3" s="10">
        <v>37.19</v>
      </c>
      <c r="Z3" s="10">
        <v>36.200000000000003</v>
      </c>
      <c r="AA3" s="10">
        <v>36.26</v>
      </c>
      <c r="AB3" s="95">
        <v>2903800</v>
      </c>
      <c r="AC3" s="10">
        <v>36.26</v>
      </c>
      <c r="AD3" s="2">
        <f t="shared" ref="AD3:AD40" si="0">Y3-Z3</f>
        <v>0.98999999999999488</v>
      </c>
      <c r="AE3" s="138">
        <f t="shared" ref="AE3:AE39" si="1">AC3/AC4-1</f>
        <v>-5.2126200274349443E-3</v>
      </c>
      <c r="AN3" s="234"/>
    </row>
    <row r="4" spans="1:40" x14ac:dyDescent="0.25">
      <c r="B4" s="258"/>
      <c r="C4" s="277"/>
      <c r="D4" s="278"/>
      <c r="E4" s="278"/>
      <c r="F4" s="75"/>
      <c r="G4" s="258"/>
      <c r="H4" s="279"/>
      <c r="I4" s="278"/>
      <c r="J4" s="278"/>
      <c r="K4" s="278"/>
      <c r="L4" s="277"/>
      <c r="O4" s="11" t="s">
        <v>66</v>
      </c>
      <c r="Q4" s="201">
        <v>36.86</v>
      </c>
      <c r="R4" s="505">
        <v>-2.18E-2</v>
      </c>
      <c r="T4" s="121"/>
      <c r="W4" s="94">
        <v>42766</v>
      </c>
      <c r="X4" s="10">
        <v>36.78</v>
      </c>
      <c r="Y4" s="10">
        <v>37.229999999999997</v>
      </c>
      <c r="Z4" s="10">
        <v>36.01</v>
      </c>
      <c r="AA4" s="10">
        <v>36.450000000000003</v>
      </c>
      <c r="AB4" s="95">
        <v>2677100</v>
      </c>
      <c r="AC4" s="10">
        <v>36.450000000000003</v>
      </c>
      <c r="AD4" s="2">
        <f t="shared" si="0"/>
        <v>1.2199999999999989</v>
      </c>
      <c r="AE4" s="138">
        <f t="shared" si="1"/>
        <v>-2.7359781121749638E-3</v>
      </c>
      <c r="AK4" s="234"/>
      <c r="AN4" s="234"/>
    </row>
    <row r="5" spans="1:40" x14ac:dyDescent="0.25">
      <c r="B5" s="258"/>
      <c r="C5" s="277"/>
      <c r="D5" s="278"/>
      <c r="E5" s="278"/>
      <c r="F5" s="278"/>
      <c r="G5" s="258"/>
      <c r="H5" s="279"/>
      <c r="I5" s="278"/>
      <c r="J5" s="278"/>
      <c r="K5" s="278"/>
      <c r="L5" s="277"/>
      <c r="O5" s="11" t="s">
        <v>67</v>
      </c>
      <c r="Q5" s="3">
        <f>Q4*Q2</f>
        <v>0</v>
      </c>
      <c r="W5" s="94">
        <v>42765</v>
      </c>
      <c r="X5" s="10">
        <v>36.479999999999997</v>
      </c>
      <c r="Y5" s="10">
        <v>36.590000000000003</v>
      </c>
      <c r="Z5" s="10">
        <v>35.770000000000003</v>
      </c>
      <c r="AA5" s="10">
        <v>36.549999999999997</v>
      </c>
      <c r="AB5" s="95">
        <v>3002400</v>
      </c>
      <c r="AC5" s="10">
        <v>36.549999999999997</v>
      </c>
      <c r="AD5" s="2">
        <f t="shared" si="0"/>
        <v>0.82000000000000028</v>
      </c>
      <c r="AE5" s="138">
        <f t="shared" si="1"/>
        <v>-3.2724297791111301E-3</v>
      </c>
      <c r="AK5" s="234"/>
      <c r="AN5" s="234"/>
    </row>
    <row r="6" spans="1:40" x14ac:dyDescent="0.25">
      <c r="B6" s="258"/>
      <c r="C6" s="277"/>
      <c r="D6" s="278"/>
      <c r="E6" s="278"/>
      <c r="F6" s="278"/>
      <c r="G6" s="258"/>
      <c r="H6" s="279"/>
      <c r="I6" s="278"/>
      <c r="J6" s="278"/>
      <c r="K6" s="278"/>
      <c r="L6" s="277"/>
      <c r="O6" s="11" t="s">
        <v>64</v>
      </c>
      <c r="Q6" s="2">
        <f>Q3*Q2</f>
        <v>0</v>
      </c>
      <c r="W6" s="94">
        <v>42762</v>
      </c>
      <c r="X6" s="10">
        <v>36.299999999999997</v>
      </c>
      <c r="Y6" s="10">
        <v>37.39</v>
      </c>
      <c r="Z6" s="10">
        <v>36.270000000000003</v>
      </c>
      <c r="AA6" s="10">
        <v>36.67</v>
      </c>
      <c r="AB6" s="95">
        <v>3617600</v>
      </c>
      <c r="AC6" s="10">
        <v>36.67</v>
      </c>
      <c r="AD6" s="2">
        <f t="shared" si="0"/>
        <v>1.1199999999999974</v>
      </c>
      <c r="AE6" s="138">
        <f t="shared" si="1"/>
        <v>1.0192837465564875E-2</v>
      </c>
    </row>
    <row r="7" spans="1:40" x14ac:dyDescent="0.25">
      <c r="B7" s="258"/>
      <c r="C7" s="277"/>
      <c r="D7" s="278"/>
      <c r="E7" s="278"/>
      <c r="F7" s="278"/>
      <c r="G7" s="258"/>
      <c r="H7" s="279"/>
      <c r="I7" s="278"/>
      <c r="J7" s="278"/>
      <c r="K7" s="278"/>
      <c r="L7" s="277"/>
      <c r="O7" s="11" t="s">
        <v>181</v>
      </c>
      <c r="P7"/>
      <c r="Q7" s="2">
        <f>Q10+Q8</f>
        <v>1128.3800000000047</v>
      </c>
      <c r="R7">
        <v>0</v>
      </c>
      <c r="T7" s="85"/>
      <c r="W7" s="94">
        <v>42761</v>
      </c>
      <c r="X7" s="10">
        <v>36.22</v>
      </c>
      <c r="Y7" s="10">
        <v>37.07</v>
      </c>
      <c r="Z7" s="10">
        <v>35.51</v>
      </c>
      <c r="AA7" s="10">
        <v>36.299999999999997</v>
      </c>
      <c r="AB7" s="95">
        <v>5733100</v>
      </c>
      <c r="AC7" s="10">
        <v>36.299999999999997</v>
      </c>
      <c r="AD7" s="2">
        <f t="shared" si="0"/>
        <v>1.5600000000000023</v>
      </c>
      <c r="AE7" s="138">
        <f t="shared" si="1"/>
        <v>-6.2961949082946944E-3</v>
      </c>
      <c r="AK7" s="234"/>
      <c r="AN7" s="234"/>
    </row>
    <row r="8" spans="1:40" x14ac:dyDescent="0.25">
      <c r="B8" s="258"/>
      <c r="C8" s="277"/>
      <c r="D8" s="278"/>
      <c r="E8" s="278"/>
      <c r="F8" s="278"/>
      <c r="G8" s="258"/>
      <c r="H8" s="279"/>
      <c r="I8" s="278"/>
      <c r="J8" s="278"/>
      <c r="K8" s="278"/>
      <c r="L8" s="277"/>
      <c r="O8" s="11" t="s">
        <v>184</v>
      </c>
      <c r="Q8" s="2">
        <f>K18+M18-F18+Q2*Q4</f>
        <v>0</v>
      </c>
      <c r="W8" s="94">
        <v>42760</v>
      </c>
      <c r="X8" s="10">
        <v>38.58</v>
      </c>
      <c r="Y8" s="10">
        <v>38.94</v>
      </c>
      <c r="Z8" s="10">
        <v>36.31</v>
      </c>
      <c r="AA8" s="10">
        <v>36.53</v>
      </c>
      <c r="AB8" s="95">
        <v>13573700</v>
      </c>
      <c r="AC8" s="10">
        <v>36.53</v>
      </c>
      <c r="AD8" s="2">
        <f t="shared" si="0"/>
        <v>2.6299999999999955</v>
      </c>
      <c r="AE8" s="138">
        <f t="shared" si="1"/>
        <v>-2.5866666666666593E-2</v>
      </c>
    </row>
    <row r="9" spans="1:40" x14ac:dyDescent="0.25">
      <c r="O9" s="11" t="s">
        <v>214</v>
      </c>
      <c r="P9"/>
      <c r="Q9" s="138">
        <f>IF(Q2=0, 0, Q8/Q6)</f>
        <v>0</v>
      </c>
      <c r="W9" s="94">
        <v>42759</v>
      </c>
      <c r="X9" s="10">
        <v>37.18</v>
      </c>
      <c r="Y9" s="10">
        <v>38.380000000000003</v>
      </c>
      <c r="Z9" s="10">
        <v>37.18</v>
      </c>
      <c r="AA9" s="10">
        <v>37.5</v>
      </c>
      <c r="AB9" s="95">
        <v>11048600</v>
      </c>
      <c r="AC9" s="10">
        <v>37.5</v>
      </c>
      <c r="AD9" s="2">
        <f t="shared" si="0"/>
        <v>1.2000000000000028</v>
      </c>
      <c r="AE9" s="138">
        <f t="shared" si="1"/>
        <v>3.3342518600165461E-2</v>
      </c>
      <c r="AK9" s="234"/>
      <c r="AN9" s="234"/>
    </row>
    <row r="10" spans="1:40" x14ac:dyDescent="0.25">
      <c r="O10" s="11" t="s">
        <v>213</v>
      </c>
      <c r="Q10" s="2">
        <f>M42</f>
        <v>1128.3800000000047</v>
      </c>
      <c r="W10" s="94">
        <v>42758</v>
      </c>
      <c r="X10" s="10">
        <v>35.92</v>
      </c>
      <c r="Y10" s="10">
        <v>36.4</v>
      </c>
      <c r="Z10" s="10">
        <v>35.46</v>
      </c>
      <c r="AA10" s="10">
        <v>36.29</v>
      </c>
      <c r="AB10" s="95">
        <v>5242100</v>
      </c>
      <c r="AC10" s="10">
        <v>36.29</v>
      </c>
      <c r="AD10" s="2">
        <f t="shared" si="0"/>
        <v>0.93999999999999773</v>
      </c>
      <c r="AE10" s="138">
        <f t="shared" si="1"/>
        <v>1.7666853617498646E-2</v>
      </c>
    </row>
    <row r="11" spans="1:40" x14ac:dyDescent="0.25">
      <c r="O11" s="11" t="s">
        <v>178</v>
      </c>
      <c r="Q11" s="138">
        <f>VALUE(TRIM(CLEAN(MID(U55, FIND("(", U55)+1, 5))))</f>
        <v>1.2500000000000001E-2</v>
      </c>
      <c r="W11" s="94">
        <v>42755</v>
      </c>
      <c r="X11" s="10">
        <v>35.4</v>
      </c>
      <c r="Y11" s="10">
        <v>35.74</v>
      </c>
      <c r="Z11" s="10">
        <v>34.93</v>
      </c>
      <c r="AA11" s="10">
        <v>35.659999999999997</v>
      </c>
      <c r="AB11" s="95">
        <v>5329400</v>
      </c>
      <c r="AC11" s="10">
        <v>35.659999999999997</v>
      </c>
      <c r="AD11" s="2">
        <f t="shared" si="0"/>
        <v>0.81000000000000227</v>
      </c>
      <c r="AE11" s="138">
        <f t="shared" si="1"/>
        <v>6.7758328627891551E-3</v>
      </c>
      <c r="AK11" s="234"/>
      <c r="AN11" s="234"/>
    </row>
    <row r="12" spans="1:40" x14ac:dyDescent="0.25">
      <c r="W12" s="94">
        <v>42754</v>
      </c>
      <c r="X12" s="10">
        <v>34.22</v>
      </c>
      <c r="Y12" s="10">
        <v>35.630000000000003</v>
      </c>
      <c r="Z12" s="10">
        <v>34.18</v>
      </c>
      <c r="AA12" s="10">
        <v>35.42</v>
      </c>
      <c r="AB12" s="95">
        <v>5035600</v>
      </c>
      <c r="AC12" s="10">
        <v>35.42</v>
      </c>
      <c r="AD12" s="2">
        <f t="shared" si="0"/>
        <v>1.4500000000000028</v>
      </c>
      <c r="AE12" s="138">
        <f t="shared" si="1"/>
        <v>1.7523700086182092E-2</v>
      </c>
    </row>
    <row r="13" spans="1:40" x14ac:dyDescent="0.25">
      <c r="W13" s="94">
        <v>42753</v>
      </c>
      <c r="X13" s="10">
        <v>32.950000000000003</v>
      </c>
      <c r="Y13" s="10">
        <v>34.83</v>
      </c>
      <c r="Z13" s="10">
        <v>32.64</v>
      </c>
      <c r="AA13" s="10">
        <v>34.81</v>
      </c>
      <c r="AB13" s="95">
        <v>6398800</v>
      </c>
      <c r="AC13" s="10">
        <v>34.81</v>
      </c>
      <c r="AD13" s="2">
        <f t="shared" si="0"/>
        <v>2.1899999999999977</v>
      </c>
      <c r="AE13" s="138">
        <f t="shared" si="1"/>
        <v>6.6482843137255054E-2</v>
      </c>
      <c r="AK13" s="234"/>
      <c r="AN13" s="234"/>
    </row>
    <row r="14" spans="1:40" x14ac:dyDescent="0.25">
      <c r="T14" s="84"/>
      <c r="U14" s="11"/>
      <c r="W14" s="94">
        <v>42752</v>
      </c>
      <c r="X14" s="10">
        <v>32.97</v>
      </c>
      <c r="Y14" s="10">
        <v>33.04</v>
      </c>
      <c r="Z14" s="10">
        <v>32.520000000000003</v>
      </c>
      <c r="AA14" s="10">
        <v>32.64</v>
      </c>
      <c r="AB14" s="95">
        <v>1381800</v>
      </c>
      <c r="AC14" s="10">
        <v>32.64</v>
      </c>
      <c r="AD14" s="2">
        <f t="shared" si="0"/>
        <v>0.51999999999999602</v>
      </c>
      <c r="AE14" s="138">
        <f t="shared" si="1"/>
        <v>-1.1208724628900213E-2</v>
      </c>
    </row>
    <row r="15" spans="1:40" x14ac:dyDescent="0.25">
      <c r="W15" s="94">
        <v>42748</v>
      </c>
      <c r="X15" s="10">
        <v>32.82</v>
      </c>
      <c r="Y15" s="10">
        <v>33.43</v>
      </c>
      <c r="Z15" s="10">
        <v>32.53</v>
      </c>
      <c r="AA15" s="10">
        <v>33.01</v>
      </c>
      <c r="AB15" s="95">
        <v>3026200</v>
      </c>
      <c r="AC15" s="10">
        <v>33.01</v>
      </c>
      <c r="AD15" s="2">
        <f t="shared" si="0"/>
        <v>0.89999999999999858</v>
      </c>
      <c r="AE15" s="138">
        <f t="shared" si="1"/>
        <v>-9.0799031476995751E-4</v>
      </c>
      <c r="AK15" s="234"/>
      <c r="AN15" s="234"/>
    </row>
    <row r="16" spans="1:40" x14ac:dyDescent="0.25">
      <c r="W16" s="94">
        <v>42747</v>
      </c>
      <c r="X16" s="10">
        <v>33</v>
      </c>
      <c r="Y16" s="10">
        <v>33.5</v>
      </c>
      <c r="Z16" s="10">
        <v>32.51</v>
      </c>
      <c r="AA16" s="10">
        <v>33.04</v>
      </c>
      <c r="AB16" s="95">
        <v>4479500</v>
      </c>
      <c r="AC16" s="10">
        <v>33.04</v>
      </c>
      <c r="AD16" s="2">
        <f t="shared" si="0"/>
        <v>0.99000000000000199</v>
      </c>
      <c r="AE16" s="138">
        <f t="shared" si="1"/>
        <v>3.3468877072255321E-2</v>
      </c>
    </row>
    <row r="17" spans="1:40" x14ac:dyDescent="0.25">
      <c r="W17" s="94">
        <v>42746</v>
      </c>
      <c r="X17" s="10">
        <v>31.08</v>
      </c>
      <c r="Y17" s="10">
        <v>32</v>
      </c>
      <c r="Z17" s="10">
        <v>31.08</v>
      </c>
      <c r="AA17" s="10">
        <v>31.97</v>
      </c>
      <c r="AB17" s="95">
        <v>3048500</v>
      </c>
      <c r="AC17" s="10">
        <v>31.97</v>
      </c>
      <c r="AD17" s="2">
        <f t="shared" si="0"/>
        <v>0.92000000000000171</v>
      </c>
      <c r="AE17" s="138">
        <f t="shared" si="1"/>
        <v>3.1956100710135438E-2</v>
      </c>
      <c r="AK17" s="234"/>
      <c r="AN17" s="234"/>
    </row>
    <row r="18" spans="1:40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4">
        <v>42745</v>
      </c>
      <c r="X18" s="10">
        <v>29.83</v>
      </c>
      <c r="Y18" s="10">
        <v>31.1</v>
      </c>
      <c r="Z18" s="10">
        <v>29.73</v>
      </c>
      <c r="AA18" s="10">
        <v>30.98</v>
      </c>
      <c r="AB18" s="95">
        <v>3823600</v>
      </c>
      <c r="AC18" s="10">
        <v>30.98</v>
      </c>
      <c r="AD18" s="2">
        <f t="shared" si="0"/>
        <v>1.370000000000001</v>
      </c>
      <c r="AE18" s="138">
        <f t="shared" si="1"/>
        <v>5.0881953867028429E-2</v>
      </c>
    </row>
    <row r="19" spans="1:40" ht="15.75" thickBot="1" x14ac:dyDescent="0.3">
      <c r="A19" s="356" t="s">
        <v>198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 t="shared" ref="M19" si="2">SumByColor($A$19,M2:M17)</f>
        <v>0</v>
      </c>
      <c r="W19" s="94">
        <v>42744</v>
      </c>
      <c r="X19" s="10">
        <v>30.88</v>
      </c>
      <c r="Y19" s="10">
        <v>30.88</v>
      </c>
      <c r="Z19" s="10">
        <v>29.22</v>
      </c>
      <c r="AA19" s="10">
        <v>29.48</v>
      </c>
      <c r="AB19" s="95">
        <v>4199600</v>
      </c>
      <c r="AC19" s="10">
        <v>29.48</v>
      </c>
      <c r="AD19" s="2">
        <f t="shared" si="0"/>
        <v>1.6600000000000001</v>
      </c>
      <c r="AE19" s="138">
        <f t="shared" si="1"/>
        <v>-3.9113428943937434E-2</v>
      </c>
      <c r="AK19" s="234"/>
      <c r="AN19" s="234"/>
    </row>
    <row r="20" spans="1:40" x14ac:dyDescent="0.25">
      <c r="W20" s="94">
        <v>42741</v>
      </c>
      <c r="X20" s="10">
        <v>30.69</v>
      </c>
      <c r="Y20" s="10">
        <v>31.1</v>
      </c>
      <c r="Z20" s="10">
        <v>30.31</v>
      </c>
      <c r="AA20" s="10">
        <v>30.68</v>
      </c>
      <c r="AB20" s="95">
        <v>2083600</v>
      </c>
      <c r="AC20" s="10">
        <v>30.68</v>
      </c>
      <c r="AD20" s="2">
        <f t="shared" si="0"/>
        <v>0.7900000000000027</v>
      </c>
      <c r="AE20" s="138">
        <f t="shared" si="1"/>
        <v>9.7879282218604757E-4</v>
      </c>
    </row>
    <row r="21" spans="1:40" x14ac:dyDescent="0.25">
      <c r="B21" s="191" t="s">
        <v>114</v>
      </c>
      <c r="C21" s="191" t="s">
        <v>147</v>
      </c>
      <c r="D21" s="192" t="s">
        <v>146</v>
      </c>
      <c r="E21" s="194" t="s">
        <v>148</v>
      </c>
      <c r="F21" s="194" t="s">
        <v>65</v>
      </c>
      <c r="G21" s="229" t="s">
        <v>152</v>
      </c>
      <c r="H21" s="229" t="s">
        <v>88</v>
      </c>
      <c r="I21" s="229" t="s">
        <v>155</v>
      </c>
      <c r="W21" s="94">
        <v>42740</v>
      </c>
      <c r="X21" s="10">
        <v>30.18</v>
      </c>
      <c r="Y21" s="10">
        <v>30.93</v>
      </c>
      <c r="Z21" s="10">
        <v>30.12</v>
      </c>
      <c r="AA21" s="10">
        <v>30.65</v>
      </c>
      <c r="AB21" s="95">
        <v>2432100</v>
      </c>
      <c r="AC21" s="10">
        <v>30.65</v>
      </c>
      <c r="AD21" s="2">
        <f t="shared" si="0"/>
        <v>0.80999999999999872</v>
      </c>
      <c r="AE21" s="138">
        <f t="shared" si="1"/>
        <v>1.2888301387970813E-2</v>
      </c>
      <c r="AK21" s="234"/>
      <c r="AN21" s="234"/>
    </row>
    <row r="22" spans="1:40" x14ac:dyDescent="0.25">
      <c r="B22" s="193"/>
      <c r="C22" s="10"/>
      <c r="D22" s="40"/>
      <c r="E22" s="40"/>
      <c r="F22" s="40"/>
      <c r="G22" s="40"/>
      <c r="H22" s="231"/>
      <c r="I22" s="40"/>
      <c r="W22" s="94">
        <v>42739</v>
      </c>
      <c r="X22" s="10">
        <v>29.02</v>
      </c>
      <c r="Y22" s="10">
        <v>30.3</v>
      </c>
      <c r="Z22" s="10">
        <v>29.02</v>
      </c>
      <c r="AA22" s="10">
        <v>30.26</v>
      </c>
      <c r="AB22" s="95">
        <v>3338100</v>
      </c>
      <c r="AC22" s="10">
        <v>30.26</v>
      </c>
      <c r="AD22" s="2">
        <f t="shared" si="0"/>
        <v>1.2800000000000011</v>
      </c>
      <c r="AE22" s="138">
        <f t="shared" si="1"/>
        <v>4.9601109954908296E-2</v>
      </c>
    </row>
    <row r="23" spans="1:40" x14ac:dyDescent="0.25">
      <c r="B23" s="193"/>
      <c r="C23" s="10"/>
      <c r="D23" s="40"/>
      <c r="E23" s="40"/>
      <c r="F23" s="40"/>
      <c r="G23" s="40"/>
      <c r="H23" s="231"/>
      <c r="I23" s="40"/>
      <c r="W23" s="94">
        <v>42738</v>
      </c>
      <c r="X23" s="10">
        <v>28.6</v>
      </c>
      <c r="Y23" s="10">
        <v>28.87</v>
      </c>
      <c r="Z23" s="10">
        <v>28.17</v>
      </c>
      <c r="AA23" s="10">
        <v>28.83</v>
      </c>
      <c r="AB23" s="95">
        <v>2746400</v>
      </c>
      <c r="AC23" s="10">
        <v>28.83</v>
      </c>
      <c r="AD23" s="2">
        <f t="shared" si="0"/>
        <v>0.69999999999999929</v>
      </c>
      <c r="AE23" s="138">
        <f t="shared" si="1"/>
        <v>2.6709401709401615E-2</v>
      </c>
      <c r="AK23" s="234"/>
    </row>
    <row r="24" spans="1:40" x14ac:dyDescent="0.25">
      <c r="B24" s="193"/>
      <c r="C24" s="10"/>
      <c r="D24" s="40"/>
      <c r="E24" s="40"/>
      <c r="F24" s="40"/>
      <c r="G24" s="40"/>
      <c r="H24" s="231"/>
      <c r="I24" s="40"/>
      <c r="W24" s="94">
        <v>42734</v>
      </c>
      <c r="X24" s="10">
        <v>28.97</v>
      </c>
      <c r="Y24" s="10">
        <v>29.38</v>
      </c>
      <c r="Z24" s="10">
        <v>28.01</v>
      </c>
      <c r="AA24" s="10">
        <v>28.08</v>
      </c>
      <c r="AB24" s="95">
        <v>2651500</v>
      </c>
      <c r="AC24" s="10">
        <v>28.08</v>
      </c>
      <c r="AD24" s="2">
        <f t="shared" si="0"/>
        <v>1.3699999999999974</v>
      </c>
      <c r="AE24" s="138">
        <f t="shared" si="1"/>
        <v>-2.8037383177570208E-2</v>
      </c>
    </row>
    <row r="25" spans="1:40" x14ac:dyDescent="0.25">
      <c r="B25" s="193"/>
      <c r="C25" s="10"/>
      <c r="D25" s="40"/>
      <c r="E25" s="40"/>
      <c r="F25" s="40"/>
      <c r="G25" s="40"/>
      <c r="H25" s="231"/>
      <c r="I25" s="40"/>
      <c r="W25" s="94">
        <v>42733</v>
      </c>
      <c r="X25" s="10">
        <v>29.43</v>
      </c>
      <c r="Y25" s="10">
        <v>29.44</v>
      </c>
      <c r="Z25" s="10">
        <v>28.6</v>
      </c>
      <c r="AA25" s="10">
        <v>28.89</v>
      </c>
      <c r="AB25" s="95">
        <v>3224400</v>
      </c>
      <c r="AC25" s="10">
        <v>28.89</v>
      </c>
      <c r="AD25" s="2">
        <f t="shared" si="0"/>
        <v>0.83999999999999986</v>
      </c>
      <c r="AE25" s="138">
        <f t="shared" si="1"/>
        <v>-1.834862385321101E-2</v>
      </c>
    </row>
    <row r="26" spans="1:40" x14ac:dyDescent="0.25">
      <c r="B26" s="193"/>
      <c r="C26" s="10"/>
      <c r="D26" s="40"/>
      <c r="E26" s="40"/>
      <c r="F26" s="40"/>
      <c r="G26" s="40"/>
      <c r="H26" s="231"/>
      <c r="I26" s="40"/>
      <c r="W26" s="94">
        <v>42732</v>
      </c>
      <c r="X26" s="10">
        <v>29.78</v>
      </c>
      <c r="Y26" s="10">
        <v>30.17</v>
      </c>
      <c r="Z26" s="10">
        <v>29.35</v>
      </c>
      <c r="AA26" s="10">
        <v>29.43</v>
      </c>
      <c r="AB26" s="95">
        <v>2749800</v>
      </c>
      <c r="AC26" s="10">
        <v>29.43</v>
      </c>
      <c r="AD26" s="2">
        <f t="shared" si="0"/>
        <v>0.82000000000000028</v>
      </c>
      <c r="AE26" s="138">
        <f t="shared" si="1"/>
        <v>-7.4198988195615101E-3</v>
      </c>
    </row>
    <row r="27" spans="1:40" x14ac:dyDescent="0.25">
      <c r="B27" s="193"/>
      <c r="C27" s="10"/>
      <c r="D27" s="40"/>
      <c r="E27" s="40"/>
      <c r="F27" s="40"/>
      <c r="G27" s="40"/>
      <c r="H27" s="231"/>
      <c r="I27" s="40"/>
      <c r="W27" s="94">
        <v>42731</v>
      </c>
      <c r="X27" s="10">
        <v>29.58</v>
      </c>
      <c r="Y27" s="10">
        <v>30.04</v>
      </c>
      <c r="Z27" s="10">
        <v>29.4</v>
      </c>
      <c r="AA27" s="10">
        <v>29.65</v>
      </c>
      <c r="AB27" s="95">
        <v>1708000</v>
      </c>
      <c r="AC27" s="10">
        <v>29.65</v>
      </c>
      <c r="AD27" s="2">
        <f t="shared" si="0"/>
        <v>0.64000000000000057</v>
      </c>
      <c r="AE27" s="138">
        <f t="shared" si="1"/>
        <v>-2.0195220464490626E-3</v>
      </c>
    </row>
    <row r="28" spans="1:40" x14ac:dyDescent="0.25">
      <c r="B28" s="193"/>
      <c r="C28" s="10"/>
      <c r="D28" s="40"/>
      <c r="E28" s="40"/>
      <c r="F28" s="40"/>
      <c r="G28" s="40"/>
      <c r="H28" s="231"/>
      <c r="I28" s="40"/>
      <c r="W28" s="94">
        <v>42727</v>
      </c>
      <c r="X28" s="10">
        <v>29.79</v>
      </c>
      <c r="Y28" s="10">
        <v>30.13</v>
      </c>
      <c r="Z28" s="10">
        <v>29.34</v>
      </c>
      <c r="AA28" s="10">
        <v>29.71</v>
      </c>
      <c r="AB28" s="95">
        <v>2881800</v>
      </c>
      <c r="AC28" s="10">
        <v>29.71</v>
      </c>
      <c r="AD28" s="2">
        <f t="shared" si="0"/>
        <v>0.78999999999999915</v>
      </c>
      <c r="AE28" s="138">
        <f t="shared" si="1"/>
        <v>-1.3445378151260012E-3</v>
      </c>
    </row>
    <row r="29" spans="1:40" x14ac:dyDescent="0.25">
      <c r="B29" s="193"/>
      <c r="C29" s="10"/>
      <c r="D29" s="40"/>
      <c r="E29" s="40"/>
      <c r="F29" s="40"/>
      <c r="G29" s="40"/>
      <c r="H29" s="231"/>
      <c r="I29" s="40"/>
      <c r="W29" s="94">
        <v>42726</v>
      </c>
      <c r="X29" s="10">
        <v>30.21</v>
      </c>
      <c r="Y29" s="10">
        <v>30.35</v>
      </c>
      <c r="Z29" s="10">
        <v>29.54</v>
      </c>
      <c r="AA29" s="10">
        <v>29.75</v>
      </c>
      <c r="AB29" s="95">
        <v>3761600</v>
      </c>
      <c r="AC29" s="10">
        <v>29.75</v>
      </c>
      <c r="AD29" s="2">
        <f t="shared" si="0"/>
        <v>0.81000000000000227</v>
      </c>
      <c r="AE29" s="138">
        <f t="shared" si="1"/>
        <v>-2.2346368715083775E-2</v>
      </c>
    </row>
    <row r="30" spans="1:40" x14ac:dyDescent="0.25">
      <c r="B30" s="193"/>
      <c r="C30" s="10"/>
      <c r="D30" s="40"/>
      <c r="E30" s="40"/>
      <c r="F30" s="40"/>
      <c r="G30" s="40"/>
      <c r="H30" s="231"/>
      <c r="I30" s="40"/>
      <c r="W30" s="94">
        <v>42725</v>
      </c>
      <c r="X30" s="10">
        <v>30.19</v>
      </c>
      <c r="Y30" s="10">
        <v>30.43</v>
      </c>
      <c r="Z30" s="10">
        <v>30.02</v>
      </c>
      <c r="AA30" s="10">
        <v>30.43</v>
      </c>
      <c r="AB30" s="95">
        <v>1811200</v>
      </c>
      <c r="AC30" s="10">
        <v>30.43</v>
      </c>
      <c r="AD30" s="2">
        <f t="shared" si="0"/>
        <v>0.41000000000000014</v>
      </c>
      <c r="AE30" s="138">
        <f t="shared" si="1"/>
        <v>8.9522546419098514E-3</v>
      </c>
    </row>
    <row r="31" spans="1:40" x14ac:dyDescent="0.25">
      <c r="B31" s="193"/>
      <c r="C31" s="10"/>
      <c r="D31" s="40"/>
      <c r="E31" s="40"/>
      <c r="F31" s="40"/>
      <c r="G31" s="40"/>
      <c r="H31" s="231"/>
      <c r="I31" s="236"/>
      <c r="W31" s="94">
        <v>42724</v>
      </c>
      <c r="X31" s="10">
        <v>29.9</v>
      </c>
      <c r="Y31" s="10">
        <v>30.33</v>
      </c>
      <c r="Z31" s="10">
        <v>29.77</v>
      </c>
      <c r="AA31" s="10">
        <v>30.16</v>
      </c>
      <c r="AB31" s="95">
        <v>3821000</v>
      </c>
      <c r="AC31" s="10">
        <v>30.16</v>
      </c>
      <c r="AD31" s="2">
        <f t="shared" si="0"/>
        <v>0.55999999999999872</v>
      </c>
      <c r="AE31" s="138">
        <f t="shared" si="1"/>
        <v>2.9702970297029729E-2</v>
      </c>
    </row>
    <row r="32" spans="1:40" x14ac:dyDescent="0.25">
      <c r="B32" s="193"/>
      <c r="C32" s="10"/>
      <c r="D32" s="40"/>
      <c r="E32" s="40"/>
      <c r="F32" s="40"/>
      <c r="G32" s="40"/>
      <c r="H32" s="231"/>
      <c r="I32" s="40"/>
      <c r="W32" s="94">
        <v>42723</v>
      </c>
      <c r="X32" s="10">
        <v>28.89</v>
      </c>
      <c r="Y32" s="10">
        <v>29.49</v>
      </c>
      <c r="Z32" s="10">
        <v>28.75</v>
      </c>
      <c r="AA32" s="10">
        <v>29.29</v>
      </c>
      <c r="AB32" s="95">
        <v>2557400</v>
      </c>
      <c r="AC32" s="10">
        <v>29.29</v>
      </c>
      <c r="AD32" s="2">
        <f t="shared" si="0"/>
        <v>0.73999999999999844</v>
      </c>
      <c r="AE32" s="138">
        <f t="shared" si="1"/>
        <v>-3.7414965986394266E-3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40"/>
      <c r="W33" s="94">
        <v>42720</v>
      </c>
      <c r="X33" s="10">
        <v>29.65</v>
      </c>
      <c r="Y33" s="10">
        <v>30.42</v>
      </c>
      <c r="Z33" s="10">
        <v>29.16</v>
      </c>
      <c r="AA33" s="10">
        <v>29.4</v>
      </c>
      <c r="AB33" s="95">
        <v>7656400</v>
      </c>
      <c r="AC33" s="10">
        <v>29.4</v>
      </c>
      <c r="AD33" s="2">
        <f t="shared" si="0"/>
        <v>1.2600000000000016</v>
      </c>
      <c r="AE33" s="138">
        <f t="shared" si="1"/>
        <v>-1.309164149043307E-2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94">
        <v>42719</v>
      </c>
      <c r="X34" s="10">
        <v>30.16</v>
      </c>
      <c r="Y34" s="10">
        <v>30.44</v>
      </c>
      <c r="Z34" s="10">
        <v>29.65</v>
      </c>
      <c r="AA34" s="10">
        <v>29.79</v>
      </c>
      <c r="AB34" s="95">
        <v>3751600</v>
      </c>
      <c r="AC34" s="10">
        <v>29.79</v>
      </c>
      <c r="AD34" s="2">
        <f t="shared" si="0"/>
        <v>0.7900000000000027</v>
      </c>
      <c r="AE34" s="138">
        <f t="shared" si="1"/>
        <v>-2.1674876847290636E-2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94">
        <v>42718</v>
      </c>
      <c r="X35" s="10">
        <v>30.11</v>
      </c>
      <c r="Y35" s="10">
        <v>31.32</v>
      </c>
      <c r="Z35" s="10">
        <v>30.03</v>
      </c>
      <c r="AA35" s="10">
        <v>30.45</v>
      </c>
      <c r="AB35" s="95">
        <v>3175000</v>
      </c>
      <c r="AC35" s="10">
        <v>30.45</v>
      </c>
      <c r="AD35" s="2">
        <f t="shared" si="0"/>
        <v>1.2899999999999991</v>
      </c>
      <c r="AE35" s="138">
        <f t="shared" si="1"/>
        <v>6.9444444444444198E-3</v>
      </c>
    </row>
    <row r="36" spans="1:31" x14ac:dyDescent="0.25">
      <c r="B36" s="193"/>
      <c r="C36" s="10"/>
      <c r="D36" s="40"/>
      <c r="E36" s="40"/>
      <c r="F36" s="40"/>
      <c r="G36" s="40"/>
      <c r="H36" s="231"/>
      <c r="I36" s="40"/>
      <c r="W36" s="94">
        <v>42717</v>
      </c>
      <c r="X36" s="10">
        <v>31.4</v>
      </c>
      <c r="Y36" s="10">
        <v>31.73</v>
      </c>
      <c r="Z36" s="10">
        <v>30.03</v>
      </c>
      <c r="AA36" s="10">
        <v>30.24</v>
      </c>
      <c r="AB36" s="95">
        <v>4187700</v>
      </c>
      <c r="AC36" s="10">
        <v>30.24</v>
      </c>
      <c r="AD36" s="2">
        <f t="shared" si="0"/>
        <v>1.6999999999999993</v>
      </c>
      <c r="AE36" s="138">
        <f t="shared" si="1"/>
        <v>-3.201024327784896E-2</v>
      </c>
    </row>
    <row r="37" spans="1:31" x14ac:dyDescent="0.25">
      <c r="B37" s="193"/>
      <c r="C37" s="10"/>
      <c r="D37" s="40"/>
      <c r="E37" s="40"/>
      <c r="F37" s="40"/>
      <c r="G37" s="40"/>
      <c r="H37" s="231"/>
      <c r="I37" s="40"/>
      <c r="W37" s="94">
        <v>42716</v>
      </c>
      <c r="X37" s="10">
        <v>32.159999999999997</v>
      </c>
      <c r="Y37" s="10">
        <v>32.35</v>
      </c>
      <c r="Z37" s="10">
        <v>30.85</v>
      </c>
      <c r="AA37" s="10">
        <v>31.24</v>
      </c>
      <c r="AB37" s="95">
        <v>3415200</v>
      </c>
      <c r="AC37" s="10">
        <v>31.24</v>
      </c>
      <c r="AD37" s="2">
        <f t="shared" si="0"/>
        <v>1.5</v>
      </c>
      <c r="AE37" s="138">
        <f t="shared" si="1"/>
        <v>-2.5273010920436767E-2</v>
      </c>
    </row>
    <row r="38" spans="1:31" x14ac:dyDescent="0.25">
      <c r="B38" s="193"/>
      <c r="C38" s="10"/>
      <c r="D38" s="40"/>
      <c r="E38" s="40"/>
      <c r="F38" s="40"/>
      <c r="G38" s="40"/>
      <c r="H38" s="231"/>
      <c r="I38" s="40"/>
      <c r="W38" s="94">
        <v>42713</v>
      </c>
      <c r="X38" s="10">
        <v>31.31</v>
      </c>
      <c r="Y38" s="10">
        <v>32.11</v>
      </c>
      <c r="Z38" s="10">
        <v>31.04</v>
      </c>
      <c r="AA38" s="10">
        <v>32.049999999999997</v>
      </c>
      <c r="AB38" s="95">
        <v>4304200</v>
      </c>
      <c r="AC38" s="10">
        <v>32.049999999999997</v>
      </c>
      <c r="AD38" s="2">
        <f t="shared" si="0"/>
        <v>1.0700000000000003</v>
      </c>
      <c r="AE38" s="138">
        <f t="shared" si="1"/>
        <v>2.3634621526668731E-2</v>
      </c>
    </row>
    <row r="39" spans="1:31" ht="20.25" thickBot="1" x14ac:dyDescent="0.35">
      <c r="B39" s="193"/>
      <c r="C39" s="10"/>
      <c r="D39" s="40"/>
      <c r="E39" s="40"/>
      <c r="F39" s="40"/>
      <c r="G39" s="40"/>
      <c r="H39" s="231"/>
      <c r="I39" s="40"/>
      <c r="O39" s="11"/>
      <c r="P39" s="638" t="s">
        <v>78</v>
      </c>
      <c r="Q39" s="638"/>
      <c r="R39" s="34"/>
      <c r="T39" s="91" t="s">
        <v>113</v>
      </c>
      <c r="W39" s="94">
        <v>42712</v>
      </c>
      <c r="X39" s="10">
        <v>31.28</v>
      </c>
      <c r="Y39" s="10">
        <v>31.84</v>
      </c>
      <c r="Z39" s="10">
        <v>30.8</v>
      </c>
      <c r="AA39" s="10">
        <v>31.31</v>
      </c>
      <c r="AB39" s="95">
        <v>3064500</v>
      </c>
      <c r="AC39" s="10">
        <v>31.31</v>
      </c>
      <c r="AD39" s="2">
        <f t="shared" si="0"/>
        <v>1.0399999999999991</v>
      </c>
      <c r="AE39" s="138">
        <f t="shared" si="1"/>
        <v>1.3268608414239491E-2</v>
      </c>
    </row>
    <row r="40" spans="1:31" ht="15.75" thickTop="1" x14ac:dyDescent="0.25">
      <c r="B40" s="258"/>
      <c r="C40" s="279"/>
      <c r="D40" s="278"/>
      <c r="E40" s="278"/>
      <c r="F40" s="278"/>
      <c r="G40" s="258"/>
      <c r="H40" s="279"/>
      <c r="I40" s="278"/>
      <c r="J40" s="278"/>
      <c r="K40" s="278"/>
      <c r="L40" s="277"/>
      <c r="O40" s="2"/>
      <c r="P40" s="83">
        <v>1.1000000000000001</v>
      </c>
      <c r="Q40" s="83">
        <f>P40*$Q$4</f>
        <v>40.545999999999999</v>
      </c>
      <c r="R40" s="34"/>
      <c r="T40" s="87" t="s">
        <v>98</v>
      </c>
      <c r="U40" s="88">
        <v>36.26</v>
      </c>
      <c r="W40" s="94">
        <v>42711</v>
      </c>
      <c r="X40" s="10">
        <v>31.3</v>
      </c>
      <c r="Y40" s="10">
        <v>31.89</v>
      </c>
      <c r="Z40" s="10">
        <v>30.76</v>
      </c>
      <c r="AA40" s="10">
        <v>30.9</v>
      </c>
      <c r="AB40" s="95">
        <v>5777400</v>
      </c>
      <c r="AC40" s="10">
        <v>30.9</v>
      </c>
      <c r="AD40" s="2">
        <f t="shared" si="0"/>
        <v>1.129999999999999</v>
      </c>
      <c r="AE40" s="138" t="e">
        <f>AC40/AC69-1</f>
        <v>#DIV/0!</v>
      </c>
    </row>
    <row r="41" spans="1:31" x14ac:dyDescent="0.25">
      <c r="A41" s="4"/>
      <c r="B41" s="74"/>
      <c r="C41" s="4"/>
      <c r="D41" s="3"/>
      <c r="E41" s="3"/>
      <c r="F41" s="3"/>
      <c r="G41" s="3"/>
      <c r="H41" s="280"/>
      <c r="I41" s="3"/>
      <c r="J41" s="3"/>
      <c r="K41" s="3"/>
      <c r="L41" s="4"/>
      <c r="M41" s="4"/>
      <c r="N41" s="4"/>
      <c r="O41" s="2"/>
      <c r="P41" s="83">
        <v>1.0900000000000001</v>
      </c>
      <c r="Q41" s="83">
        <f t="shared" ref="Q41:Q60" si="3">P41*$Q$4</f>
        <v>40.177400000000006</v>
      </c>
      <c r="R41" s="34"/>
      <c r="T41" s="87" t="s">
        <v>99</v>
      </c>
      <c r="U41" s="88">
        <v>36.700000000000003</v>
      </c>
      <c r="W41" s="94">
        <v>42710</v>
      </c>
      <c r="X41" s="10">
        <v>30.71</v>
      </c>
      <c r="Y41" s="10">
        <v>31.19</v>
      </c>
      <c r="Z41" s="10">
        <v>30.21</v>
      </c>
      <c r="AA41" s="10">
        <v>31.15</v>
      </c>
      <c r="AB41" s="95">
        <v>3235700</v>
      </c>
      <c r="AC41" s="10">
        <v>31.15</v>
      </c>
      <c r="AD41" s="2">
        <f>Y69-Z69</f>
        <v>0</v>
      </c>
      <c r="AE41" s="138" t="e">
        <f>AC69/AC70-1</f>
        <v>#DIV/0!</v>
      </c>
    </row>
    <row r="42" spans="1:31" x14ac:dyDescent="0.25">
      <c r="A42" s="261"/>
      <c r="B42" s="261"/>
      <c r="C42" s="261"/>
      <c r="D42" s="262"/>
      <c r="E42" s="262"/>
      <c r="F42" s="262"/>
      <c r="G42" s="261"/>
      <c r="H42" s="261"/>
      <c r="I42" s="262"/>
      <c r="J42" s="262"/>
      <c r="K42" s="263" t="s">
        <v>131</v>
      </c>
      <c r="L42" s="261"/>
      <c r="M42" s="262">
        <f>K85+M85-F85</f>
        <v>1128.3800000000047</v>
      </c>
      <c r="N42" s="261"/>
      <c r="O42" s="2"/>
      <c r="P42" s="83">
        <v>1.08</v>
      </c>
      <c r="Q42" s="83">
        <f t="shared" si="3"/>
        <v>39.808800000000005</v>
      </c>
      <c r="R42" s="34"/>
      <c r="T42" s="87" t="s">
        <v>100</v>
      </c>
      <c r="U42" s="88" t="s">
        <v>129</v>
      </c>
      <c r="W42" s="94">
        <v>42709</v>
      </c>
      <c r="X42" s="10">
        <v>29.03</v>
      </c>
      <c r="Y42" s="10">
        <v>31.28</v>
      </c>
      <c r="Z42" s="10">
        <v>28.89</v>
      </c>
      <c r="AA42" s="10">
        <v>31.22</v>
      </c>
      <c r="AB42" s="95">
        <v>7031500</v>
      </c>
      <c r="AC42" s="10">
        <v>31.22</v>
      </c>
      <c r="AD42" s="2"/>
      <c r="AE42" s="138"/>
    </row>
    <row r="43" spans="1:31" x14ac:dyDescent="0.25">
      <c r="A43" s="263" t="s">
        <v>1</v>
      </c>
      <c r="B43" s="263" t="s">
        <v>2</v>
      </c>
      <c r="C43" s="263" t="s">
        <v>4</v>
      </c>
      <c r="D43" s="264" t="s">
        <v>5</v>
      </c>
      <c r="E43" s="264" t="s">
        <v>90</v>
      </c>
      <c r="F43" s="264" t="s">
        <v>60</v>
      </c>
      <c r="G43" s="263" t="s">
        <v>3</v>
      </c>
      <c r="H43" s="263" t="s">
        <v>6</v>
      </c>
      <c r="I43" s="264" t="s">
        <v>7</v>
      </c>
      <c r="J43" s="264" t="s">
        <v>89</v>
      </c>
      <c r="K43" s="264" t="s">
        <v>61</v>
      </c>
      <c r="L43" s="263" t="s">
        <v>77</v>
      </c>
      <c r="M43" s="263" t="s">
        <v>38</v>
      </c>
      <c r="N43" s="263"/>
      <c r="O43" s="2"/>
      <c r="P43" s="83">
        <v>1.07</v>
      </c>
      <c r="Q43" s="83">
        <f t="shared" si="3"/>
        <v>39.440200000000004</v>
      </c>
      <c r="R43" s="83"/>
      <c r="T43" s="87" t="s">
        <v>101</v>
      </c>
      <c r="U43" s="88" t="s">
        <v>129</v>
      </c>
      <c r="W43" s="94">
        <v>42706</v>
      </c>
      <c r="X43" s="10">
        <v>28.86</v>
      </c>
      <c r="Y43" s="10">
        <v>29.63</v>
      </c>
      <c r="Z43" s="10">
        <v>28.73</v>
      </c>
      <c r="AA43" s="10">
        <v>29.04</v>
      </c>
      <c r="AB43" s="95">
        <v>3870300</v>
      </c>
      <c r="AC43" s="10">
        <v>29.04</v>
      </c>
      <c r="AD43" s="2"/>
      <c r="AE43" s="138"/>
    </row>
    <row r="44" spans="1:31" x14ac:dyDescent="0.25">
      <c r="A44" s="265" t="s">
        <v>10</v>
      </c>
      <c r="B44" s="266">
        <v>42146</v>
      </c>
      <c r="C44" s="261">
        <v>100</v>
      </c>
      <c r="D44" s="262">
        <v>13.1</v>
      </c>
      <c r="E44" s="262">
        <v>0</v>
      </c>
      <c r="F44" s="262">
        <f>C44*D44+E44</f>
        <v>1310</v>
      </c>
      <c r="G44" s="266">
        <v>42199</v>
      </c>
      <c r="H44" s="261">
        <v>52</v>
      </c>
      <c r="I44" s="262">
        <v>10.7</v>
      </c>
      <c r="J44" s="262">
        <v>0.01</v>
      </c>
      <c r="K44" s="262">
        <f t="shared" ref="K44:K67" si="4">H44*I44-J44</f>
        <v>556.39</v>
      </c>
      <c r="L44" s="266">
        <v>42241</v>
      </c>
      <c r="M44" s="262">
        <v>12</v>
      </c>
      <c r="N44" s="261"/>
      <c r="O44" s="2"/>
      <c r="P44" s="83">
        <v>1.06</v>
      </c>
      <c r="Q44" s="83">
        <f t="shared" si="3"/>
        <v>39.071600000000004</v>
      </c>
      <c r="R44" s="83"/>
      <c r="T44" s="87" t="s">
        <v>102</v>
      </c>
      <c r="U44" s="88">
        <v>35.06</v>
      </c>
      <c r="W44" s="94">
        <v>42705</v>
      </c>
      <c r="X44" s="10">
        <v>28.84</v>
      </c>
      <c r="Y44" s="10">
        <v>29.42</v>
      </c>
      <c r="Z44" s="10">
        <v>28.6</v>
      </c>
      <c r="AA44" s="10">
        <v>28.88</v>
      </c>
      <c r="AB44" s="95">
        <v>4960400</v>
      </c>
      <c r="AC44" s="10">
        <v>28.88</v>
      </c>
      <c r="AD44" s="2"/>
      <c r="AE44" s="138"/>
    </row>
    <row r="45" spans="1:31" x14ac:dyDescent="0.25">
      <c r="A45" s="268" t="s">
        <v>71</v>
      </c>
      <c r="B45" s="266">
        <v>42151</v>
      </c>
      <c r="C45" s="261">
        <v>102</v>
      </c>
      <c r="D45" s="262">
        <v>12.99</v>
      </c>
      <c r="E45" s="262">
        <v>0</v>
      </c>
      <c r="F45" s="262">
        <f t="shared" ref="F45:F79" si="5">C45*D45+E45</f>
        <v>1324.98</v>
      </c>
      <c r="G45" s="266">
        <v>42235</v>
      </c>
      <c r="H45" s="261">
        <v>150</v>
      </c>
      <c r="I45" s="262">
        <v>9.41</v>
      </c>
      <c r="J45" s="262">
        <v>0.03</v>
      </c>
      <c r="K45" s="262">
        <f t="shared" si="4"/>
        <v>1411.47</v>
      </c>
      <c r="L45" s="266">
        <v>42333</v>
      </c>
      <c r="M45" s="262">
        <v>111</v>
      </c>
      <c r="N45" s="261"/>
      <c r="O45" s="2"/>
      <c r="P45" s="83">
        <v>1.05</v>
      </c>
      <c r="Q45" s="83">
        <f t="shared" si="3"/>
        <v>38.703000000000003</v>
      </c>
      <c r="R45" s="83"/>
      <c r="T45" s="87" t="s">
        <v>103</v>
      </c>
      <c r="U45" s="88">
        <v>0.69392299999999996</v>
      </c>
      <c r="W45" s="94">
        <v>42704</v>
      </c>
      <c r="X45" s="10">
        <v>30.06</v>
      </c>
      <c r="Y45" s="10">
        <v>30.44</v>
      </c>
      <c r="Z45" s="10">
        <v>28.85</v>
      </c>
      <c r="AA45" s="10">
        <v>28.97</v>
      </c>
      <c r="AB45" s="95">
        <v>5127700</v>
      </c>
      <c r="AC45" s="10">
        <v>28.97</v>
      </c>
      <c r="AD45" s="2"/>
      <c r="AE45" s="138"/>
    </row>
    <row r="46" spans="1:31" x14ac:dyDescent="0.25">
      <c r="A46" s="261"/>
      <c r="B46" s="266">
        <v>42152</v>
      </c>
      <c r="C46" s="261">
        <v>50</v>
      </c>
      <c r="D46" s="262">
        <v>12.94</v>
      </c>
      <c r="E46" s="262">
        <v>0</v>
      </c>
      <c r="F46" s="262">
        <f t="shared" si="5"/>
        <v>647</v>
      </c>
      <c r="G46" s="266">
        <v>42256</v>
      </c>
      <c r="H46" s="267">
        <v>300</v>
      </c>
      <c r="I46" s="262">
        <v>9.6999999999999993</v>
      </c>
      <c r="J46" s="262">
        <v>0.05</v>
      </c>
      <c r="K46" s="262">
        <f t="shared" si="4"/>
        <v>2909.95</v>
      </c>
      <c r="L46" s="266">
        <v>42425</v>
      </c>
      <c r="M46" s="262">
        <v>15</v>
      </c>
      <c r="N46" s="261"/>
      <c r="O46" s="2"/>
      <c r="P46" s="83">
        <v>1.04</v>
      </c>
      <c r="Q46" s="83">
        <f t="shared" si="3"/>
        <v>38.334400000000002</v>
      </c>
      <c r="R46" s="83"/>
      <c r="T46" s="87" t="s">
        <v>104</v>
      </c>
      <c r="U46" s="89" t="s">
        <v>129</v>
      </c>
      <c r="W46" s="94">
        <v>42703</v>
      </c>
      <c r="X46" s="10">
        <v>30.02</v>
      </c>
      <c r="Y46" s="10">
        <v>30.5</v>
      </c>
      <c r="Z46" s="10">
        <v>29.73</v>
      </c>
      <c r="AA46" s="10">
        <v>29.73</v>
      </c>
      <c r="AB46" s="95">
        <v>4805300</v>
      </c>
      <c r="AC46" s="10">
        <v>29.73</v>
      </c>
      <c r="AD46" s="2"/>
      <c r="AE46" s="138"/>
    </row>
    <row r="47" spans="1:31" x14ac:dyDescent="0.25">
      <c r="A47" s="261"/>
      <c r="B47" s="266">
        <v>42166</v>
      </c>
      <c r="C47" s="261">
        <v>48</v>
      </c>
      <c r="D47" s="262">
        <v>12.3</v>
      </c>
      <c r="E47" s="262">
        <v>0</v>
      </c>
      <c r="F47" s="262">
        <f t="shared" si="5"/>
        <v>590.40000000000009</v>
      </c>
      <c r="G47" s="266">
        <v>42285</v>
      </c>
      <c r="H47" s="267">
        <v>300</v>
      </c>
      <c r="I47" s="262">
        <v>9.85</v>
      </c>
      <c r="J47" s="262">
        <v>0.05</v>
      </c>
      <c r="K47" s="262">
        <f t="shared" si="4"/>
        <v>2954.95</v>
      </c>
      <c r="L47" s="261"/>
      <c r="M47" s="262"/>
      <c r="N47" s="261"/>
      <c r="O47" s="2"/>
      <c r="P47" s="83">
        <v>1.03</v>
      </c>
      <c r="Q47" s="83">
        <f t="shared" si="3"/>
        <v>37.965800000000002</v>
      </c>
      <c r="R47" s="83"/>
      <c r="T47" s="87"/>
      <c r="U47" s="88"/>
      <c r="W47" s="94">
        <v>42702</v>
      </c>
      <c r="X47" s="10">
        <v>31.48</v>
      </c>
      <c r="Y47" s="10">
        <v>31.8</v>
      </c>
      <c r="Z47" s="10">
        <v>30.7</v>
      </c>
      <c r="AA47" s="10">
        <v>30.86</v>
      </c>
      <c r="AB47" s="95">
        <v>5119200</v>
      </c>
      <c r="AC47" s="10">
        <v>30.86</v>
      </c>
      <c r="AD47" s="2"/>
      <c r="AE47" s="138"/>
    </row>
    <row r="48" spans="1:31" x14ac:dyDescent="0.25">
      <c r="A48" s="261"/>
      <c r="B48" s="266">
        <v>42180</v>
      </c>
      <c r="C48" s="261">
        <v>50</v>
      </c>
      <c r="D48" s="262">
        <v>11.7</v>
      </c>
      <c r="E48" s="262">
        <v>0</v>
      </c>
      <c r="F48" s="262">
        <f t="shared" si="5"/>
        <v>585</v>
      </c>
      <c r="G48" s="266">
        <v>42285</v>
      </c>
      <c r="H48" s="267">
        <v>100</v>
      </c>
      <c r="I48" s="262">
        <v>9.98</v>
      </c>
      <c r="J48" s="262">
        <v>0.02</v>
      </c>
      <c r="K48" s="262">
        <f t="shared" si="4"/>
        <v>997.98</v>
      </c>
      <c r="L48" s="261"/>
      <c r="M48" s="262"/>
      <c r="N48" s="261"/>
      <c r="O48" s="2"/>
      <c r="P48" s="83">
        <v>1.02</v>
      </c>
      <c r="Q48" s="83">
        <f t="shared" si="3"/>
        <v>37.597200000000001</v>
      </c>
      <c r="R48" s="83"/>
      <c r="T48" s="87" t="s">
        <v>105</v>
      </c>
      <c r="U48" s="88" t="s">
        <v>622</v>
      </c>
      <c r="W48" s="94">
        <v>42699</v>
      </c>
      <c r="X48" s="10">
        <v>31.24</v>
      </c>
      <c r="Y48" s="10">
        <v>32.19</v>
      </c>
      <c r="Z48" s="10">
        <v>31.11</v>
      </c>
      <c r="AA48" s="10">
        <v>31.7</v>
      </c>
      <c r="AB48" s="95">
        <v>3109500</v>
      </c>
      <c r="AC48" s="10">
        <v>31.7</v>
      </c>
      <c r="AD48" s="2"/>
      <c r="AE48" s="138"/>
    </row>
    <row r="49" spans="1:31" x14ac:dyDescent="0.25">
      <c r="A49" s="261"/>
      <c r="B49" s="266">
        <v>42198</v>
      </c>
      <c r="C49" s="261">
        <v>50</v>
      </c>
      <c r="D49" s="262">
        <v>10.5</v>
      </c>
      <c r="E49" s="262">
        <v>0</v>
      </c>
      <c r="F49" s="262">
        <f t="shared" si="5"/>
        <v>525</v>
      </c>
      <c r="G49" s="266">
        <v>42304</v>
      </c>
      <c r="H49" s="267">
        <v>1400</v>
      </c>
      <c r="I49" s="262">
        <v>9.4600000000000009</v>
      </c>
      <c r="J49" s="262">
        <v>0.24</v>
      </c>
      <c r="K49" s="262">
        <f t="shared" si="4"/>
        <v>13243.760000000002</v>
      </c>
      <c r="L49" s="261"/>
      <c r="M49" s="262"/>
      <c r="N49" s="261"/>
      <c r="O49" s="2"/>
      <c r="P49" s="83">
        <v>1.01</v>
      </c>
      <c r="Q49" s="83">
        <f t="shared" si="3"/>
        <v>37.2286</v>
      </c>
      <c r="R49" s="83"/>
      <c r="T49" s="87" t="s">
        <v>106</v>
      </c>
      <c r="U49" s="88" t="s">
        <v>453</v>
      </c>
      <c r="W49" s="94">
        <v>42697</v>
      </c>
      <c r="X49" s="10">
        <v>31</v>
      </c>
      <c r="Y49" s="10">
        <v>31.93</v>
      </c>
      <c r="Z49" s="10">
        <v>30</v>
      </c>
      <c r="AA49" s="10">
        <v>31.51</v>
      </c>
      <c r="AB49" s="95">
        <v>4111400</v>
      </c>
      <c r="AC49" s="10">
        <v>31.51</v>
      </c>
      <c r="AD49" s="2"/>
      <c r="AE49" s="138"/>
    </row>
    <row r="50" spans="1:31" x14ac:dyDescent="0.25">
      <c r="A50" s="261"/>
      <c r="B50" s="266">
        <v>42205</v>
      </c>
      <c r="C50" s="261">
        <v>20</v>
      </c>
      <c r="D50" s="262">
        <v>10.56</v>
      </c>
      <c r="E50" s="262">
        <v>0</v>
      </c>
      <c r="F50" s="262">
        <f t="shared" si="5"/>
        <v>211.20000000000002</v>
      </c>
      <c r="G50" s="266">
        <v>42310</v>
      </c>
      <c r="H50" s="267">
        <v>3400</v>
      </c>
      <c r="I50" s="262">
        <v>9.1199999999999992</v>
      </c>
      <c r="J50" s="262">
        <v>7.52</v>
      </c>
      <c r="K50" s="262">
        <f t="shared" si="4"/>
        <v>31000.479999999996</v>
      </c>
      <c r="L50" s="261"/>
      <c r="M50" s="262"/>
      <c r="N50" s="261"/>
      <c r="O50" s="2"/>
      <c r="P50" s="83">
        <v>1</v>
      </c>
      <c r="Q50" s="83">
        <f t="shared" si="3"/>
        <v>36.86</v>
      </c>
      <c r="R50" s="83"/>
      <c r="T50" s="87" t="s">
        <v>107</v>
      </c>
      <c r="U50" s="90">
        <v>5049682</v>
      </c>
      <c r="W50" s="94">
        <v>42696</v>
      </c>
      <c r="X50" s="10">
        <v>31.1</v>
      </c>
      <c r="Y50" s="10">
        <v>31.91</v>
      </c>
      <c r="Z50" s="10">
        <v>30.54</v>
      </c>
      <c r="AA50" s="10">
        <v>31.34</v>
      </c>
      <c r="AB50" s="95">
        <v>4181000</v>
      </c>
      <c r="AC50" s="10">
        <v>31.34</v>
      </c>
      <c r="AD50" s="2"/>
      <c r="AE50" s="138"/>
    </row>
    <row r="51" spans="1:31" x14ac:dyDescent="0.25">
      <c r="A51" s="261"/>
      <c r="B51" s="266">
        <v>42208</v>
      </c>
      <c r="C51" s="261">
        <v>32</v>
      </c>
      <c r="D51" s="262">
        <v>10.220000000000001</v>
      </c>
      <c r="E51" s="262">
        <v>0</v>
      </c>
      <c r="F51" s="262">
        <f t="shared" si="5"/>
        <v>327.04000000000002</v>
      </c>
      <c r="G51" s="266">
        <v>42314</v>
      </c>
      <c r="H51" s="267">
        <v>1400</v>
      </c>
      <c r="I51" s="262">
        <v>9.42</v>
      </c>
      <c r="J51" s="262">
        <v>0.24</v>
      </c>
      <c r="K51" s="262">
        <f t="shared" si="4"/>
        <v>13187.76</v>
      </c>
      <c r="L51" s="261"/>
      <c r="M51" s="262"/>
      <c r="N51" s="261"/>
      <c r="O51" s="2"/>
      <c r="P51" s="83">
        <v>0.99</v>
      </c>
      <c r="Q51" s="83">
        <f t="shared" si="3"/>
        <v>36.491399999999999</v>
      </c>
      <c r="R51" s="83"/>
      <c r="T51" s="87" t="s">
        <v>110</v>
      </c>
      <c r="U51" s="90">
        <v>4663060</v>
      </c>
      <c r="W51" s="94">
        <v>42695</v>
      </c>
      <c r="X51" s="10">
        <v>30.89</v>
      </c>
      <c r="Y51" s="10">
        <v>30.98</v>
      </c>
      <c r="Z51" s="10">
        <v>29.5</v>
      </c>
      <c r="AA51" s="10">
        <v>30.69</v>
      </c>
      <c r="AB51" s="95">
        <v>2986000</v>
      </c>
      <c r="AC51" s="10">
        <v>30.69</v>
      </c>
      <c r="AD51" s="2"/>
      <c r="AE51" s="138"/>
    </row>
    <row r="52" spans="1:31" x14ac:dyDescent="0.25">
      <c r="A52" s="261"/>
      <c r="B52" s="266">
        <v>42230</v>
      </c>
      <c r="C52" s="261">
        <v>100</v>
      </c>
      <c r="D52" s="262">
        <v>9.58</v>
      </c>
      <c r="E52" s="262">
        <v>0</v>
      </c>
      <c r="F52" s="262">
        <f t="shared" si="5"/>
        <v>958</v>
      </c>
      <c r="G52" s="266">
        <v>42331</v>
      </c>
      <c r="H52" s="267">
        <v>1400</v>
      </c>
      <c r="I52" s="262">
        <v>8.41</v>
      </c>
      <c r="J52" s="262">
        <v>0.22</v>
      </c>
      <c r="K52" s="262">
        <f t="shared" si="4"/>
        <v>11773.78</v>
      </c>
      <c r="L52" s="262"/>
      <c r="M52" s="262"/>
      <c r="N52" s="261"/>
      <c r="O52" s="2"/>
      <c r="P52" s="83">
        <v>0.98</v>
      </c>
      <c r="Q52" s="83">
        <f t="shared" si="3"/>
        <v>36.122799999999998</v>
      </c>
      <c r="R52" s="83"/>
      <c r="T52" s="87" t="s">
        <v>108</v>
      </c>
      <c r="U52" s="88" t="s">
        <v>623</v>
      </c>
      <c r="W52" s="94">
        <v>42692</v>
      </c>
      <c r="X52" s="10">
        <v>31.73</v>
      </c>
      <c r="Y52" s="10">
        <v>31.77</v>
      </c>
      <c r="Z52" s="10">
        <v>30.16</v>
      </c>
      <c r="AA52" s="10">
        <v>30.42</v>
      </c>
      <c r="AB52" s="95">
        <v>4421700</v>
      </c>
      <c r="AC52" s="10">
        <v>30.42</v>
      </c>
      <c r="AD52" s="2"/>
      <c r="AE52" s="138"/>
    </row>
    <row r="53" spans="1:31" x14ac:dyDescent="0.25">
      <c r="A53" s="261"/>
      <c r="B53" s="266">
        <v>42233</v>
      </c>
      <c r="C53" s="261">
        <v>150</v>
      </c>
      <c r="D53" s="262">
        <v>9.3000000000000007</v>
      </c>
      <c r="E53" s="262">
        <v>0</v>
      </c>
      <c r="F53" s="262">
        <f t="shared" si="5"/>
        <v>1395</v>
      </c>
      <c r="G53" s="266">
        <v>42331</v>
      </c>
      <c r="H53" s="267">
        <v>65</v>
      </c>
      <c r="I53" s="262">
        <v>8.41</v>
      </c>
      <c r="J53" s="262">
        <v>0.01</v>
      </c>
      <c r="K53" s="262">
        <f t="shared" si="4"/>
        <v>546.64</v>
      </c>
      <c r="L53" s="261"/>
      <c r="M53" s="261"/>
      <c r="N53" s="261"/>
      <c r="O53" s="2"/>
      <c r="P53" s="83">
        <v>0.97</v>
      </c>
      <c r="Q53" s="83">
        <f t="shared" si="3"/>
        <v>35.754199999999997</v>
      </c>
      <c r="R53" s="83"/>
      <c r="T53" s="87" t="s">
        <v>111</v>
      </c>
      <c r="U53" s="88" t="s">
        <v>129</v>
      </c>
      <c r="W53" s="94">
        <v>42691</v>
      </c>
      <c r="X53" s="10">
        <v>31.3</v>
      </c>
      <c r="Y53" s="10">
        <v>32.020000000000003</v>
      </c>
      <c r="Z53" s="10">
        <v>30.77</v>
      </c>
      <c r="AA53" s="10">
        <v>31.85</v>
      </c>
      <c r="AB53" s="95">
        <v>4693200</v>
      </c>
      <c r="AC53" s="10">
        <v>31.85</v>
      </c>
      <c r="AD53" s="2"/>
      <c r="AE53" s="138"/>
    </row>
    <row r="54" spans="1:31" x14ac:dyDescent="0.25">
      <c r="A54" s="261"/>
      <c r="B54" s="266">
        <v>42240</v>
      </c>
      <c r="C54" s="261">
        <v>200</v>
      </c>
      <c r="D54" s="262">
        <v>9.2100000000000009</v>
      </c>
      <c r="E54" s="262">
        <v>0</v>
      </c>
      <c r="F54" s="262">
        <f t="shared" si="5"/>
        <v>1842.0000000000002</v>
      </c>
      <c r="G54" s="266">
        <v>42332</v>
      </c>
      <c r="H54" s="267">
        <v>2235</v>
      </c>
      <c r="I54" s="262">
        <v>8.5</v>
      </c>
      <c r="J54" s="262">
        <v>0.35</v>
      </c>
      <c r="K54" s="262">
        <f t="shared" si="4"/>
        <v>18997.150000000001</v>
      </c>
      <c r="L54" s="261"/>
      <c r="M54" s="261"/>
      <c r="N54" s="261"/>
      <c r="O54" s="2"/>
      <c r="P54" s="83">
        <v>0.96</v>
      </c>
      <c r="Q54" s="83">
        <f t="shared" si="3"/>
        <v>35.385599999999997</v>
      </c>
      <c r="R54" s="83"/>
      <c r="T54" s="87" t="s">
        <v>112</v>
      </c>
      <c r="U54" s="88">
        <v>-2.19</v>
      </c>
      <c r="W54" s="94">
        <v>42690</v>
      </c>
      <c r="X54" s="10">
        <v>29.69</v>
      </c>
      <c r="Y54" s="10">
        <v>31.69</v>
      </c>
      <c r="Z54" s="10">
        <v>29.66</v>
      </c>
      <c r="AA54" s="10">
        <v>31.42</v>
      </c>
      <c r="AB54" s="95">
        <v>6153000</v>
      </c>
      <c r="AC54" s="10">
        <v>31.42</v>
      </c>
      <c r="AD54" s="2"/>
      <c r="AE54" s="138"/>
    </row>
    <row r="55" spans="1:31" x14ac:dyDescent="0.25">
      <c r="A55" s="261"/>
      <c r="B55" s="266">
        <v>42272</v>
      </c>
      <c r="C55" s="261">
        <v>100</v>
      </c>
      <c r="D55" s="262">
        <v>9.4499999999999993</v>
      </c>
      <c r="E55" s="262">
        <v>0</v>
      </c>
      <c r="F55" s="262">
        <f t="shared" si="5"/>
        <v>944.99999999999989</v>
      </c>
      <c r="G55" s="266">
        <v>42332</v>
      </c>
      <c r="H55" s="267">
        <v>600</v>
      </c>
      <c r="I55" s="262">
        <v>8.75</v>
      </c>
      <c r="J55" s="262">
        <v>0.1</v>
      </c>
      <c r="K55" s="262">
        <f t="shared" si="4"/>
        <v>5249.9</v>
      </c>
      <c r="L55" s="261"/>
      <c r="M55" s="261"/>
      <c r="N55" s="261"/>
      <c r="O55" s="2"/>
      <c r="P55" s="83">
        <v>0.95</v>
      </c>
      <c r="Q55" s="83">
        <f t="shared" si="3"/>
        <v>35.016999999999996</v>
      </c>
      <c r="R55" s="83"/>
      <c r="T55" s="87" t="s">
        <v>109</v>
      </c>
      <c r="U55" s="88" t="s">
        <v>325</v>
      </c>
      <c r="W55" s="94">
        <v>42689</v>
      </c>
      <c r="X55" s="10">
        <v>28.94</v>
      </c>
      <c r="Y55" s="10">
        <v>30.23</v>
      </c>
      <c r="Z55" s="10">
        <v>28.83</v>
      </c>
      <c r="AA55" s="10">
        <v>30.21</v>
      </c>
      <c r="AB55" s="95">
        <v>3668900</v>
      </c>
      <c r="AC55" s="10">
        <v>30.21</v>
      </c>
      <c r="AD55" s="2"/>
      <c r="AE55" s="138"/>
    </row>
    <row r="56" spans="1:31" x14ac:dyDescent="0.25">
      <c r="A56" s="261"/>
      <c r="B56" s="266">
        <v>42275</v>
      </c>
      <c r="C56" s="261">
        <v>100</v>
      </c>
      <c r="D56" s="262">
        <v>9.3000000000000007</v>
      </c>
      <c r="E56" s="262">
        <v>0</v>
      </c>
      <c r="F56" s="262">
        <f t="shared" si="5"/>
        <v>930.00000000000011</v>
      </c>
      <c r="G56" s="266">
        <v>42335</v>
      </c>
      <c r="H56" s="267">
        <v>500</v>
      </c>
      <c r="I56" s="262">
        <v>9.1</v>
      </c>
      <c r="J56" s="262">
        <v>0.08</v>
      </c>
      <c r="K56" s="262">
        <f t="shared" si="4"/>
        <v>4549.92</v>
      </c>
      <c r="L56" s="261"/>
      <c r="M56" s="261"/>
      <c r="N56" s="261"/>
      <c r="O56" s="2"/>
      <c r="P56" s="83">
        <v>0.94</v>
      </c>
      <c r="Q56" s="83">
        <f t="shared" si="3"/>
        <v>34.648399999999995</v>
      </c>
      <c r="R56" s="83"/>
      <c r="W56" s="94">
        <v>42688</v>
      </c>
      <c r="X56" s="10">
        <v>29.5</v>
      </c>
      <c r="Y56" s="10">
        <v>29.94</v>
      </c>
      <c r="Z56" s="10">
        <v>28.61</v>
      </c>
      <c r="AA56" s="10">
        <v>29.62</v>
      </c>
      <c r="AB56" s="95">
        <v>5156700</v>
      </c>
      <c r="AC56" s="10">
        <v>29.62</v>
      </c>
      <c r="AD56" s="2"/>
      <c r="AE56" s="138"/>
    </row>
    <row r="57" spans="1:31" x14ac:dyDescent="0.25">
      <c r="A57" s="261"/>
      <c r="B57" s="266">
        <v>42290</v>
      </c>
      <c r="C57" s="261">
        <v>400</v>
      </c>
      <c r="D57" s="262">
        <v>10.79</v>
      </c>
      <c r="E57" s="262">
        <v>0</v>
      </c>
      <c r="F57" s="262">
        <f t="shared" si="5"/>
        <v>4316</v>
      </c>
      <c r="G57" s="266">
        <v>42339</v>
      </c>
      <c r="H57" s="267">
        <v>400</v>
      </c>
      <c r="I57" s="262">
        <v>9.35</v>
      </c>
      <c r="J57" s="262">
        <v>7.0000000000000007E-2</v>
      </c>
      <c r="K57" s="262">
        <f t="shared" si="4"/>
        <v>3739.93</v>
      </c>
      <c r="L57" s="261"/>
      <c r="M57" s="261"/>
      <c r="N57" s="261"/>
      <c r="O57" s="2"/>
      <c r="P57" s="83">
        <v>0.93</v>
      </c>
      <c r="Q57" s="83">
        <f t="shared" si="3"/>
        <v>34.279800000000002</v>
      </c>
      <c r="R57" s="83"/>
      <c r="W57" s="94">
        <v>42685</v>
      </c>
      <c r="X57" s="10">
        <v>29.18</v>
      </c>
      <c r="Y57" s="10">
        <v>29.99</v>
      </c>
      <c r="Z57" s="10">
        <v>27.63</v>
      </c>
      <c r="AA57" s="10">
        <v>29.3</v>
      </c>
      <c r="AB57" s="95">
        <v>5334500</v>
      </c>
      <c r="AC57" s="10">
        <v>29.3</v>
      </c>
      <c r="AD57" s="2"/>
      <c r="AE57" s="138"/>
    </row>
    <row r="58" spans="1:31" x14ac:dyDescent="0.25">
      <c r="A58" s="261"/>
      <c r="B58" s="266">
        <v>42291</v>
      </c>
      <c r="C58" s="261">
        <v>150</v>
      </c>
      <c r="D58" s="262">
        <v>10.46</v>
      </c>
      <c r="E58" s="262">
        <v>0</v>
      </c>
      <c r="F58" s="262">
        <f t="shared" si="5"/>
        <v>1569.0000000000002</v>
      </c>
      <c r="G58" s="266">
        <v>42342</v>
      </c>
      <c r="H58" s="267">
        <v>500</v>
      </c>
      <c r="I58" s="262">
        <v>9.52</v>
      </c>
      <c r="J58" s="262">
        <v>0.09</v>
      </c>
      <c r="K58" s="262">
        <f t="shared" si="4"/>
        <v>4759.91</v>
      </c>
      <c r="L58" s="261"/>
      <c r="M58" s="261"/>
      <c r="N58" s="261"/>
      <c r="O58" s="2"/>
      <c r="P58" s="83">
        <v>0.92</v>
      </c>
      <c r="Q58" s="83">
        <f t="shared" si="3"/>
        <v>33.911200000000001</v>
      </c>
      <c r="R58" s="83"/>
      <c r="W58" s="94">
        <v>42684</v>
      </c>
      <c r="X58" s="10">
        <v>29.08</v>
      </c>
      <c r="Y58" s="10">
        <v>29.7</v>
      </c>
      <c r="Z58" s="10">
        <v>28.3</v>
      </c>
      <c r="AA58" s="10">
        <v>29.1</v>
      </c>
      <c r="AB58" s="95">
        <v>8189900</v>
      </c>
      <c r="AC58" s="10">
        <v>29.1</v>
      </c>
      <c r="AD58" s="2"/>
      <c r="AE58" s="138"/>
    </row>
    <row r="59" spans="1:31" x14ac:dyDescent="0.25">
      <c r="A59" s="261"/>
      <c r="B59" s="266">
        <v>42292</v>
      </c>
      <c r="C59" s="261">
        <v>150</v>
      </c>
      <c r="D59" s="262">
        <v>10.3</v>
      </c>
      <c r="E59" s="262">
        <v>0</v>
      </c>
      <c r="F59" s="262">
        <f t="shared" si="5"/>
        <v>1545</v>
      </c>
      <c r="G59" s="266">
        <v>42347</v>
      </c>
      <c r="H59" s="267">
        <v>1500</v>
      </c>
      <c r="I59" s="262">
        <v>9.31</v>
      </c>
      <c r="J59" s="262">
        <v>0.26</v>
      </c>
      <c r="K59" s="262">
        <f t="shared" si="4"/>
        <v>13964.74</v>
      </c>
      <c r="L59" s="261"/>
      <c r="M59" s="261"/>
      <c r="N59" s="261"/>
      <c r="O59" s="2"/>
      <c r="P59" s="83">
        <v>0.91</v>
      </c>
      <c r="Q59" s="83">
        <f t="shared" si="3"/>
        <v>33.5426</v>
      </c>
      <c r="R59" s="83"/>
      <c r="W59" s="94">
        <v>42683</v>
      </c>
      <c r="X59" s="10">
        <v>26.83</v>
      </c>
      <c r="Y59" s="10">
        <v>29.14</v>
      </c>
      <c r="Z59" s="10">
        <v>26</v>
      </c>
      <c r="AA59" s="10">
        <v>28.72</v>
      </c>
      <c r="AB59" s="95">
        <v>10675900</v>
      </c>
      <c r="AC59" s="10">
        <v>28.72</v>
      </c>
      <c r="AD59" s="2"/>
      <c r="AE59" s="138"/>
    </row>
    <row r="60" spans="1:31" x14ac:dyDescent="0.25">
      <c r="A60" s="261"/>
      <c r="B60" s="266">
        <v>42297</v>
      </c>
      <c r="C60" s="267">
        <v>200</v>
      </c>
      <c r="D60" s="262">
        <v>9.8000000000000007</v>
      </c>
      <c r="E60" s="262">
        <v>0</v>
      </c>
      <c r="F60" s="262">
        <f t="shared" si="5"/>
        <v>1960.0000000000002</v>
      </c>
      <c r="G60" s="266">
        <v>42353</v>
      </c>
      <c r="H60" s="267">
        <v>200</v>
      </c>
      <c r="I60" s="262">
        <v>9.2899999999999991</v>
      </c>
      <c r="J60" s="262">
        <v>0.03</v>
      </c>
      <c r="K60" s="262">
        <f t="shared" si="4"/>
        <v>1857.9699999999998</v>
      </c>
      <c r="L60" s="261"/>
      <c r="M60" s="261"/>
      <c r="N60" s="261"/>
      <c r="O60" s="2"/>
      <c r="P60" s="83">
        <v>0.9</v>
      </c>
      <c r="Q60" s="83">
        <f t="shared" si="3"/>
        <v>33.173999999999999</v>
      </c>
      <c r="R60" s="83"/>
      <c r="W60" s="94">
        <v>42682</v>
      </c>
      <c r="X60" s="10">
        <v>24.3</v>
      </c>
      <c r="Y60" s="10">
        <v>26.59</v>
      </c>
      <c r="Z60" s="10">
        <v>24.3</v>
      </c>
      <c r="AA60" s="10">
        <v>26.4</v>
      </c>
      <c r="AB60" s="95">
        <v>6457600</v>
      </c>
      <c r="AC60" s="10">
        <v>26.4</v>
      </c>
      <c r="AD60" s="2"/>
      <c r="AE60" s="138"/>
    </row>
    <row r="61" spans="1:31" x14ac:dyDescent="0.25">
      <c r="A61" s="261"/>
      <c r="B61" s="266">
        <v>42297</v>
      </c>
      <c r="C61" s="267">
        <v>900</v>
      </c>
      <c r="D61" s="262">
        <v>9.74</v>
      </c>
      <c r="E61" s="262">
        <v>0</v>
      </c>
      <c r="F61" s="262">
        <f t="shared" si="5"/>
        <v>8766</v>
      </c>
      <c r="G61" s="266">
        <v>42354</v>
      </c>
      <c r="H61" s="267">
        <v>500</v>
      </c>
      <c r="I61" s="262">
        <v>8.93</v>
      </c>
      <c r="J61" s="262">
        <v>0.08</v>
      </c>
      <c r="K61" s="262">
        <f t="shared" si="4"/>
        <v>4464.92</v>
      </c>
      <c r="L61" s="261"/>
      <c r="M61" s="261"/>
      <c r="N61" s="261"/>
      <c r="W61" s="94">
        <v>42681</v>
      </c>
      <c r="X61" s="10">
        <v>25.54</v>
      </c>
      <c r="Y61" s="10">
        <v>26.41</v>
      </c>
      <c r="Z61" s="10">
        <v>24.89</v>
      </c>
      <c r="AA61" s="10">
        <v>25.08</v>
      </c>
      <c r="AB61" s="95">
        <v>8377000</v>
      </c>
      <c r="AC61" s="10">
        <v>25.08</v>
      </c>
      <c r="AD61" s="2"/>
      <c r="AE61" s="138"/>
    </row>
    <row r="62" spans="1:31" x14ac:dyDescent="0.25">
      <c r="A62" s="261"/>
      <c r="B62" s="266">
        <v>42299</v>
      </c>
      <c r="C62" s="261">
        <v>1000</v>
      </c>
      <c r="D62" s="262">
        <v>9.3800000000000008</v>
      </c>
      <c r="E62" s="262">
        <v>0</v>
      </c>
      <c r="F62" s="262">
        <f t="shared" si="5"/>
        <v>9380</v>
      </c>
      <c r="G62" s="266">
        <v>42366</v>
      </c>
      <c r="H62" s="267">
        <v>2000</v>
      </c>
      <c r="I62" s="262">
        <v>9.4499999999999993</v>
      </c>
      <c r="J62" s="262">
        <v>0.35</v>
      </c>
      <c r="K62" s="262">
        <f t="shared" si="4"/>
        <v>18899.650000000001</v>
      </c>
      <c r="L62" s="261"/>
      <c r="M62" s="261"/>
      <c r="N62" s="261"/>
      <c r="W62" s="94">
        <v>42678</v>
      </c>
      <c r="X62" s="10">
        <v>23.82</v>
      </c>
      <c r="Y62" s="10">
        <v>25.5</v>
      </c>
      <c r="Z62" s="10">
        <v>23.56</v>
      </c>
      <c r="AA62" s="10">
        <v>25.2</v>
      </c>
      <c r="AB62" s="95">
        <v>6878700</v>
      </c>
      <c r="AC62" s="10">
        <v>25.2</v>
      </c>
      <c r="AD62" s="2"/>
      <c r="AE62" s="138"/>
    </row>
    <row r="63" spans="1:31" x14ac:dyDescent="0.25">
      <c r="A63" s="261"/>
      <c r="B63" s="266">
        <v>42303</v>
      </c>
      <c r="C63" s="261">
        <v>400</v>
      </c>
      <c r="D63" s="262">
        <v>9.1999999999999993</v>
      </c>
      <c r="E63" s="262">
        <v>0</v>
      </c>
      <c r="F63" s="262">
        <f t="shared" si="5"/>
        <v>3679.9999999999995</v>
      </c>
      <c r="G63" s="266">
        <v>42367</v>
      </c>
      <c r="H63" s="267">
        <v>1000</v>
      </c>
      <c r="I63" s="262">
        <v>9.89</v>
      </c>
      <c r="J63" s="262">
        <v>0.18</v>
      </c>
      <c r="K63" s="262">
        <f t="shared" si="4"/>
        <v>9889.82</v>
      </c>
      <c r="L63" s="261"/>
      <c r="M63" s="261"/>
      <c r="N63" s="261"/>
      <c r="W63" s="94">
        <v>42677</v>
      </c>
      <c r="X63" s="10">
        <v>22.96</v>
      </c>
      <c r="Y63" s="10">
        <v>24.35</v>
      </c>
      <c r="Z63" s="10">
        <v>22.94</v>
      </c>
      <c r="AA63" s="10">
        <v>24.15</v>
      </c>
      <c r="AB63" s="95">
        <v>8084200</v>
      </c>
      <c r="AC63" s="10">
        <v>24.15</v>
      </c>
      <c r="AD63" s="2"/>
      <c r="AE63" s="138"/>
    </row>
    <row r="64" spans="1:31" x14ac:dyDescent="0.25">
      <c r="A64" s="261"/>
      <c r="B64" s="281">
        <v>42304</v>
      </c>
      <c r="C64" s="261">
        <v>900</v>
      </c>
      <c r="D64" s="262">
        <v>9.32</v>
      </c>
      <c r="E64" s="262">
        <v>0</v>
      </c>
      <c r="F64" s="262">
        <f t="shared" si="5"/>
        <v>8388</v>
      </c>
      <c r="G64" s="266">
        <v>42398</v>
      </c>
      <c r="H64" s="267">
        <v>100</v>
      </c>
      <c r="I64" s="262">
        <v>7.21</v>
      </c>
      <c r="J64" s="262">
        <v>0.01</v>
      </c>
      <c r="K64" s="262">
        <f t="shared" si="4"/>
        <v>720.99</v>
      </c>
      <c r="L64" s="261"/>
      <c r="M64" s="261"/>
      <c r="N64" s="261"/>
      <c r="W64" s="94">
        <v>42676</v>
      </c>
      <c r="X64" s="10">
        <v>22.67</v>
      </c>
      <c r="Y64" s="10">
        <v>23.26</v>
      </c>
      <c r="Z64" s="10">
        <v>22.64</v>
      </c>
      <c r="AA64" s="10">
        <v>22.91</v>
      </c>
      <c r="AB64" s="95">
        <v>10755300</v>
      </c>
      <c r="AC64" s="10">
        <v>22.91</v>
      </c>
      <c r="AD64" s="2"/>
      <c r="AE64" s="138"/>
    </row>
    <row r="65" spans="1:31" x14ac:dyDescent="0.25">
      <c r="A65" s="261"/>
      <c r="B65" s="281"/>
      <c r="C65" s="261">
        <v>500</v>
      </c>
      <c r="D65" s="262">
        <v>9.32</v>
      </c>
      <c r="E65" s="262">
        <v>0</v>
      </c>
      <c r="F65" s="262">
        <f t="shared" si="5"/>
        <v>4660</v>
      </c>
      <c r="G65" s="266">
        <v>42403</v>
      </c>
      <c r="H65" s="267">
        <v>100</v>
      </c>
      <c r="I65" s="262">
        <v>7.42</v>
      </c>
      <c r="J65" s="262">
        <v>0.01</v>
      </c>
      <c r="K65" s="262">
        <f t="shared" si="4"/>
        <v>741.99</v>
      </c>
      <c r="L65" s="262"/>
      <c r="M65" s="261"/>
      <c r="N65" s="261"/>
      <c r="W65" s="94">
        <v>42676</v>
      </c>
      <c r="X65" s="10" t="s">
        <v>324</v>
      </c>
      <c r="Y65" s="10"/>
      <c r="Z65" s="10"/>
      <c r="AA65" s="10"/>
      <c r="AB65" s="95"/>
      <c r="AC65" s="10"/>
      <c r="AD65" s="2"/>
      <c r="AE65" s="138"/>
    </row>
    <row r="66" spans="1:31" x14ac:dyDescent="0.25">
      <c r="A66" s="261"/>
      <c r="B66" s="266">
        <v>42306</v>
      </c>
      <c r="C66" s="261">
        <v>300</v>
      </c>
      <c r="D66" s="262">
        <v>8.7200000000000006</v>
      </c>
      <c r="E66" s="262">
        <v>6.95</v>
      </c>
      <c r="F66" s="262">
        <f t="shared" si="5"/>
        <v>2622.95</v>
      </c>
      <c r="G66" s="266">
        <v>42404</v>
      </c>
      <c r="H66" s="267">
        <v>100</v>
      </c>
      <c r="I66" s="262">
        <v>8.02</v>
      </c>
      <c r="J66" s="262">
        <v>0.01</v>
      </c>
      <c r="K66" s="262">
        <f t="shared" si="4"/>
        <v>801.99</v>
      </c>
      <c r="L66" s="261"/>
      <c r="M66" s="261"/>
      <c r="N66" s="261"/>
      <c r="W66" s="94">
        <v>42675</v>
      </c>
      <c r="X66" s="10">
        <v>22.1</v>
      </c>
      <c r="Y66" s="10">
        <v>23.55</v>
      </c>
      <c r="Z66" s="10">
        <v>21.78</v>
      </c>
      <c r="AA66" s="10">
        <v>23</v>
      </c>
      <c r="AB66" s="95">
        <v>32216900</v>
      </c>
      <c r="AC66" s="10">
        <v>22.91</v>
      </c>
      <c r="AD66" s="2"/>
      <c r="AE66" s="138"/>
    </row>
    <row r="67" spans="1:31" x14ac:dyDescent="0.25">
      <c r="A67" s="261"/>
      <c r="B67" s="266">
        <v>42310</v>
      </c>
      <c r="C67" s="261">
        <v>3400</v>
      </c>
      <c r="D67" s="262">
        <v>9.0299999999999994</v>
      </c>
      <c r="E67" s="262">
        <v>6.95</v>
      </c>
      <c r="F67" s="262">
        <f t="shared" si="5"/>
        <v>30708.949999999997</v>
      </c>
      <c r="G67" s="266">
        <v>42416</v>
      </c>
      <c r="H67" s="267">
        <v>300</v>
      </c>
      <c r="I67" s="262">
        <v>7.98</v>
      </c>
      <c r="J67" s="262">
        <v>0.05</v>
      </c>
      <c r="K67" s="262">
        <f t="shared" si="4"/>
        <v>2393.9499999999998</v>
      </c>
      <c r="L67" s="261"/>
      <c r="M67" s="261"/>
      <c r="N67" s="261"/>
      <c r="W67" s="94">
        <v>42674</v>
      </c>
      <c r="X67" s="10">
        <v>21.29</v>
      </c>
      <c r="Y67" s="10">
        <v>22.1</v>
      </c>
      <c r="Z67" s="10">
        <v>20.81</v>
      </c>
      <c r="AA67" s="10">
        <v>21.44</v>
      </c>
      <c r="AB67" s="95">
        <v>1937000</v>
      </c>
      <c r="AC67" s="10">
        <v>21.36</v>
      </c>
      <c r="AD67" s="2"/>
      <c r="AE67" s="138"/>
    </row>
    <row r="68" spans="1:31" x14ac:dyDescent="0.25">
      <c r="A68" s="261"/>
      <c r="B68" s="266">
        <v>42314</v>
      </c>
      <c r="C68" s="261">
        <v>1400</v>
      </c>
      <c r="D68" s="262">
        <v>9.35</v>
      </c>
      <c r="E68" s="262">
        <v>0</v>
      </c>
      <c r="F68" s="262">
        <f t="shared" si="5"/>
        <v>13090</v>
      </c>
      <c r="G68" s="266">
        <v>42444</v>
      </c>
      <c r="H68" s="261">
        <v>200</v>
      </c>
      <c r="I68" s="262">
        <v>9.49</v>
      </c>
      <c r="J68" s="262">
        <v>0.04</v>
      </c>
      <c r="K68" s="262">
        <v>1897.96</v>
      </c>
      <c r="L68" s="261"/>
      <c r="M68" s="261"/>
      <c r="N68" s="261"/>
      <c r="W68" s="94">
        <v>42671</v>
      </c>
      <c r="X68" s="10">
        <v>22</v>
      </c>
      <c r="Y68" s="10">
        <v>22</v>
      </c>
      <c r="Z68" s="10">
        <v>20.76</v>
      </c>
      <c r="AA68" s="10">
        <v>21.4</v>
      </c>
      <c r="AB68" s="95">
        <v>616800</v>
      </c>
      <c r="AC68" s="10">
        <v>21.32</v>
      </c>
      <c r="AD68" s="2"/>
      <c r="AE68" s="138"/>
    </row>
    <row r="69" spans="1:31" x14ac:dyDescent="0.25">
      <c r="A69" s="261"/>
      <c r="B69" s="266">
        <v>42324</v>
      </c>
      <c r="C69" s="275">
        <v>3700</v>
      </c>
      <c r="D69" s="262">
        <v>8.2899999999999991</v>
      </c>
      <c r="E69" s="262">
        <v>0</v>
      </c>
      <c r="F69" s="262">
        <f t="shared" si="5"/>
        <v>30672.999999999996</v>
      </c>
      <c r="G69" s="266"/>
      <c r="H69" s="267"/>
      <c r="I69" s="262"/>
      <c r="J69" s="262"/>
      <c r="K69" s="262"/>
      <c r="L69" s="261"/>
      <c r="M69" s="261"/>
      <c r="N69" s="261"/>
      <c r="W69" s="94" t="s">
        <v>121</v>
      </c>
      <c r="X69" s="10"/>
      <c r="Y69" s="10"/>
      <c r="Z69" s="10"/>
      <c r="AA69" s="10"/>
      <c r="AB69" s="95"/>
      <c r="AC69" s="10"/>
      <c r="AD69" s="2"/>
      <c r="AE69" s="138"/>
    </row>
    <row r="70" spans="1:31" x14ac:dyDescent="0.25">
      <c r="A70" s="261"/>
      <c r="B70" s="266">
        <v>42324</v>
      </c>
      <c r="C70" s="275">
        <v>600</v>
      </c>
      <c r="D70" s="262">
        <v>8.14</v>
      </c>
      <c r="E70" s="262">
        <v>0</v>
      </c>
      <c r="F70" s="262">
        <f t="shared" si="5"/>
        <v>4884</v>
      </c>
      <c r="G70" s="266"/>
      <c r="H70" s="267"/>
      <c r="I70" s="262"/>
      <c r="J70" s="262"/>
      <c r="K70" s="262"/>
      <c r="L70" s="261"/>
      <c r="M70" s="261"/>
      <c r="N70" s="261"/>
    </row>
    <row r="71" spans="1:31" x14ac:dyDescent="0.25">
      <c r="A71" s="261"/>
      <c r="B71" s="266">
        <v>42335</v>
      </c>
      <c r="C71" s="261">
        <v>500</v>
      </c>
      <c r="D71" s="262">
        <v>9.06</v>
      </c>
      <c r="E71" s="262">
        <v>0</v>
      </c>
      <c r="F71" s="262">
        <f t="shared" si="5"/>
        <v>4530</v>
      </c>
      <c r="G71" s="261"/>
      <c r="H71" s="267"/>
      <c r="I71" s="262"/>
      <c r="J71" s="262"/>
      <c r="K71" s="262"/>
      <c r="L71" s="261"/>
      <c r="M71" s="261"/>
      <c r="N71" s="261"/>
    </row>
    <row r="72" spans="1:31" x14ac:dyDescent="0.25">
      <c r="A72" s="261"/>
      <c r="B72" s="266">
        <v>42345</v>
      </c>
      <c r="C72" s="261">
        <v>200</v>
      </c>
      <c r="D72" s="262">
        <v>9.35</v>
      </c>
      <c r="E72" s="262">
        <v>0</v>
      </c>
      <c r="F72" s="262">
        <f t="shared" si="5"/>
        <v>1870</v>
      </c>
      <c r="G72" s="261"/>
      <c r="H72" s="267"/>
      <c r="I72" s="262"/>
      <c r="J72" s="262"/>
      <c r="K72" s="262"/>
      <c r="L72" s="261"/>
      <c r="M72" s="261"/>
      <c r="N72" s="261"/>
    </row>
    <row r="73" spans="1:31" x14ac:dyDescent="0.25">
      <c r="A73" s="261"/>
      <c r="B73" s="266">
        <v>42347</v>
      </c>
      <c r="C73" s="261">
        <v>1500</v>
      </c>
      <c r="D73" s="262">
        <v>9.2759999999999998</v>
      </c>
      <c r="E73" s="262">
        <v>0</v>
      </c>
      <c r="F73" s="262">
        <f t="shared" si="5"/>
        <v>13914</v>
      </c>
      <c r="G73" s="261"/>
      <c r="H73" s="267"/>
      <c r="I73" s="262"/>
      <c r="J73" s="262"/>
      <c r="K73" s="262"/>
      <c r="L73" s="261"/>
      <c r="M73" s="261"/>
      <c r="N73" s="261"/>
    </row>
    <row r="74" spans="1:31" x14ac:dyDescent="0.25">
      <c r="A74" s="261"/>
      <c r="B74" s="266">
        <v>42348</v>
      </c>
      <c r="C74" s="261">
        <v>100</v>
      </c>
      <c r="D74" s="262">
        <v>8.9499999999999993</v>
      </c>
      <c r="E74" s="262">
        <v>0</v>
      </c>
      <c r="F74" s="262">
        <f t="shared" si="5"/>
        <v>894.99999999999989</v>
      </c>
      <c r="G74" s="261"/>
      <c r="H74" s="267"/>
      <c r="I74" s="262"/>
      <c r="J74" s="262"/>
      <c r="K74" s="262"/>
      <c r="L74" s="261"/>
      <c r="M74" s="261"/>
      <c r="N74" s="261"/>
    </row>
    <row r="75" spans="1:31" x14ac:dyDescent="0.25">
      <c r="A75" s="261"/>
      <c r="B75" s="266">
        <v>42353</v>
      </c>
      <c r="C75" s="261">
        <v>100</v>
      </c>
      <c r="D75" s="262">
        <v>9.2200000000000006</v>
      </c>
      <c r="E75" s="262">
        <v>0</v>
      </c>
      <c r="F75" s="262">
        <f t="shared" si="5"/>
        <v>922.00000000000011</v>
      </c>
      <c r="G75" s="261"/>
      <c r="H75" s="267"/>
      <c r="I75" s="262"/>
      <c r="J75" s="262"/>
      <c r="K75" s="262"/>
      <c r="L75" s="261"/>
      <c r="M75" s="261"/>
      <c r="N75" s="261"/>
    </row>
    <row r="76" spans="1:31" x14ac:dyDescent="0.25">
      <c r="A76" s="261"/>
      <c r="B76" s="266">
        <v>42354</v>
      </c>
      <c r="C76" s="261">
        <v>500</v>
      </c>
      <c r="D76" s="262">
        <v>8.85</v>
      </c>
      <c r="E76" s="262">
        <v>0</v>
      </c>
      <c r="F76" s="262">
        <f t="shared" si="5"/>
        <v>4425</v>
      </c>
      <c r="G76" s="261"/>
      <c r="H76" s="267"/>
      <c r="I76" s="262"/>
      <c r="J76" s="262"/>
      <c r="K76" s="262"/>
      <c r="L76" s="261"/>
      <c r="M76" s="261"/>
      <c r="N76" s="261"/>
    </row>
    <row r="77" spans="1:31" x14ac:dyDescent="0.25">
      <c r="A77" s="261"/>
      <c r="B77" s="266">
        <v>42377</v>
      </c>
      <c r="C77" s="261">
        <v>400</v>
      </c>
      <c r="D77" s="262">
        <v>8.0399999999999991</v>
      </c>
      <c r="E77" s="262">
        <v>0</v>
      </c>
      <c r="F77" s="262">
        <f t="shared" si="5"/>
        <v>3215.9999999999995</v>
      </c>
      <c r="G77" s="261"/>
      <c r="H77" s="261"/>
      <c r="I77" s="262"/>
      <c r="J77" s="262"/>
      <c r="K77" s="262"/>
      <c r="L77" s="261"/>
      <c r="M77" s="261"/>
      <c r="N77" s="261"/>
    </row>
    <row r="78" spans="1:31" x14ac:dyDescent="0.25">
      <c r="A78" s="261"/>
      <c r="B78" s="266">
        <v>42389</v>
      </c>
      <c r="C78" s="261">
        <v>100</v>
      </c>
      <c r="D78" s="262">
        <v>6.45</v>
      </c>
      <c r="E78" s="262">
        <v>0</v>
      </c>
      <c r="F78" s="262">
        <f t="shared" si="5"/>
        <v>645</v>
      </c>
      <c r="G78" s="261"/>
      <c r="H78" s="261"/>
      <c r="I78" s="262"/>
      <c r="J78" s="262"/>
      <c r="K78" s="262"/>
      <c r="L78" s="261"/>
      <c r="M78" s="261"/>
      <c r="N78" s="261"/>
    </row>
    <row r="79" spans="1:31" x14ac:dyDescent="0.25">
      <c r="A79" s="261"/>
      <c r="B79" s="266">
        <v>42402</v>
      </c>
      <c r="C79" s="261">
        <v>100</v>
      </c>
      <c r="D79" s="262">
        <v>6.95</v>
      </c>
      <c r="E79" s="262">
        <v>0</v>
      </c>
      <c r="F79" s="262">
        <f t="shared" si="5"/>
        <v>695</v>
      </c>
      <c r="G79" s="261"/>
      <c r="H79" s="261"/>
      <c r="I79" s="262"/>
      <c r="J79" s="262"/>
      <c r="K79" s="262"/>
      <c r="L79" s="261"/>
      <c r="M79" s="261"/>
      <c r="N79" s="261"/>
    </row>
    <row r="80" spans="1:31" x14ac:dyDescent="0.25">
      <c r="A80" s="261"/>
      <c r="B80" s="266">
        <v>42444</v>
      </c>
      <c r="C80" s="261">
        <v>200</v>
      </c>
      <c r="D80" s="262">
        <v>9.4499999999999993</v>
      </c>
      <c r="E80" s="262">
        <v>0</v>
      </c>
      <c r="F80" s="262">
        <v>1889.9999999999998</v>
      </c>
      <c r="G80" s="261"/>
      <c r="H80" s="261"/>
      <c r="I80" s="262"/>
      <c r="J80" s="262"/>
      <c r="K80" s="262"/>
      <c r="L80" s="261"/>
      <c r="M80" s="261"/>
      <c r="N80" s="261"/>
    </row>
    <row r="81" spans="1:14" x14ac:dyDescent="0.25">
      <c r="A81" s="381"/>
      <c r="B81" s="381"/>
      <c r="C81" s="381"/>
      <c r="D81" s="382"/>
      <c r="E81" s="382"/>
      <c r="F81" s="382"/>
      <c r="G81" s="381"/>
      <c r="H81" s="381"/>
      <c r="I81" s="382"/>
      <c r="J81" s="382"/>
      <c r="K81" s="382"/>
      <c r="L81" s="381"/>
      <c r="M81" s="381"/>
      <c r="N81" s="381"/>
    </row>
    <row r="82" spans="1:14" x14ac:dyDescent="0.25">
      <c r="A82" s="381"/>
      <c r="B82" s="380">
        <v>42545</v>
      </c>
      <c r="C82" s="381">
        <v>250</v>
      </c>
      <c r="D82" s="382">
        <v>9.36</v>
      </c>
      <c r="E82" s="382">
        <v>0</v>
      </c>
      <c r="F82" s="382">
        <f>D82*C82+E82</f>
        <v>2340</v>
      </c>
      <c r="G82" s="381">
        <v>42577</v>
      </c>
      <c r="H82" s="385">
        <v>150</v>
      </c>
      <c r="I82" s="382">
        <v>10.58</v>
      </c>
      <c r="J82" s="382">
        <v>0.03</v>
      </c>
      <c r="K82" s="382">
        <f t="shared" ref="K82:K83" si="6">H82*I82-J82</f>
        <v>1586.97</v>
      </c>
      <c r="L82" s="381"/>
      <c r="M82" s="381"/>
      <c r="N82" s="381"/>
    </row>
    <row r="83" spans="1:14" x14ac:dyDescent="0.25">
      <c r="A83" s="381"/>
      <c r="B83" s="380"/>
      <c r="C83" s="381"/>
      <c r="D83" s="382"/>
      <c r="E83" s="382"/>
      <c r="F83" s="382"/>
      <c r="G83" s="381">
        <v>42577</v>
      </c>
      <c r="H83" s="385">
        <v>100</v>
      </c>
      <c r="I83" s="382">
        <v>10.65</v>
      </c>
      <c r="J83" s="382">
        <v>0.02</v>
      </c>
      <c r="K83" s="382">
        <f t="shared" si="6"/>
        <v>1064.98</v>
      </c>
      <c r="L83" s="381"/>
      <c r="M83" s="381"/>
      <c r="N83" s="381"/>
    </row>
    <row r="84" spans="1:14" x14ac:dyDescent="0.25">
      <c r="A84" s="381"/>
      <c r="B84" s="381"/>
      <c r="C84" s="381"/>
      <c r="D84" s="382"/>
      <c r="E84" s="382"/>
      <c r="F84" s="382"/>
      <c r="G84" s="381"/>
      <c r="H84" s="381"/>
      <c r="I84" s="382"/>
      <c r="J84" s="382"/>
      <c r="K84" s="382"/>
      <c r="L84" s="381"/>
      <c r="M84" s="381"/>
      <c r="N84" s="381"/>
    </row>
    <row r="85" spans="1:14" x14ac:dyDescent="0.25">
      <c r="A85" s="32" t="s">
        <v>81</v>
      </c>
      <c r="B85" s="14"/>
      <c r="C85" s="14">
        <f>SUM(C44:C84)</f>
        <v>19052</v>
      </c>
      <c r="D85" s="18"/>
      <c r="E85" s="18"/>
      <c r="F85" s="18">
        <f>SUM(F44:F84)</f>
        <v>173175.52</v>
      </c>
      <c r="G85" s="14"/>
      <c r="H85" s="14">
        <f>SUM(H44:H84)</f>
        <v>19052</v>
      </c>
      <c r="I85" s="18"/>
      <c r="J85" s="18"/>
      <c r="K85" s="18">
        <f>SUM(K44:K84)</f>
        <v>174165.9</v>
      </c>
      <c r="L85" s="18"/>
      <c r="M85" s="18">
        <f>SUM(M44:M57)</f>
        <v>138</v>
      </c>
      <c r="N85" s="261"/>
    </row>
    <row r="86" spans="1:14" x14ac:dyDescent="0.25">
      <c r="A86" s="261"/>
      <c r="B86" s="261"/>
      <c r="C86" s="261"/>
      <c r="D86" s="262"/>
      <c r="E86" s="262"/>
      <c r="F86" s="262"/>
      <c r="G86" s="261"/>
      <c r="H86" s="261"/>
      <c r="I86" s="262"/>
      <c r="J86" s="262"/>
      <c r="K86" s="262"/>
      <c r="L86" s="261"/>
      <c r="M86" s="261"/>
      <c r="N86" s="261"/>
    </row>
    <row r="87" spans="1:14" x14ac:dyDescent="0.25">
      <c r="A87" s="261"/>
      <c r="B87" s="261"/>
      <c r="C87" s="261"/>
      <c r="D87" s="262"/>
      <c r="E87" s="262"/>
      <c r="F87" s="262"/>
      <c r="G87" s="261"/>
      <c r="H87" s="261"/>
      <c r="I87" s="262"/>
      <c r="J87" s="262"/>
      <c r="K87" s="262"/>
      <c r="L87" s="261"/>
      <c r="M87" s="261"/>
      <c r="N87" s="261"/>
    </row>
    <row r="88" spans="1:14" x14ac:dyDescent="0.25">
      <c r="A88" s="261"/>
      <c r="B88" s="269" t="s">
        <v>114</v>
      </c>
      <c r="C88" s="269" t="s">
        <v>147</v>
      </c>
      <c r="D88" s="270" t="s">
        <v>146</v>
      </c>
      <c r="E88" s="271" t="s">
        <v>148</v>
      </c>
      <c r="F88" s="271" t="s">
        <v>65</v>
      </c>
      <c r="G88" s="273" t="s">
        <v>152</v>
      </c>
      <c r="H88" s="273" t="s">
        <v>88</v>
      </c>
      <c r="I88" s="273" t="s">
        <v>155</v>
      </c>
      <c r="J88" s="262"/>
      <c r="K88" s="262"/>
      <c r="L88" s="261"/>
      <c r="M88" s="261"/>
      <c r="N88" s="261"/>
    </row>
    <row r="89" spans="1:14" x14ac:dyDescent="0.25">
      <c r="A89" s="261"/>
      <c r="B89" s="266">
        <v>42304</v>
      </c>
      <c r="C89" s="261">
        <v>3700</v>
      </c>
      <c r="D89" s="262">
        <v>9.84</v>
      </c>
      <c r="E89" s="262">
        <v>8.73</v>
      </c>
      <c r="F89" s="262">
        <f>C89*(E89-D89)</f>
        <v>-4106.9999999999982</v>
      </c>
      <c r="G89" s="262">
        <f>D89*C89</f>
        <v>36408</v>
      </c>
      <c r="H89" s="276">
        <f>(E89-D89)/D89</f>
        <v>-0.11280487804878044</v>
      </c>
      <c r="I89" s="262"/>
      <c r="J89" s="262"/>
      <c r="K89" s="262"/>
      <c r="L89" s="261"/>
      <c r="M89" s="261"/>
      <c r="N89" s="261"/>
    </row>
    <row r="90" spans="1:14" x14ac:dyDescent="0.25">
      <c r="A90" s="261"/>
      <c r="B90" s="266">
        <v>42305</v>
      </c>
      <c r="C90" s="261">
        <v>3700</v>
      </c>
      <c r="D90" s="262">
        <v>9.76</v>
      </c>
      <c r="E90" s="262">
        <v>8.99</v>
      </c>
      <c r="F90" s="262">
        <f t="shared" ref="F90:F107" si="7">C90*(E90-D90)</f>
        <v>-2848.9999999999986</v>
      </c>
      <c r="G90" s="262">
        <f t="shared" ref="G90:G107" si="8">D90*C90</f>
        <v>36112</v>
      </c>
      <c r="H90" s="276">
        <f t="shared" ref="H90:H96" si="9">(E90-D90)/D90</f>
        <v>-7.8893442622950782E-2</v>
      </c>
      <c r="I90" s="262"/>
      <c r="J90" s="262"/>
      <c r="K90" s="262"/>
      <c r="L90" s="261"/>
      <c r="M90" s="261"/>
      <c r="N90" s="261"/>
    </row>
    <row r="91" spans="1:14" x14ac:dyDescent="0.25">
      <c r="A91" s="261"/>
      <c r="B91" s="266">
        <v>42311</v>
      </c>
      <c r="C91" s="261">
        <v>3700</v>
      </c>
      <c r="D91" s="262">
        <v>9.73</v>
      </c>
      <c r="E91" s="262">
        <v>9.3800000000000008</v>
      </c>
      <c r="F91" s="262">
        <f t="shared" si="7"/>
        <v>-1294.9999999999986</v>
      </c>
      <c r="G91" s="262">
        <f t="shared" si="8"/>
        <v>36001</v>
      </c>
      <c r="H91" s="276">
        <f t="shared" si="9"/>
        <v>-3.5971223021582698E-2</v>
      </c>
      <c r="I91" s="262"/>
      <c r="J91" s="262"/>
      <c r="K91" s="262"/>
      <c r="L91" s="261"/>
      <c r="M91" s="261"/>
      <c r="N91" s="261"/>
    </row>
    <row r="92" spans="1:14" x14ac:dyDescent="0.25">
      <c r="A92" s="261"/>
      <c r="B92" s="266">
        <v>42320</v>
      </c>
      <c r="C92" s="261">
        <v>7400</v>
      </c>
      <c r="D92" s="262">
        <v>9.01</v>
      </c>
      <c r="E92" s="262">
        <v>7.82</v>
      </c>
      <c r="F92" s="262">
        <f t="shared" si="7"/>
        <v>-8805.9999999999964</v>
      </c>
      <c r="G92" s="262">
        <f t="shared" si="8"/>
        <v>66674</v>
      </c>
      <c r="H92" s="276">
        <f t="shared" si="9"/>
        <v>-0.13207547169811315</v>
      </c>
      <c r="I92" s="262"/>
      <c r="J92" s="262"/>
      <c r="K92" s="262"/>
      <c r="L92" s="261"/>
      <c r="M92" s="261"/>
      <c r="N92" s="261"/>
    </row>
    <row r="93" spans="1:14" x14ac:dyDescent="0.25">
      <c r="A93" s="261"/>
      <c r="B93" s="266">
        <v>42320</v>
      </c>
      <c r="C93" s="261">
        <v>8000</v>
      </c>
      <c r="D93" s="262">
        <v>8.94</v>
      </c>
      <c r="E93" s="262">
        <v>7.82</v>
      </c>
      <c r="F93" s="262">
        <f t="shared" si="7"/>
        <v>-8959.9999999999945</v>
      </c>
      <c r="G93" s="262">
        <f t="shared" si="8"/>
        <v>71520</v>
      </c>
      <c r="H93" s="276">
        <f t="shared" si="9"/>
        <v>-0.12527964205816547</v>
      </c>
      <c r="I93" s="262"/>
      <c r="J93" s="262"/>
      <c r="K93" s="262"/>
      <c r="L93" s="261"/>
      <c r="M93" s="261"/>
      <c r="N93" s="261"/>
    </row>
    <row r="94" spans="1:14" x14ac:dyDescent="0.25">
      <c r="A94" s="261"/>
      <c r="B94" s="266">
        <v>42326</v>
      </c>
      <c r="C94" s="261">
        <v>6600</v>
      </c>
      <c r="D94" s="262">
        <v>9.0582999999999991</v>
      </c>
      <c r="E94" s="262">
        <v>8.41</v>
      </c>
      <c r="F94" s="262">
        <f t="shared" si="7"/>
        <v>-4278.7799999999934</v>
      </c>
      <c r="G94" s="262">
        <f t="shared" si="8"/>
        <v>59784.779999999992</v>
      </c>
      <c r="H94" s="276">
        <f t="shared" si="9"/>
        <v>-7.1569720587748145E-2</v>
      </c>
      <c r="I94" s="262"/>
      <c r="J94" s="262"/>
      <c r="K94" s="262"/>
      <c r="L94" s="261"/>
      <c r="M94" s="261"/>
      <c r="N94" s="261"/>
    </row>
    <row r="95" spans="1:14" x14ac:dyDescent="0.25">
      <c r="A95" s="261"/>
      <c r="B95" s="266">
        <v>42326</v>
      </c>
      <c r="C95" s="261">
        <v>6535</v>
      </c>
      <c r="D95" s="262">
        <v>9.0648</v>
      </c>
      <c r="E95" s="262">
        <v>8.41</v>
      </c>
      <c r="F95" s="262">
        <f t="shared" si="7"/>
        <v>-4279.1179999999986</v>
      </c>
      <c r="G95" s="262">
        <f t="shared" si="8"/>
        <v>59238.468000000001</v>
      </c>
      <c r="H95" s="276">
        <f t="shared" si="9"/>
        <v>-7.2235460241814473E-2</v>
      </c>
      <c r="I95" s="262"/>
      <c r="J95" s="262"/>
      <c r="K95" s="262"/>
      <c r="L95" s="261"/>
      <c r="M95" s="261"/>
      <c r="N95" s="261"/>
    </row>
    <row r="96" spans="1:14" x14ac:dyDescent="0.25">
      <c r="A96" s="261"/>
      <c r="B96" s="266">
        <v>42327</v>
      </c>
      <c r="C96" s="261">
        <v>4300</v>
      </c>
      <c r="D96" s="262">
        <v>9.3583999999999996</v>
      </c>
      <c r="E96" s="262">
        <v>8.76</v>
      </c>
      <c r="F96" s="262">
        <f t="shared" si="7"/>
        <v>-2573.1199999999994</v>
      </c>
      <c r="G96" s="262">
        <f t="shared" si="8"/>
        <v>40241.119999999995</v>
      </c>
      <c r="H96" s="276">
        <f t="shared" si="9"/>
        <v>-6.3942554282783365E-2</v>
      </c>
      <c r="I96" s="262"/>
      <c r="J96" s="262"/>
      <c r="K96" s="262"/>
      <c r="L96" s="261"/>
      <c r="M96" s="261"/>
      <c r="N96" s="261"/>
    </row>
    <row r="97" spans="1:14" x14ac:dyDescent="0.25">
      <c r="A97" s="261"/>
      <c r="B97" s="266">
        <v>42327</v>
      </c>
      <c r="C97" s="261">
        <v>3700</v>
      </c>
      <c r="D97" s="262">
        <v>9.4571000000000005</v>
      </c>
      <c r="E97" s="262">
        <v>8.76</v>
      </c>
      <c r="F97" s="262">
        <f t="shared" si="7"/>
        <v>-2579.2700000000027</v>
      </c>
      <c r="G97" s="262">
        <f t="shared" si="8"/>
        <v>34991.270000000004</v>
      </c>
      <c r="H97" s="276">
        <f>(E97-D97)/D97</f>
        <v>-7.371181440399284E-2</v>
      </c>
      <c r="I97" s="262"/>
      <c r="J97" s="262"/>
      <c r="K97" s="262"/>
      <c r="L97" s="261"/>
      <c r="M97" s="261"/>
      <c r="N97" s="261"/>
    </row>
    <row r="98" spans="1:14" x14ac:dyDescent="0.25">
      <c r="A98" s="261"/>
      <c r="B98" s="266">
        <v>42331</v>
      </c>
      <c r="C98" s="261">
        <v>3700</v>
      </c>
      <c r="D98" s="262">
        <v>9.4499999999999993</v>
      </c>
      <c r="E98" s="262">
        <v>9.07</v>
      </c>
      <c r="F98" s="262">
        <f t="shared" si="7"/>
        <v>-1405.9999999999964</v>
      </c>
      <c r="G98" s="262">
        <f t="shared" si="8"/>
        <v>34965</v>
      </c>
      <c r="H98" s="276">
        <f t="shared" ref="H98:H107" si="10">(E98-D98)/D98</f>
        <v>-4.0211640211640108E-2</v>
      </c>
      <c r="I98" s="262"/>
      <c r="J98" s="262"/>
      <c r="K98" s="262"/>
      <c r="L98" s="261"/>
      <c r="M98" s="261"/>
      <c r="N98" s="261"/>
    </row>
    <row r="99" spans="1:14" x14ac:dyDescent="0.25">
      <c r="A99" s="261"/>
      <c r="B99" s="266">
        <v>42333</v>
      </c>
      <c r="C99" s="261">
        <v>3300</v>
      </c>
      <c r="D99" s="262">
        <v>9.4304000000000006</v>
      </c>
      <c r="E99" s="262">
        <v>9.41</v>
      </c>
      <c r="F99" s="262">
        <f t="shared" si="7"/>
        <v>-67.320000000001386</v>
      </c>
      <c r="G99" s="262">
        <f t="shared" si="8"/>
        <v>31120.320000000003</v>
      </c>
      <c r="H99" s="276">
        <f t="shared" si="10"/>
        <v>-2.1632168306753071E-3</v>
      </c>
      <c r="I99" s="262"/>
      <c r="J99" s="262"/>
      <c r="K99" s="262"/>
      <c r="L99" s="261"/>
      <c r="M99" s="261"/>
      <c r="N99" s="261"/>
    </row>
    <row r="100" spans="1:14" x14ac:dyDescent="0.25">
      <c r="A100" s="261"/>
      <c r="B100" s="266">
        <v>42339</v>
      </c>
      <c r="C100" s="261">
        <v>2800</v>
      </c>
      <c r="D100" s="262">
        <v>9.4145000000000003</v>
      </c>
      <c r="E100" s="262">
        <v>9.48</v>
      </c>
      <c r="F100" s="262">
        <f t="shared" si="7"/>
        <v>183.40000000000032</v>
      </c>
      <c r="G100" s="262">
        <f t="shared" si="8"/>
        <v>26360.600000000002</v>
      </c>
      <c r="H100" s="276">
        <f t="shared" si="10"/>
        <v>6.9573530192787838E-3</v>
      </c>
      <c r="I100" s="262"/>
      <c r="J100" s="262"/>
      <c r="K100" s="262"/>
      <c r="L100" s="261"/>
      <c r="M100" s="261"/>
      <c r="N100" s="261"/>
    </row>
    <row r="101" spans="1:14" x14ac:dyDescent="0.25">
      <c r="A101" s="261"/>
      <c r="B101" s="266">
        <v>42340</v>
      </c>
      <c r="C101" s="261">
        <v>3000</v>
      </c>
      <c r="D101" s="262">
        <v>9.41</v>
      </c>
      <c r="E101" s="262">
        <v>9.35</v>
      </c>
      <c r="F101" s="262">
        <f t="shared" si="7"/>
        <v>-180.00000000000148</v>
      </c>
      <c r="G101" s="262">
        <f t="shared" si="8"/>
        <v>28230</v>
      </c>
      <c r="H101" s="276">
        <f t="shared" si="10"/>
        <v>-6.3761955366631769E-3</v>
      </c>
      <c r="I101" s="262"/>
      <c r="J101" s="262"/>
      <c r="K101" s="262"/>
      <c r="L101" s="261"/>
      <c r="M101" s="261"/>
      <c r="N101" s="261"/>
    </row>
    <row r="102" spans="1:14" x14ac:dyDescent="0.25">
      <c r="A102" s="261"/>
      <c r="B102" s="266">
        <v>42342</v>
      </c>
      <c r="C102" s="261">
        <v>1500</v>
      </c>
      <c r="D102" s="262">
        <v>9.51</v>
      </c>
      <c r="E102" s="262">
        <v>9.34</v>
      </c>
      <c r="F102" s="262">
        <f t="shared" si="7"/>
        <v>-254.99999999999989</v>
      </c>
      <c r="G102" s="262">
        <f t="shared" si="8"/>
        <v>14265</v>
      </c>
      <c r="H102" s="276">
        <f t="shared" si="10"/>
        <v>-1.787592008412197E-2</v>
      </c>
      <c r="I102" s="262"/>
      <c r="J102" s="262"/>
      <c r="K102" s="262"/>
      <c r="L102" s="261"/>
      <c r="M102" s="261"/>
      <c r="N102" s="261"/>
    </row>
    <row r="103" spans="1:14" x14ac:dyDescent="0.25">
      <c r="A103" s="261"/>
      <c r="B103" s="266">
        <v>42342</v>
      </c>
      <c r="C103" s="261">
        <v>3000</v>
      </c>
      <c r="D103" s="262">
        <v>9.3933</v>
      </c>
      <c r="E103" s="262">
        <v>9.34</v>
      </c>
      <c r="F103" s="262">
        <f t="shared" si="7"/>
        <v>-159.90000000000038</v>
      </c>
      <c r="G103" s="262">
        <f t="shared" si="8"/>
        <v>28179.9</v>
      </c>
      <c r="H103" s="276">
        <f t="shared" si="10"/>
        <v>-5.6742571833115225E-3</v>
      </c>
      <c r="I103" s="262"/>
      <c r="J103" s="262"/>
      <c r="K103" s="262"/>
      <c r="L103" s="261"/>
      <c r="M103" s="261"/>
      <c r="N103" s="261"/>
    </row>
    <row r="104" spans="1:14" x14ac:dyDescent="0.25">
      <c r="A104" s="261"/>
      <c r="B104" s="266">
        <v>42345</v>
      </c>
      <c r="C104" s="261">
        <v>3100</v>
      </c>
      <c r="D104" s="262">
        <v>9.3789999999999996</v>
      </c>
      <c r="E104" s="262">
        <v>9.0399999999999991</v>
      </c>
      <c r="F104" s="262">
        <f t="shared" si="7"/>
        <v>-1050.9000000000012</v>
      </c>
      <c r="G104" s="262">
        <f t="shared" si="8"/>
        <v>29074.899999999998</v>
      </c>
      <c r="H104" s="276">
        <f t="shared" si="10"/>
        <v>-3.6144578313253059E-2</v>
      </c>
      <c r="I104" s="262"/>
      <c r="J104" s="262"/>
      <c r="K104" s="262"/>
      <c r="L104" s="261"/>
      <c r="M104" s="261"/>
      <c r="N104" s="261"/>
    </row>
    <row r="105" spans="1:14" x14ac:dyDescent="0.25">
      <c r="A105" s="261"/>
      <c r="B105" s="266">
        <v>42348</v>
      </c>
      <c r="C105" s="261">
        <v>3000</v>
      </c>
      <c r="D105" s="262">
        <v>9.3800000000000008</v>
      </c>
      <c r="E105" s="262">
        <v>9.17</v>
      </c>
      <c r="F105" s="262">
        <f t="shared" si="7"/>
        <v>-630.0000000000025</v>
      </c>
      <c r="G105" s="262">
        <f t="shared" si="8"/>
        <v>28140.000000000004</v>
      </c>
      <c r="H105" s="276">
        <f t="shared" si="10"/>
        <v>-2.2388059701492626E-2</v>
      </c>
      <c r="I105" s="262"/>
      <c r="J105" s="262"/>
      <c r="K105" s="262"/>
      <c r="L105" s="261"/>
      <c r="M105" s="261"/>
      <c r="N105" s="261"/>
    </row>
    <row r="106" spans="1:14" x14ac:dyDescent="0.25">
      <c r="A106" s="261"/>
      <c r="B106" s="266">
        <v>42349</v>
      </c>
      <c r="C106" s="261">
        <v>3000</v>
      </c>
      <c r="D106" s="262">
        <v>9.3659999999999997</v>
      </c>
      <c r="E106" s="262">
        <v>8.86</v>
      </c>
      <c r="F106" s="262">
        <f t="shared" si="7"/>
        <v>-1518.0000000000007</v>
      </c>
      <c r="G106" s="262">
        <f t="shared" si="8"/>
        <v>28098</v>
      </c>
      <c r="H106" s="276">
        <f t="shared" si="10"/>
        <v>-5.4025197522955398E-2</v>
      </c>
      <c r="I106" s="262"/>
      <c r="J106" s="262"/>
      <c r="K106" s="262"/>
      <c r="L106" s="261"/>
      <c r="M106" s="261"/>
      <c r="N106" s="261"/>
    </row>
    <row r="107" spans="1:14" x14ac:dyDescent="0.25">
      <c r="A107" s="261"/>
      <c r="B107" s="266">
        <v>42360</v>
      </c>
      <c r="C107" s="261">
        <v>1000</v>
      </c>
      <c r="D107" s="262">
        <v>9.1999999999999993</v>
      </c>
      <c r="E107" s="262">
        <v>9.56</v>
      </c>
      <c r="F107" s="262">
        <f t="shared" si="7"/>
        <v>360.00000000000119</v>
      </c>
      <c r="G107" s="262">
        <f t="shared" si="8"/>
        <v>9200</v>
      </c>
      <c r="H107" s="276">
        <f t="shared" si="10"/>
        <v>3.9130434782608831E-2</v>
      </c>
      <c r="I107" s="262"/>
      <c r="J107" s="262"/>
      <c r="K107" s="262"/>
      <c r="L107" s="261"/>
      <c r="M107" s="261"/>
      <c r="N107" s="261"/>
    </row>
    <row r="108" spans="1:14" x14ac:dyDescent="0.25">
      <c r="A108" s="261"/>
      <c r="B108" s="266">
        <v>42361</v>
      </c>
      <c r="C108" s="261">
        <v>0</v>
      </c>
      <c r="D108" s="262">
        <v>0</v>
      </c>
      <c r="E108" s="262">
        <v>10.19</v>
      </c>
      <c r="F108" s="262">
        <v>360</v>
      </c>
      <c r="G108" s="262"/>
      <c r="H108" s="276"/>
      <c r="I108" s="262"/>
      <c r="J108" s="262"/>
      <c r="K108" s="262"/>
      <c r="L108" s="261"/>
      <c r="M108" s="261"/>
      <c r="N108" s="261"/>
    </row>
    <row r="109" spans="1:14" x14ac:dyDescent="0.25">
      <c r="A109" s="261"/>
      <c r="B109" s="266">
        <v>42377</v>
      </c>
      <c r="C109" s="261">
        <v>400</v>
      </c>
      <c r="D109" s="262">
        <v>6.31</v>
      </c>
      <c r="E109" s="262">
        <v>8.07</v>
      </c>
      <c r="F109" s="262">
        <f t="shared" ref="F109:F114" si="11">C109*(E109-D109)</f>
        <v>704.00000000000023</v>
      </c>
      <c r="G109" s="262">
        <f t="shared" ref="G109:G114" si="12">D109*C109</f>
        <v>2524</v>
      </c>
      <c r="H109" s="276">
        <f t="shared" ref="H109:H114" si="13">(E109-D109)/D109</f>
        <v>0.27892234548335987</v>
      </c>
      <c r="I109" s="262"/>
      <c r="J109" s="262"/>
      <c r="K109" s="262"/>
      <c r="L109" s="261"/>
      <c r="M109" s="261"/>
      <c r="N109" s="261"/>
    </row>
    <row r="110" spans="1:14" x14ac:dyDescent="0.25">
      <c r="A110" s="261"/>
      <c r="B110" s="266">
        <v>42389</v>
      </c>
      <c r="C110" s="261">
        <v>500</v>
      </c>
      <c r="D110" s="262">
        <v>6.34</v>
      </c>
      <c r="E110" s="262">
        <v>6.74</v>
      </c>
      <c r="F110" s="262">
        <f t="shared" si="11"/>
        <v>200.00000000000017</v>
      </c>
      <c r="G110" s="262">
        <f t="shared" si="12"/>
        <v>3170</v>
      </c>
      <c r="H110" s="276">
        <f t="shared" si="13"/>
        <v>6.3091482649842323E-2</v>
      </c>
      <c r="I110" s="262"/>
      <c r="J110" s="262"/>
      <c r="K110" s="262"/>
      <c r="L110" s="261"/>
      <c r="M110" s="261"/>
      <c r="N110" s="261"/>
    </row>
    <row r="111" spans="1:14" x14ac:dyDescent="0.25">
      <c r="A111" s="261"/>
      <c r="B111" s="266">
        <v>42398</v>
      </c>
      <c r="C111" s="261">
        <v>400</v>
      </c>
      <c r="D111" s="262">
        <v>6.12</v>
      </c>
      <c r="E111" s="262">
        <v>7.14</v>
      </c>
      <c r="F111" s="262">
        <f t="shared" si="11"/>
        <v>407.99999999999983</v>
      </c>
      <c r="G111" s="262">
        <f t="shared" si="12"/>
        <v>2448</v>
      </c>
      <c r="H111" s="276">
        <f t="shared" si="13"/>
        <v>0.1666666666666666</v>
      </c>
      <c r="I111" s="262"/>
      <c r="J111" s="262"/>
      <c r="K111" s="262"/>
      <c r="L111" s="261"/>
      <c r="M111" s="261"/>
      <c r="N111" s="261"/>
    </row>
    <row r="112" spans="1:14" x14ac:dyDescent="0.25">
      <c r="A112" s="261"/>
      <c r="B112" s="266">
        <v>42402</v>
      </c>
      <c r="C112" s="261">
        <v>500</v>
      </c>
      <c r="D112" s="262">
        <v>6.2888999999999999</v>
      </c>
      <c r="E112" s="262">
        <v>6.97</v>
      </c>
      <c r="F112" s="262">
        <f t="shared" si="11"/>
        <v>340.5499999999999</v>
      </c>
      <c r="G112" s="262">
        <f t="shared" si="12"/>
        <v>3144.45</v>
      </c>
      <c r="H112" s="276">
        <f t="shared" si="13"/>
        <v>0.10830192879517878</v>
      </c>
      <c r="I112" s="262"/>
      <c r="J112" s="262"/>
      <c r="K112" s="262"/>
      <c r="L112" s="261"/>
      <c r="M112" s="261"/>
      <c r="N112" s="261"/>
    </row>
    <row r="113" spans="1:14" x14ac:dyDescent="0.25">
      <c r="A113" s="261"/>
      <c r="B113" s="266">
        <v>42403</v>
      </c>
      <c r="C113" s="261">
        <v>400</v>
      </c>
      <c r="D113" s="262">
        <v>6.01</v>
      </c>
      <c r="E113" s="262">
        <v>7.55</v>
      </c>
      <c r="F113" s="262">
        <f t="shared" si="11"/>
        <v>616</v>
      </c>
      <c r="G113" s="262">
        <f t="shared" si="12"/>
        <v>2404</v>
      </c>
      <c r="H113" s="276">
        <f t="shared" si="13"/>
        <v>0.2562396006655574</v>
      </c>
      <c r="I113" s="262"/>
      <c r="J113" s="262"/>
      <c r="K113" s="262"/>
      <c r="L113" s="261"/>
      <c r="M113" s="261"/>
      <c r="N113" s="381"/>
    </row>
    <row r="114" spans="1:14" x14ac:dyDescent="0.25">
      <c r="A114" s="261"/>
      <c r="B114" s="266">
        <v>42404</v>
      </c>
      <c r="C114" s="261">
        <v>300</v>
      </c>
      <c r="D114" s="262">
        <v>5.3349000000000002</v>
      </c>
      <c r="E114" s="262">
        <v>8.31</v>
      </c>
      <c r="F114" s="262">
        <f t="shared" si="11"/>
        <v>892.53000000000009</v>
      </c>
      <c r="G114" s="262">
        <f t="shared" si="12"/>
        <v>1600.47</v>
      </c>
      <c r="H114" s="276">
        <f t="shared" si="13"/>
        <v>0.55766743519091266</v>
      </c>
      <c r="I114" s="262"/>
      <c r="J114" s="262"/>
      <c r="K114" s="262"/>
      <c r="L114" s="261"/>
      <c r="M114" s="261"/>
      <c r="N114" s="381"/>
    </row>
    <row r="115" spans="1:14" x14ac:dyDescent="0.25">
      <c r="A115" s="261"/>
      <c r="B115" s="266">
        <v>42416</v>
      </c>
      <c r="C115" s="261">
        <v>0</v>
      </c>
      <c r="D115" s="262">
        <v>0</v>
      </c>
      <c r="E115" s="262">
        <v>0</v>
      </c>
      <c r="F115" s="262">
        <v>793.47</v>
      </c>
      <c r="G115" s="262"/>
      <c r="H115" s="276"/>
      <c r="I115" s="262"/>
      <c r="J115" s="262"/>
      <c r="K115" s="262"/>
      <c r="L115" s="261"/>
      <c r="M115" s="261"/>
      <c r="N115" s="381"/>
    </row>
    <row r="116" spans="1:14" x14ac:dyDescent="0.25">
      <c r="A116" s="381"/>
      <c r="B116" s="380"/>
      <c r="C116" s="381"/>
      <c r="D116" s="382"/>
      <c r="E116" s="382"/>
      <c r="F116" s="382"/>
      <c r="G116" s="382"/>
      <c r="H116" s="383"/>
      <c r="I116" s="382"/>
      <c r="J116" s="382"/>
      <c r="K116" s="382"/>
      <c r="L116" s="381"/>
      <c r="M116" s="381"/>
      <c r="N116" s="381"/>
    </row>
    <row r="117" spans="1:14" x14ac:dyDescent="0.25">
      <c r="A117" s="381"/>
      <c r="B117" s="380">
        <v>42545</v>
      </c>
      <c r="C117" s="381">
        <v>250</v>
      </c>
      <c r="D117" s="382">
        <v>9.36</v>
      </c>
      <c r="E117" s="382">
        <v>9.3800000000000008</v>
      </c>
      <c r="F117" s="382">
        <f t="shared" ref="F117:F127" si="14">C117*(E117-D117)</f>
        <v>5.0000000000003375</v>
      </c>
      <c r="G117" s="382">
        <f t="shared" ref="G117:G127" si="15">D117*C117</f>
        <v>2340</v>
      </c>
      <c r="H117" s="383">
        <f t="shared" ref="H117:H127" si="16">(E117-D117)/D117</f>
        <v>2.1367521367522809E-3</v>
      </c>
      <c r="I117" s="382"/>
      <c r="J117" s="382"/>
      <c r="K117" s="382"/>
      <c r="L117" s="381"/>
      <c r="M117" s="381"/>
      <c r="N117" s="381"/>
    </row>
    <row r="118" spans="1:14" x14ac:dyDescent="0.25">
      <c r="A118" s="381"/>
      <c r="B118" s="380">
        <v>42548</v>
      </c>
      <c r="C118" s="381">
        <v>250</v>
      </c>
      <c r="D118" s="382">
        <v>9.36</v>
      </c>
      <c r="E118" s="382">
        <v>9.1</v>
      </c>
      <c r="F118" s="382">
        <f t="shared" si="14"/>
        <v>-64.999999999999943</v>
      </c>
      <c r="G118" s="382">
        <f t="shared" si="15"/>
        <v>2340</v>
      </c>
      <c r="H118" s="383">
        <f t="shared" si="16"/>
        <v>-2.7777777777777755E-2</v>
      </c>
      <c r="I118" s="382"/>
      <c r="J118" s="382"/>
      <c r="K118" s="382"/>
      <c r="L118" s="381"/>
      <c r="M118" s="381"/>
      <c r="N118" s="381"/>
    </row>
    <row r="119" spans="1:14" x14ac:dyDescent="0.25">
      <c r="A119" s="381"/>
      <c r="B119" s="380">
        <v>42549</v>
      </c>
      <c r="C119" s="381">
        <v>250</v>
      </c>
      <c r="D119" s="382">
        <v>9.36</v>
      </c>
      <c r="E119" s="382">
        <v>9.33</v>
      </c>
      <c r="F119" s="382">
        <f t="shared" si="14"/>
        <v>-7.4999999999998401</v>
      </c>
      <c r="G119" s="382">
        <f t="shared" si="15"/>
        <v>2340</v>
      </c>
      <c r="H119" s="383">
        <f t="shared" si="16"/>
        <v>-3.2051282051281369E-3</v>
      </c>
      <c r="I119" s="382"/>
      <c r="J119" s="382"/>
      <c r="K119" s="382"/>
      <c r="L119" s="381"/>
      <c r="M119" s="381"/>
      <c r="N119" s="381"/>
    </row>
    <row r="120" spans="1:14" x14ac:dyDescent="0.25">
      <c r="A120" s="381"/>
      <c r="B120" s="380">
        <v>42550</v>
      </c>
      <c r="C120" s="381">
        <v>250</v>
      </c>
      <c r="D120" s="382">
        <v>9.36</v>
      </c>
      <c r="E120" s="382">
        <v>9.1</v>
      </c>
      <c r="F120" s="382">
        <f t="shared" si="14"/>
        <v>-64.999999999999943</v>
      </c>
      <c r="G120" s="382">
        <f t="shared" si="15"/>
        <v>2340</v>
      </c>
      <c r="H120" s="383">
        <f t="shared" si="16"/>
        <v>-2.7777777777777755E-2</v>
      </c>
      <c r="I120" s="382"/>
      <c r="J120" s="382"/>
      <c r="K120" s="382"/>
      <c r="L120" s="381"/>
      <c r="M120" s="381"/>
      <c r="N120" s="381"/>
    </row>
    <row r="121" spans="1:14" x14ac:dyDescent="0.25">
      <c r="A121" s="381"/>
      <c r="B121" s="380">
        <v>42552</v>
      </c>
      <c r="C121" s="381">
        <v>250</v>
      </c>
      <c r="D121" s="382">
        <v>9.36</v>
      </c>
      <c r="E121" s="382">
        <v>9.5500000000000007</v>
      </c>
      <c r="F121" s="382">
        <f t="shared" si="14"/>
        <v>47.50000000000032</v>
      </c>
      <c r="G121" s="382">
        <f t="shared" si="15"/>
        <v>2340</v>
      </c>
      <c r="H121" s="383">
        <f t="shared" si="16"/>
        <v>2.0299145299145439E-2</v>
      </c>
      <c r="I121" s="382"/>
      <c r="J121" s="382"/>
      <c r="K121" s="382"/>
      <c r="L121" s="381"/>
      <c r="M121" s="381"/>
      <c r="N121" s="381"/>
    </row>
    <row r="122" spans="1:14" x14ac:dyDescent="0.25">
      <c r="A122" s="381"/>
      <c r="B122" s="380">
        <v>42556</v>
      </c>
      <c r="C122" s="381">
        <v>250</v>
      </c>
      <c r="D122" s="382">
        <v>9.36</v>
      </c>
      <c r="E122" s="382">
        <v>9.26</v>
      </c>
      <c r="F122" s="382">
        <f t="shared" si="14"/>
        <v>-24.999999999999911</v>
      </c>
      <c r="G122" s="382">
        <f t="shared" si="15"/>
        <v>2340</v>
      </c>
      <c r="H122" s="383">
        <f t="shared" si="16"/>
        <v>-1.0683760683760646E-2</v>
      </c>
      <c r="I122" s="382"/>
      <c r="J122" s="382"/>
      <c r="K122" s="382"/>
      <c r="L122" s="381"/>
      <c r="M122" s="381"/>
      <c r="N122" s="381"/>
    </row>
    <row r="123" spans="1:14" x14ac:dyDescent="0.25">
      <c r="A123" s="381"/>
      <c r="B123" s="380">
        <v>42557</v>
      </c>
      <c r="C123" s="381">
        <v>250</v>
      </c>
      <c r="D123" s="382">
        <v>9.36</v>
      </c>
      <c r="E123" s="382">
        <v>9.19</v>
      </c>
      <c r="F123" s="382">
        <f t="shared" si="14"/>
        <v>-42.499999999999986</v>
      </c>
      <c r="G123" s="382">
        <f t="shared" si="15"/>
        <v>2340</v>
      </c>
      <c r="H123" s="383">
        <f t="shared" si="16"/>
        <v>-1.8162393162393157E-2</v>
      </c>
      <c r="I123" s="382"/>
      <c r="J123" s="382"/>
      <c r="K123" s="382"/>
      <c r="L123" s="381"/>
      <c r="M123" s="381"/>
      <c r="N123" s="381"/>
    </row>
    <row r="124" spans="1:14" x14ac:dyDescent="0.25">
      <c r="A124" s="381"/>
      <c r="B124" s="380">
        <v>42559</v>
      </c>
      <c r="C124" s="381">
        <v>250</v>
      </c>
      <c r="D124" s="382">
        <v>9.36</v>
      </c>
      <c r="E124" s="382">
        <v>9.82</v>
      </c>
      <c r="F124" s="382">
        <f t="shared" si="14"/>
        <v>115.00000000000021</v>
      </c>
      <c r="G124" s="382">
        <f t="shared" si="15"/>
        <v>2340</v>
      </c>
      <c r="H124" s="383">
        <f t="shared" si="16"/>
        <v>4.9145299145299241E-2</v>
      </c>
      <c r="I124" s="382"/>
      <c r="J124" s="382"/>
      <c r="K124" s="382"/>
      <c r="L124" s="381"/>
      <c r="M124" s="381"/>
      <c r="N124" s="381"/>
    </row>
    <row r="125" spans="1:14" x14ac:dyDescent="0.25">
      <c r="A125" s="381"/>
      <c r="B125" s="380">
        <v>42562</v>
      </c>
      <c r="C125" s="381">
        <v>250</v>
      </c>
      <c r="D125" s="382">
        <v>9.36</v>
      </c>
      <c r="E125" s="382">
        <v>10.14</v>
      </c>
      <c r="F125" s="382">
        <f t="shared" si="14"/>
        <v>195.00000000000028</v>
      </c>
      <c r="G125" s="382">
        <f t="shared" si="15"/>
        <v>2340</v>
      </c>
      <c r="H125" s="383">
        <f t="shared" si="16"/>
        <v>8.3333333333333454E-2</v>
      </c>
      <c r="I125" s="382" t="s">
        <v>241</v>
      </c>
      <c r="J125" s="382"/>
      <c r="K125" s="382"/>
      <c r="L125" s="381"/>
      <c r="M125" s="381"/>
      <c r="N125" s="381"/>
    </row>
    <row r="126" spans="1:14" x14ac:dyDescent="0.25">
      <c r="A126" s="381"/>
      <c r="B126" s="380">
        <v>42566</v>
      </c>
      <c r="C126" s="381">
        <v>250</v>
      </c>
      <c r="D126" s="382">
        <v>9.36</v>
      </c>
      <c r="E126" s="382">
        <v>10.92</v>
      </c>
      <c r="F126" s="382">
        <f t="shared" si="14"/>
        <v>390.00000000000011</v>
      </c>
      <c r="G126" s="382">
        <f t="shared" si="15"/>
        <v>2340</v>
      </c>
      <c r="H126" s="383">
        <f t="shared" si="16"/>
        <v>0.16666666666666674</v>
      </c>
      <c r="I126" s="471">
        <v>8.8000000000000007</v>
      </c>
      <c r="J126" s="382"/>
      <c r="K126" s="382"/>
      <c r="L126" s="381"/>
      <c r="M126" s="381"/>
      <c r="N126" s="381"/>
    </row>
    <row r="127" spans="1:14" x14ac:dyDescent="0.25">
      <c r="A127" s="381"/>
      <c r="B127" s="380">
        <v>42570</v>
      </c>
      <c r="C127" s="381">
        <v>250</v>
      </c>
      <c r="D127" s="382">
        <v>9.36</v>
      </c>
      <c r="E127" s="382">
        <v>10.63</v>
      </c>
      <c r="F127" s="382">
        <f t="shared" si="14"/>
        <v>317.50000000000034</v>
      </c>
      <c r="G127" s="382">
        <f t="shared" si="15"/>
        <v>2340</v>
      </c>
      <c r="H127" s="383">
        <f t="shared" si="16"/>
        <v>0.13568376068376084</v>
      </c>
      <c r="I127" s="382"/>
      <c r="J127" s="382"/>
      <c r="K127" s="382"/>
      <c r="L127" s="381"/>
      <c r="M127" s="381"/>
      <c r="N127" s="381"/>
    </row>
    <row r="128" spans="1:14" x14ac:dyDescent="0.25">
      <c r="A128" s="381"/>
      <c r="B128" s="380">
        <v>42577</v>
      </c>
      <c r="C128" s="381">
        <v>0</v>
      </c>
      <c r="D128" s="382"/>
      <c r="E128" s="382"/>
      <c r="F128" s="382">
        <v>311.95</v>
      </c>
      <c r="G128" s="382"/>
      <c r="H128" s="383"/>
      <c r="I128" s="382"/>
      <c r="J128" s="382"/>
      <c r="K128" s="382"/>
      <c r="L128" s="381"/>
      <c r="M128" s="381"/>
    </row>
    <row r="129" spans="1:13" x14ac:dyDescent="0.25">
      <c r="A129" s="381"/>
      <c r="B129" s="380"/>
      <c r="C129" s="381"/>
      <c r="D129" s="382"/>
      <c r="E129" s="382"/>
      <c r="F129" s="382"/>
      <c r="G129" s="382"/>
      <c r="H129" s="383"/>
      <c r="I129" s="382"/>
      <c r="J129" s="382"/>
      <c r="K129" s="382"/>
      <c r="L129" s="381"/>
      <c r="M129" s="381"/>
    </row>
    <row r="130" spans="1:13" x14ac:dyDescent="0.25">
      <c r="A130" s="381"/>
      <c r="B130" s="380"/>
      <c r="C130" s="381"/>
      <c r="D130" s="382"/>
      <c r="E130" s="382"/>
      <c r="F130" s="382"/>
      <c r="G130" s="382"/>
      <c r="H130" s="383"/>
      <c r="I130" s="382"/>
      <c r="J130" s="382"/>
      <c r="K130" s="382"/>
      <c r="L130" s="381"/>
      <c r="M130" s="381"/>
    </row>
  </sheetData>
  <mergeCells count="1">
    <mergeCell ref="P39:Q39"/>
  </mergeCells>
  <conditionalFormatting sqref="F22:F39 H22:H39">
    <cfRule type="expression" dxfId="377" priority="66">
      <formula>F22&gt;0</formula>
    </cfRule>
    <cfRule type="expression" dxfId="376" priority="67">
      <formula>F22&lt;0</formula>
    </cfRule>
  </conditionalFormatting>
  <conditionalFormatting sqref="P40:P60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1">
    <cfRule type="expression" dxfId="375" priority="53">
      <formula>F41&gt;0</formula>
    </cfRule>
    <cfRule type="expression" dxfId="374" priority="54">
      <formula>F41&lt;0</formula>
    </cfRule>
  </conditionalFormatting>
  <conditionalFormatting sqref="F41">
    <cfRule type="expression" dxfId="373" priority="57">
      <formula>F41&gt;0</formula>
    </cfRule>
    <cfRule type="expression" dxfId="372" priority="58">
      <formula>F41&lt;0</formula>
    </cfRule>
  </conditionalFormatting>
  <conditionalFormatting sqref="H41">
    <cfRule type="expression" dxfId="371" priority="35">
      <formula>H41&gt;0</formula>
    </cfRule>
    <cfRule type="expression" dxfId="370" priority="36">
      <formula>H41&lt;0</formula>
    </cfRule>
  </conditionalFormatting>
  <conditionalFormatting sqref="F89:F95">
    <cfRule type="expression" dxfId="369" priority="29">
      <formula>F89&gt;0</formula>
    </cfRule>
    <cfRule type="expression" dxfId="368" priority="30">
      <formula>F89&lt;0</formula>
    </cfRule>
  </conditionalFormatting>
  <conditionalFormatting sqref="F96:F110">
    <cfRule type="expression" dxfId="367" priority="25">
      <formula>F96&gt;0</formula>
    </cfRule>
    <cfRule type="expression" dxfId="366" priority="26">
      <formula>F96&lt;0</formula>
    </cfRule>
  </conditionalFormatting>
  <conditionalFormatting sqref="F96:F110">
    <cfRule type="expression" dxfId="365" priority="27">
      <formula>F96&gt;0</formula>
    </cfRule>
    <cfRule type="expression" dxfId="364" priority="28">
      <formula>F96&lt;0</formula>
    </cfRule>
  </conditionalFormatting>
  <conditionalFormatting sqref="H89:H100">
    <cfRule type="expression" dxfId="363" priority="23">
      <formula>H89&gt;0</formula>
    </cfRule>
    <cfRule type="expression" dxfId="362" priority="24">
      <formula>H89&lt;0</formula>
    </cfRule>
  </conditionalFormatting>
  <conditionalFormatting sqref="H101">
    <cfRule type="expression" dxfId="361" priority="21">
      <formula>H101&gt;0</formula>
    </cfRule>
    <cfRule type="expression" dxfId="360" priority="22">
      <formula>H101&lt;0</formula>
    </cfRule>
  </conditionalFormatting>
  <conditionalFormatting sqref="F111:F116">
    <cfRule type="expression" dxfId="359" priority="19">
      <formula>F111&gt;0</formula>
    </cfRule>
    <cfRule type="expression" dxfId="358" priority="20">
      <formula>F111&lt;0</formula>
    </cfRule>
  </conditionalFormatting>
  <conditionalFormatting sqref="H103:H116">
    <cfRule type="expression" dxfId="357" priority="17">
      <formula>H103&gt;0</formula>
    </cfRule>
    <cfRule type="expression" dxfId="356" priority="18">
      <formula>H103&lt;0</formula>
    </cfRule>
  </conditionalFormatting>
  <conditionalFormatting sqref="H102">
    <cfRule type="expression" dxfId="355" priority="15">
      <formula>H102&gt;0</formula>
    </cfRule>
    <cfRule type="expression" dxfId="354" priority="16">
      <formula>H102&lt;0</formula>
    </cfRule>
  </conditionalFormatting>
  <conditionalFormatting sqref="M42">
    <cfRule type="expression" dxfId="353" priority="13">
      <formula>M42&gt;0</formula>
    </cfRule>
    <cfRule type="expression" dxfId="352" priority="14">
      <formula>M42&lt;0</formula>
    </cfRule>
  </conditionalFormatting>
  <conditionalFormatting sqref="Q7">
    <cfRule type="expression" dxfId="351" priority="9">
      <formula>Q7&gt;0</formula>
    </cfRule>
    <cfRule type="expression" dxfId="350" priority="10">
      <formula>Q7&lt;0</formula>
    </cfRule>
  </conditionalFormatting>
  <conditionalFormatting sqref="Q8">
    <cfRule type="expression" dxfId="349" priority="7">
      <formula>Q8&gt;0</formula>
    </cfRule>
    <cfRule type="expression" dxfId="348" priority="8">
      <formula>Q8&lt;0</formula>
    </cfRule>
  </conditionalFormatting>
  <conditionalFormatting sqref="F117:F130 H117:H130">
    <cfRule type="expression" dxfId="347" priority="1">
      <formula>F117&gt;0</formula>
    </cfRule>
    <cfRule type="expression" dxfId="346" priority="2">
      <formula>F117&lt;0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1.42578125" customWidth="1"/>
    <col min="21" max="21" width="33.5703125" customWidth="1"/>
    <col min="23" max="23" width="12" customWidth="1"/>
    <col min="24" max="27" width="6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15</v>
      </c>
      <c r="B2" s="74"/>
      <c r="C2" s="4"/>
      <c r="D2" s="3"/>
      <c r="E2" s="3"/>
      <c r="F2" s="3"/>
      <c r="G2" s="74"/>
      <c r="H2" s="4"/>
      <c r="I2" s="4"/>
      <c r="J2" s="3"/>
      <c r="K2" s="4"/>
      <c r="L2" s="4"/>
      <c r="M2" s="4"/>
      <c r="O2" s="11" t="s">
        <v>57</v>
      </c>
      <c r="Q2">
        <f>C19-H19</f>
        <v>0</v>
      </c>
      <c r="T2" s="1">
        <v>42314</v>
      </c>
      <c r="U2" t="s">
        <v>97</v>
      </c>
      <c r="W2" s="133">
        <v>42768</v>
      </c>
      <c r="X2" s="10">
        <v>18.46</v>
      </c>
      <c r="Y2" s="10">
        <v>18.55</v>
      </c>
      <c r="Z2" s="10">
        <v>18.14</v>
      </c>
      <c r="AA2" s="10">
        <v>18.18</v>
      </c>
      <c r="AB2" s="95">
        <v>3107500</v>
      </c>
      <c r="AC2" s="10">
        <v>18.18</v>
      </c>
      <c r="AD2" s="2">
        <f>Y2-Z2</f>
        <v>0.41000000000000014</v>
      </c>
      <c r="AE2" s="138">
        <f>AC2/AC3-1</f>
        <v>-1.8888289260658442E-2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4"/>
      <c r="I3" s="4"/>
      <c r="J3" s="4"/>
      <c r="K3" s="4"/>
      <c r="L3" s="4"/>
      <c r="M3" s="4"/>
      <c r="O3" s="11" t="s">
        <v>58</v>
      </c>
      <c r="Q3" s="2">
        <f>IF(Q2=0, Q4, (F19-K19)/Q2)</f>
        <v>18.36</v>
      </c>
      <c r="W3" s="133">
        <v>42767</v>
      </c>
      <c r="X3" s="10">
        <v>18.690000000000001</v>
      </c>
      <c r="Y3" s="10">
        <v>18.71</v>
      </c>
      <c r="Z3" s="10">
        <v>18.07</v>
      </c>
      <c r="AA3" s="10">
        <v>18.53</v>
      </c>
      <c r="AB3" s="95">
        <v>3036900</v>
      </c>
      <c r="AC3" s="10">
        <v>18.53</v>
      </c>
      <c r="AD3" s="2">
        <f t="shared" ref="AD3:AD66" si="0">Y3-Z3</f>
        <v>0.64000000000000057</v>
      </c>
      <c r="AE3" s="138">
        <f t="shared" ref="AE3:AE66" si="1">AC3/AC4-1</f>
        <v>1.0804970286331095E-3</v>
      </c>
    </row>
    <row r="4" spans="1:31" x14ac:dyDescent="0.25">
      <c r="B4" s="74"/>
      <c r="C4" s="4"/>
      <c r="D4" s="3"/>
      <c r="E4" s="3"/>
      <c r="F4" s="3"/>
      <c r="G4" s="74"/>
      <c r="H4" s="4"/>
      <c r="I4" s="4"/>
      <c r="J4" s="4"/>
      <c r="K4" s="4"/>
      <c r="L4" s="4"/>
      <c r="M4" s="4"/>
      <c r="O4" s="11" t="s">
        <v>66</v>
      </c>
      <c r="Q4" s="55">
        <v>18.36</v>
      </c>
      <c r="R4" s="505">
        <v>9.9000000000000008E-3</v>
      </c>
      <c r="W4" s="133">
        <v>42766</v>
      </c>
      <c r="X4" s="10">
        <v>17.7</v>
      </c>
      <c r="Y4" s="10">
        <v>18.559999999999999</v>
      </c>
      <c r="Z4" s="10">
        <v>17.690000000000001</v>
      </c>
      <c r="AA4" s="10">
        <v>18.510000000000002</v>
      </c>
      <c r="AB4" s="95">
        <v>2981700</v>
      </c>
      <c r="AC4" s="10">
        <v>18.510000000000002</v>
      </c>
      <c r="AD4" s="2">
        <f t="shared" si="0"/>
        <v>0.86999999999999744</v>
      </c>
      <c r="AE4" s="138">
        <f t="shared" si="1"/>
        <v>3.4656232532140896E-2</v>
      </c>
    </row>
    <row r="5" spans="1:31" x14ac:dyDescent="0.25">
      <c r="B5" s="74"/>
      <c r="C5" s="4"/>
      <c r="D5" s="3"/>
      <c r="E5" s="3"/>
      <c r="F5" s="3"/>
      <c r="G5" s="74"/>
      <c r="H5" s="4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42765</v>
      </c>
      <c r="X5" s="10">
        <v>18.149999999999999</v>
      </c>
      <c r="Y5" s="10">
        <v>18.170000000000002</v>
      </c>
      <c r="Z5" s="10">
        <v>17.75</v>
      </c>
      <c r="AA5" s="10">
        <v>17.89</v>
      </c>
      <c r="AB5" s="95">
        <v>3429000</v>
      </c>
      <c r="AC5" s="10">
        <v>17.89</v>
      </c>
      <c r="AD5" s="2">
        <f t="shared" si="0"/>
        <v>0.42000000000000171</v>
      </c>
      <c r="AE5" s="138">
        <f t="shared" si="1"/>
        <v>-1.7032967032966972E-2</v>
      </c>
    </row>
    <row r="6" spans="1:31" x14ac:dyDescent="0.25">
      <c r="B6" s="74"/>
      <c r="C6" s="4"/>
      <c r="D6" s="3"/>
      <c r="E6" s="3"/>
      <c r="F6" s="3"/>
      <c r="G6" s="7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42762</v>
      </c>
      <c r="X6" s="10">
        <v>18.64</v>
      </c>
      <c r="Y6" s="10">
        <v>18.760000000000002</v>
      </c>
      <c r="Z6" s="10">
        <v>18.100000000000001</v>
      </c>
      <c r="AA6" s="10">
        <v>18.2</v>
      </c>
      <c r="AB6" s="95">
        <v>3540900</v>
      </c>
      <c r="AC6" s="10">
        <v>18.2</v>
      </c>
      <c r="AD6" s="2">
        <f t="shared" si="0"/>
        <v>0.66000000000000014</v>
      </c>
      <c r="AE6" s="138">
        <f t="shared" si="1"/>
        <v>-2.5174076057846939E-2</v>
      </c>
    </row>
    <row r="7" spans="1:31" x14ac:dyDescent="0.25">
      <c r="B7" s="74"/>
      <c r="C7" s="4"/>
      <c r="D7" s="3"/>
      <c r="E7" s="3"/>
      <c r="F7" s="3"/>
      <c r="G7" s="74"/>
      <c r="H7" s="4"/>
      <c r="I7" s="4"/>
      <c r="J7" s="4"/>
      <c r="K7" s="4"/>
      <c r="L7" s="4"/>
      <c r="M7" s="4"/>
      <c r="O7" s="11" t="s">
        <v>181</v>
      </c>
      <c r="Q7" s="2">
        <f>Q10+Q8</f>
        <v>155.90000000000146</v>
      </c>
      <c r="R7">
        <v>0</v>
      </c>
      <c r="W7" s="133">
        <v>42761</v>
      </c>
      <c r="X7" s="10">
        <v>18.899999999999999</v>
      </c>
      <c r="Y7" s="10">
        <v>19.02</v>
      </c>
      <c r="Z7" s="10">
        <v>18.63</v>
      </c>
      <c r="AA7" s="10">
        <v>18.670000000000002</v>
      </c>
      <c r="AB7" s="95">
        <v>2833000</v>
      </c>
      <c r="AC7" s="10">
        <v>18.670000000000002</v>
      </c>
      <c r="AD7" s="2">
        <f t="shared" si="0"/>
        <v>0.39000000000000057</v>
      </c>
      <c r="AE7" s="138">
        <f t="shared" si="1"/>
        <v>2.1470746108429584E-3</v>
      </c>
    </row>
    <row r="8" spans="1:31" x14ac:dyDescent="0.25">
      <c r="B8" s="74"/>
      <c r="C8" s="4"/>
      <c r="D8" s="3"/>
      <c r="E8" s="3"/>
      <c r="F8" s="3"/>
      <c r="G8" s="74"/>
      <c r="H8" s="4"/>
      <c r="I8" s="4"/>
      <c r="J8" s="4"/>
      <c r="K8" s="4"/>
      <c r="L8" s="4"/>
      <c r="M8" s="4"/>
      <c r="O8" s="11" t="s">
        <v>184</v>
      </c>
      <c r="P8" s="34"/>
      <c r="Q8" s="2">
        <f>K18+M18-F18+Q2*Q4</f>
        <v>0</v>
      </c>
      <c r="W8" s="133">
        <v>42760</v>
      </c>
      <c r="X8" s="10">
        <v>18.399999999999999</v>
      </c>
      <c r="Y8" s="10">
        <v>18.8</v>
      </c>
      <c r="Z8" s="10">
        <v>18.36</v>
      </c>
      <c r="AA8" s="10">
        <v>18.63</v>
      </c>
      <c r="AB8" s="95">
        <v>2383000</v>
      </c>
      <c r="AC8" s="10">
        <v>18.63</v>
      </c>
      <c r="AD8" s="2">
        <f t="shared" si="0"/>
        <v>0.44000000000000128</v>
      </c>
      <c r="AE8" s="138">
        <f t="shared" si="1"/>
        <v>1.0746910263299547E-3</v>
      </c>
    </row>
    <row r="9" spans="1:31" x14ac:dyDescent="0.25">
      <c r="B9" s="74"/>
      <c r="C9" s="4"/>
      <c r="D9" s="3"/>
      <c r="E9" s="3"/>
      <c r="F9" s="3"/>
      <c r="G9" s="74"/>
      <c r="H9" s="4"/>
      <c r="I9" s="4"/>
      <c r="J9" s="4"/>
      <c r="K9" s="4"/>
      <c r="L9" s="4"/>
      <c r="M9" s="4"/>
      <c r="O9" s="11" t="s">
        <v>214</v>
      </c>
      <c r="Q9" s="138">
        <f>IF(Q2=0, 0, Q8/Q6)</f>
        <v>0</v>
      </c>
      <c r="W9" s="133">
        <v>42759</v>
      </c>
      <c r="X9" s="10">
        <v>18.43</v>
      </c>
      <c r="Y9" s="10">
        <v>18.670000000000002</v>
      </c>
      <c r="Z9" s="10">
        <v>18.21</v>
      </c>
      <c r="AA9" s="10">
        <v>18.61</v>
      </c>
      <c r="AB9" s="95">
        <v>3407600</v>
      </c>
      <c r="AC9" s="10">
        <v>18.61</v>
      </c>
      <c r="AD9" s="2">
        <f t="shared" si="0"/>
        <v>0.46000000000000085</v>
      </c>
      <c r="AE9" s="138">
        <f t="shared" si="1"/>
        <v>1.1413043478260887E-2</v>
      </c>
    </row>
    <row r="10" spans="1:31" x14ac:dyDescent="0.25">
      <c r="B10" s="7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213</v>
      </c>
      <c r="P10" s="34"/>
      <c r="Q10" s="2">
        <f>M45</f>
        <v>155.90000000000146</v>
      </c>
      <c r="W10" s="133">
        <v>42758</v>
      </c>
      <c r="X10" s="10">
        <v>18.5</v>
      </c>
      <c r="Y10" s="10">
        <v>18.75</v>
      </c>
      <c r="Z10" s="10">
        <v>18.059999999999999</v>
      </c>
      <c r="AA10" s="10">
        <v>18.399999999999999</v>
      </c>
      <c r="AB10" s="95">
        <v>4442900</v>
      </c>
      <c r="AC10" s="10">
        <v>18.399999999999999</v>
      </c>
      <c r="AD10" s="2">
        <f t="shared" si="0"/>
        <v>0.69000000000000128</v>
      </c>
      <c r="AE10" s="138">
        <f t="shared" si="1"/>
        <v>3.603603603603589E-2</v>
      </c>
    </row>
    <row r="11" spans="1:31" x14ac:dyDescent="0.25">
      <c r="B11" s="7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178</v>
      </c>
      <c r="P11" s="34"/>
      <c r="Q11" s="138">
        <f>IF(U58="N/A (N/A)", 0, VALUE(TRIM(CLEAN(MID(U58, FIND("(", U58)+1, 5)))))</f>
        <v>0</v>
      </c>
      <c r="W11" s="133">
        <v>42755</v>
      </c>
      <c r="X11" s="10">
        <v>17.850000000000001</v>
      </c>
      <c r="Y11" s="10">
        <v>18.03</v>
      </c>
      <c r="Z11" s="10">
        <v>17.670000000000002</v>
      </c>
      <c r="AA11" s="10">
        <v>17.760000000000002</v>
      </c>
      <c r="AB11" s="95">
        <v>2175000</v>
      </c>
      <c r="AC11" s="10">
        <v>17.760000000000002</v>
      </c>
      <c r="AD11" s="2">
        <f t="shared" si="0"/>
        <v>0.35999999999999943</v>
      </c>
      <c r="AE11" s="138">
        <f t="shared" si="1"/>
        <v>-3.9259674705550696E-3</v>
      </c>
    </row>
    <row r="12" spans="1:31" x14ac:dyDescent="0.25">
      <c r="B12" s="74"/>
      <c r="C12" s="4"/>
      <c r="D12" s="3"/>
      <c r="E12" s="3"/>
      <c r="F12" s="3"/>
      <c r="G12" s="4"/>
      <c r="H12" s="4"/>
      <c r="I12" s="4"/>
      <c r="J12" s="4"/>
      <c r="K12" s="4"/>
      <c r="L12" s="4"/>
      <c r="M12" s="4"/>
      <c r="W12" s="133">
        <v>42754</v>
      </c>
      <c r="X12" s="10">
        <v>17.899999999999999</v>
      </c>
      <c r="Y12" s="10">
        <v>18.04</v>
      </c>
      <c r="Z12" s="10">
        <v>17.64</v>
      </c>
      <c r="AA12" s="10">
        <v>17.829999999999998</v>
      </c>
      <c r="AB12" s="95">
        <v>3724200</v>
      </c>
      <c r="AC12" s="10">
        <v>17.829999999999998</v>
      </c>
      <c r="AD12" s="2">
        <f t="shared" si="0"/>
        <v>0.39999999999999858</v>
      </c>
      <c r="AE12" s="138">
        <f t="shared" si="1"/>
        <v>-2.4617067833698214E-2</v>
      </c>
    </row>
    <row r="13" spans="1:31" x14ac:dyDescent="0.25">
      <c r="B13" s="74"/>
      <c r="C13" s="4"/>
      <c r="D13" s="3"/>
      <c r="E13" s="3"/>
      <c r="F13" s="3"/>
      <c r="G13" s="4"/>
      <c r="H13" s="4"/>
      <c r="I13" s="4"/>
      <c r="J13" s="4"/>
      <c r="K13" s="4"/>
      <c r="L13" s="4"/>
      <c r="M13" s="4"/>
      <c r="W13" s="133">
        <v>42753</v>
      </c>
      <c r="X13" s="10">
        <v>17.98</v>
      </c>
      <c r="Y13" s="10">
        <v>18.309999999999999</v>
      </c>
      <c r="Z13" s="10">
        <v>17.559999999999999</v>
      </c>
      <c r="AA13" s="10">
        <v>18.28</v>
      </c>
      <c r="AB13" s="95">
        <v>2682800</v>
      </c>
      <c r="AC13" s="10">
        <v>18.28</v>
      </c>
      <c r="AD13" s="2">
        <f t="shared" si="0"/>
        <v>0.75</v>
      </c>
      <c r="AE13" s="138">
        <f t="shared" si="1"/>
        <v>1.7250973845297946E-2</v>
      </c>
    </row>
    <row r="14" spans="1:31" x14ac:dyDescent="0.25">
      <c r="B14" s="74"/>
      <c r="C14" s="4"/>
      <c r="D14" s="3"/>
      <c r="E14" s="3"/>
      <c r="F14" s="3"/>
      <c r="G14" s="4"/>
      <c r="H14" s="4"/>
      <c r="I14" s="4"/>
      <c r="J14" s="4"/>
      <c r="K14" s="4"/>
      <c r="L14" s="4"/>
      <c r="M14" s="4"/>
      <c r="W14" s="133">
        <v>42752</v>
      </c>
      <c r="X14" s="10">
        <v>17.93</v>
      </c>
      <c r="Y14" s="10">
        <v>18.489999999999998</v>
      </c>
      <c r="Z14" s="10">
        <v>17.91</v>
      </c>
      <c r="AA14" s="10">
        <v>17.97</v>
      </c>
      <c r="AB14" s="95">
        <v>2089300</v>
      </c>
      <c r="AC14" s="10">
        <v>17.97</v>
      </c>
      <c r="AD14" s="2">
        <f t="shared" si="0"/>
        <v>0.57999999999999829</v>
      </c>
      <c r="AE14" s="138">
        <f t="shared" si="1"/>
        <v>-7.1823204419890763E-3</v>
      </c>
    </row>
    <row r="15" spans="1:31" x14ac:dyDescent="0.25">
      <c r="B15" s="74"/>
      <c r="C15" s="4"/>
      <c r="D15" s="3"/>
      <c r="E15" s="3"/>
      <c r="F15" s="3"/>
      <c r="G15" s="4"/>
      <c r="H15" s="4"/>
      <c r="I15" s="4"/>
      <c r="J15" s="4"/>
      <c r="K15" s="4"/>
      <c r="L15" s="4"/>
      <c r="M15" s="4"/>
      <c r="W15" s="133">
        <v>42748</v>
      </c>
      <c r="X15" s="10">
        <v>18.16</v>
      </c>
      <c r="Y15" s="10">
        <v>18.43</v>
      </c>
      <c r="Z15" s="10">
        <v>17.809999999999999</v>
      </c>
      <c r="AA15" s="10">
        <v>18.100000000000001</v>
      </c>
      <c r="AB15" s="95">
        <v>2793800</v>
      </c>
      <c r="AC15" s="10">
        <v>18.100000000000001</v>
      </c>
      <c r="AD15" s="2">
        <f t="shared" si="0"/>
        <v>0.62000000000000099</v>
      </c>
      <c r="AE15" s="138">
        <f t="shared" si="1"/>
        <v>-3.3039647577092213E-3</v>
      </c>
    </row>
    <row r="16" spans="1:31" x14ac:dyDescent="0.25">
      <c r="B16" s="74"/>
      <c r="C16" s="4"/>
      <c r="D16" s="3"/>
      <c r="E16" s="3"/>
      <c r="F16" s="3"/>
      <c r="G16" s="4"/>
      <c r="H16" s="4"/>
      <c r="I16" s="4"/>
      <c r="J16" s="4"/>
      <c r="K16" s="4"/>
      <c r="L16" s="4"/>
      <c r="M16" s="4"/>
      <c r="W16" s="133">
        <v>42747</v>
      </c>
      <c r="X16" s="10">
        <v>17.850000000000001</v>
      </c>
      <c r="Y16" s="10">
        <v>18.3</v>
      </c>
      <c r="Z16" s="10">
        <v>17.649999999999999</v>
      </c>
      <c r="AA16" s="10">
        <v>18.16</v>
      </c>
      <c r="AB16" s="95">
        <v>3074300</v>
      </c>
      <c r="AC16" s="10">
        <v>18.16</v>
      </c>
      <c r="AD16" s="2">
        <f t="shared" si="0"/>
        <v>0.65000000000000213</v>
      </c>
      <c r="AE16" s="138">
        <f t="shared" si="1"/>
        <v>1.1699164345403856E-2</v>
      </c>
    </row>
    <row r="17" spans="1:31" x14ac:dyDescent="0.25">
      <c r="B17" s="4"/>
      <c r="C17" s="4"/>
      <c r="D17" s="3"/>
      <c r="E17" s="3"/>
      <c r="F17" s="3"/>
      <c r="G17" s="4"/>
      <c r="H17" s="4"/>
      <c r="I17" s="4"/>
      <c r="J17" s="4"/>
      <c r="K17" s="4"/>
      <c r="L17" s="4"/>
      <c r="M17" s="4"/>
      <c r="W17" s="133">
        <v>42746</v>
      </c>
      <c r="X17" s="10">
        <v>18.16</v>
      </c>
      <c r="Y17" s="10">
        <v>18.16</v>
      </c>
      <c r="Z17" s="10">
        <v>17.809999999999999</v>
      </c>
      <c r="AA17" s="10">
        <v>17.95</v>
      </c>
      <c r="AB17" s="95">
        <v>2356800</v>
      </c>
      <c r="AC17" s="10">
        <v>17.95</v>
      </c>
      <c r="AD17" s="2">
        <f t="shared" si="0"/>
        <v>0.35000000000000142</v>
      </c>
      <c r="AE17" s="138">
        <f t="shared" si="1"/>
        <v>-1.4277869302581125E-2</v>
      </c>
    </row>
    <row r="18" spans="1:31" x14ac:dyDescent="0.25">
      <c r="W18" s="133">
        <v>42745</v>
      </c>
      <c r="X18" s="10">
        <v>17.8</v>
      </c>
      <c r="Y18" s="10">
        <v>18.260000000000002</v>
      </c>
      <c r="Z18" s="10">
        <v>17.8</v>
      </c>
      <c r="AA18" s="10">
        <v>18.21</v>
      </c>
      <c r="AB18" s="95">
        <v>3472000</v>
      </c>
      <c r="AC18" s="10">
        <v>18.21</v>
      </c>
      <c r="AD18" s="2">
        <f t="shared" si="0"/>
        <v>0.46000000000000085</v>
      </c>
      <c r="AE18" s="138">
        <f t="shared" si="1"/>
        <v>2.2459292532285291E-2</v>
      </c>
    </row>
    <row r="19" spans="1:31" x14ac:dyDescent="0.25">
      <c r="A19" s="32" t="s">
        <v>81</v>
      </c>
      <c r="B19" s="14"/>
      <c r="C19" s="14">
        <f>SUM(C2:C16)</f>
        <v>0</v>
      </c>
      <c r="D19" s="18"/>
      <c r="E19" s="18"/>
      <c r="F19" s="18">
        <f>SUM(F2:F16)</f>
        <v>0</v>
      </c>
      <c r="G19" s="14"/>
      <c r="H19" s="14">
        <f>SUM(H2:H11)</f>
        <v>0</v>
      </c>
      <c r="I19" s="14"/>
      <c r="J19" s="14"/>
      <c r="K19" s="14">
        <f>SUM(K2:K11)</f>
        <v>0</v>
      </c>
      <c r="L19" s="14"/>
      <c r="M19" s="14"/>
      <c r="W19" s="133">
        <v>42744</v>
      </c>
      <c r="X19" s="10">
        <v>17.61</v>
      </c>
      <c r="Y19" s="10">
        <v>17.84</v>
      </c>
      <c r="Z19" s="10">
        <v>17.48</v>
      </c>
      <c r="AA19" s="10">
        <v>17.809999999999999</v>
      </c>
      <c r="AB19" s="95">
        <v>2367900</v>
      </c>
      <c r="AC19" s="10">
        <v>17.809999999999999</v>
      </c>
      <c r="AD19" s="2">
        <f t="shared" si="0"/>
        <v>0.35999999999999943</v>
      </c>
      <c r="AE19" s="138">
        <f t="shared" si="1"/>
        <v>1.3083048919226403E-2</v>
      </c>
    </row>
    <row r="20" spans="1:31" x14ac:dyDescent="0.25">
      <c r="W20" s="133">
        <v>42741</v>
      </c>
      <c r="X20" s="10">
        <v>18.309999999999999</v>
      </c>
      <c r="Y20" s="10">
        <v>18.36</v>
      </c>
      <c r="Z20" s="10">
        <v>17.5</v>
      </c>
      <c r="AA20" s="10">
        <v>17.579999999999998</v>
      </c>
      <c r="AB20" s="95">
        <v>4245200</v>
      </c>
      <c r="AC20" s="10">
        <v>17.579999999999998</v>
      </c>
      <c r="AD20" s="2">
        <f t="shared" si="0"/>
        <v>0.85999999999999943</v>
      </c>
      <c r="AE20" s="138">
        <f t="shared" si="1"/>
        <v>-3.723986856516992E-2</v>
      </c>
    </row>
    <row r="21" spans="1:31" x14ac:dyDescent="0.25">
      <c r="B21" s="191" t="s">
        <v>114</v>
      </c>
      <c r="C21" s="191" t="s">
        <v>147</v>
      </c>
      <c r="D21" s="192" t="s">
        <v>146</v>
      </c>
      <c r="E21" s="194" t="s">
        <v>148</v>
      </c>
      <c r="F21" s="194" t="s">
        <v>65</v>
      </c>
      <c r="G21" s="229" t="s">
        <v>152</v>
      </c>
      <c r="H21" s="229" t="s">
        <v>88</v>
      </c>
      <c r="I21" s="229" t="s">
        <v>155</v>
      </c>
      <c r="W21" s="133">
        <v>42740</v>
      </c>
      <c r="X21" s="10">
        <v>17.62</v>
      </c>
      <c r="Y21" s="10">
        <v>18.29</v>
      </c>
      <c r="Z21" s="10">
        <v>17.440000000000001</v>
      </c>
      <c r="AA21" s="10">
        <v>18.260000000000002</v>
      </c>
      <c r="AB21" s="95">
        <v>6254000</v>
      </c>
      <c r="AC21" s="10">
        <v>18.260000000000002</v>
      </c>
      <c r="AD21" s="2">
        <f t="shared" si="0"/>
        <v>0.84999999999999787</v>
      </c>
      <c r="AE21" s="138">
        <f t="shared" si="1"/>
        <v>6.6152149944873617E-3</v>
      </c>
    </row>
    <row r="22" spans="1:31" x14ac:dyDescent="0.25">
      <c r="B22" s="193">
        <v>42349</v>
      </c>
      <c r="C22" s="10">
        <v>60</v>
      </c>
      <c r="D22" s="40">
        <v>17.82</v>
      </c>
      <c r="E22" s="40">
        <v>18.04</v>
      </c>
      <c r="F22" s="40">
        <f>C22*(E22-D22)</f>
        <v>13.199999999999932</v>
      </c>
      <c r="G22" s="40">
        <f>D22*C22</f>
        <v>1069.2</v>
      </c>
      <c r="H22" s="231">
        <f>(E22-D22)/D22</f>
        <v>1.2345679012345616E-2</v>
      </c>
      <c r="I22" s="40"/>
      <c r="W22" s="133">
        <v>42739</v>
      </c>
      <c r="X22" s="10">
        <v>17.91</v>
      </c>
      <c r="Y22" s="10">
        <v>18.440000000000001</v>
      </c>
      <c r="Z22" s="10">
        <v>17.78</v>
      </c>
      <c r="AA22" s="10">
        <v>18.14</v>
      </c>
      <c r="AB22" s="95">
        <v>6919900</v>
      </c>
      <c r="AC22" s="10">
        <v>18.14</v>
      </c>
      <c r="AD22" s="2">
        <f t="shared" si="0"/>
        <v>0.66000000000000014</v>
      </c>
      <c r="AE22" s="138">
        <f t="shared" si="1"/>
        <v>1.6816143497757841E-2</v>
      </c>
    </row>
    <row r="23" spans="1:31" x14ac:dyDescent="0.25">
      <c r="B23" s="193">
        <v>42359</v>
      </c>
      <c r="C23" s="10">
        <v>180</v>
      </c>
      <c r="D23" s="40">
        <v>17.309999999999999</v>
      </c>
      <c r="E23" s="40">
        <v>17.600000000000001</v>
      </c>
      <c r="F23" s="40">
        <f t="shared" ref="F23:F28" si="2">C23*(E23-D23)</f>
        <v>52.200000000000486</v>
      </c>
      <c r="G23" s="40">
        <f t="shared" ref="G23:G29" si="3">D23*C23</f>
        <v>3115.7999999999997</v>
      </c>
      <c r="H23" s="231">
        <f t="shared" ref="H23:H29" si="4">(E23-D23)/D23</f>
        <v>1.6753321779318469E-2</v>
      </c>
      <c r="I23" s="40">
        <v>17.100000000000001</v>
      </c>
      <c r="W23" s="133">
        <v>42738</v>
      </c>
      <c r="X23" s="10">
        <v>18.7</v>
      </c>
      <c r="Y23" s="10">
        <v>18.77</v>
      </c>
      <c r="Z23" s="10">
        <v>17.39</v>
      </c>
      <c r="AA23" s="10">
        <v>17.84</v>
      </c>
      <c r="AB23" s="95">
        <v>7907500</v>
      </c>
      <c r="AC23" s="10">
        <v>17.84</v>
      </c>
      <c r="AD23" s="2">
        <f t="shared" si="0"/>
        <v>1.379999999999999</v>
      </c>
      <c r="AE23" s="138">
        <f t="shared" si="1"/>
        <v>-4.4456347080878533E-2</v>
      </c>
    </row>
    <row r="24" spans="1:31" ht="12.75" customHeight="1" x14ac:dyDescent="0.25">
      <c r="B24" s="193">
        <v>42369</v>
      </c>
      <c r="C24" s="10">
        <v>120</v>
      </c>
      <c r="D24" s="40">
        <v>17.09</v>
      </c>
      <c r="E24" s="40">
        <v>17.77</v>
      </c>
      <c r="F24" s="40">
        <f t="shared" si="2"/>
        <v>81.599999999999966</v>
      </c>
      <c r="G24" s="40">
        <f t="shared" si="3"/>
        <v>2050.8000000000002</v>
      </c>
      <c r="H24" s="231">
        <f t="shared" si="4"/>
        <v>3.9789350497366864E-2</v>
      </c>
      <c r="I24" s="40"/>
      <c r="W24" s="133">
        <v>42734</v>
      </c>
      <c r="X24" s="10">
        <v>18.87</v>
      </c>
      <c r="Y24" s="10">
        <v>19.45</v>
      </c>
      <c r="Z24" s="10">
        <v>18.57</v>
      </c>
      <c r="AA24" s="10">
        <v>18.670000000000002</v>
      </c>
      <c r="AB24" s="95">
        <v>10686800</v>
      </c>
      <c r="AC24" s="10">
        <v>18.670000000000002</v>
      </c>
      <c r="AD24" s="2">
        <f t="shared" si="0"/>
        <v>0.87999999999999901</v>
      </c>
      <c r="AE24" s="138">
        <f t="shared" si="1"/>
        <v>9.7349918875069275E-3</v>
      </c>
    </row>
    <row r="25" spans="1:31" x14ac:dyDescent="0.25">
      <c r="B25" s="193">
        <v>42398</v>
      </c>
      <c r="C25" s="10">
        <v>60</v>
      </c>
      <c r="D25" s="40">
        <v>16.61</v>
      </c>
      <c r="E25" s="40">
        <v>17.54</v>
      </c>
      <c r="F25" s="40">
        <f t="shared" si="2"/>
        <v>55.799999999999983</v>
      </c>
      <c r="G25" s="40">
        <f t="shared" si="3"/>
        <v>996.59999999999991</v>
      </c>
      <c r="H25" s="231">
        <f t="shared" si="4"/>
        <v>5.5990367248645381E-2</v>
      </c>
      <c r="I25" s="40"/>
      <c r="W25" s="133">
        <v>42733</v>
      </c>
      <c r="X25" s="10">
        <v>17.64</v>
      </c>
      <c r="Y25" s="10">
        <v>18.649999999999999</v>
      </c>
      <c r="Z25" s="10">
        <v>17.16</v>
      </c>
      <c r="AA25" s="10">
        <v>18.489999999999998</v>
      </c>
      <c r="AB25" s="95">
        <v>14320900</v>
      </c>
      <c r="AC25" s="10">
        <v>18.489999999999998</v>
      </c>
      <c r="AD25" s="2">
        <f t="shared" si="0"/>
        <v>1.4899999999999984</v>
      </c>
      <c r="AE25" s="138">
        <f t="shared" si="1"/>
        <v>3.5274356103023541E-2</v>
      </c>
    </row>
    <row r="26" spans="1:31" x14ac:dyDescent="0.25">
      <c r="B26" s="193">
        <v>42403</v>
      </c>
      <c r="C26" s="10">
        <v>60</v>
      </c>
      <c r="D26" s="40">
        <v>16.61</v>
      </c>
      <c r="E26" s="40">
        <v>18.57</v>
      </c>
      <c r="F26" s="40">
        <f t="shared" si="2"/>
        <v>117.60000000000005</v>
      </c>
      <c r="G26" s="40">
        <f t="shared" si="3"/>
        <v>996.59999999999991</v>
      </c>
      <c r="H26" s="231">
        <f t="shared" si="4"/>
        <v>0.11800120409391938</v>
      </c>
      <c r="I26" s="40"/>
      <c r="W26" s="133">
        <v>42732</v>
      </c>
      <c r="X26" s="10">
        <v>14.58</v>
      </c>
      <c r="Y26" s="10">
        <v>18.3</v>
      </c>
      <c r="Z26" s="10">
        <v>14.31</v>
      </c>
      <c r="AA26" s="10">
        <v>17.86</v>
      </c>
      <c r="AB26" s="95">
        <v>22625000</v>
      </c>
      <c r="AC26" s="10">
        <v>17.86</v>
      </c>
      <c r="AD26" s="2">
        <f t="shared" si="0"/>
        <v>3.99</v>
      </c>
      <c r="AE26" s="138">
        <f t="shared" si="1"/>
        <v>0.23087525844245338</v>
      </c>
    </row>
    <row r="27" spans="1:31" x14ac:dyDescent="0.25">
      <c r="B27" s="193">
        <v>42409</v>
      </c>
      <c r="C27" s="10">
        <v>120</v>
      </c>
      <c r="D27" s="40">
        <v>16.03</v>
      </c>
      <c r="E27" s="40">
        <v>16.21</v>
      </c>
      <c r="F27" s="40">
        <f t="shared" si="2"/>
        <v>21.599999999999966</v>
      </c>
      <c r="G27" s="40">
        <f t="shared" si="3"/>
        <v>1923.6000000000001</v>
      </c>
      <c r="H27" s="231">
        <f t="shared" si="4"/>
        <v>1.1228945726762302E-2</v>
      </c>
      <c r="I27" s="40"/>
      <c r="W27" s="133">
        <v>42731</v>
      </c>
      <c r="X27" s="10">
        <v>14.17</v>
      </c>
      <c r="Y27" s="10">
        <v>14.58</v>
      </c>
      <c r="Z27" s="10">
        <v>14.07</v>
      </c>
      <c r="AA27" s="10">
        <v>14.51</v>
      </c>
      <c r="AB27" s="95">
        <v>2268800</v>
      </c>
      <c r="AC27" s="10">
        <v>14.51</v>
      </c>
      <c r="AD27" s="2">
        <f t="shared" si="0"/>
        <v>0.50999999999999979</v>
      </c>
      <c r="AE27" s="138">
        <f t="shared" si="1"/>
        <v>2.5441696113074119E-2</v>
      </c>
    </row>
    <row r="28" spans="1:31" x14ac:dyDescent="0.25">
      <c r="B28" s="193">
        <v>42416</v>
      </c>
      <c r="C28" s="10">
        <v>60</v>
      </c>
      <c r="D28" s="40">
        <v>15.24</v>
      </c>
      <c r="E28" s="40">
        <v>16.809999999999999</v>
      </c>
      <c r="F28" s="40">
        <f t="shared" si="2"/>
        <v>94.199999999999903</v>
      </c>
      <c r="G28" s="40">
        <f t="shared" si="3"/>
        <v>914.4</v>
      </c>
      <c r="H28" s="231">
        <f t="shared" si="4"/>
        <v>0.10301837270341198</v>
      </c>
      <c r="I28" s="40"/>
      <c r="W28" s="133">
        <v>42727</v>
      </c>
      <c r="X28" s="10">
        <v>14.18</v>
      </c>
      <c r="Y28" s="10">
        <v>14.43</v>
      </c>
      <c r="Z28" s="10">
        <v>14.1</v>
      </c>
      <c r="AA28" s="10">
        <v>14.15</v>
      </c>
      <c r="AB28" s="95">
        <v>1691000</v>
      </c>
      <c r="AC28" s="10">
        <v>14.15</v>
      </c>
      <c r="AD28" s="2">
        <f t="shared" si="0"/>
        <v>0.33000000000000007</v>
      </c>
      <c r="AE28" s="138">
        <f t="shared" si="1"/>
        <v>9.2724679029958512E-3</v>
      </c>
    </row>
    <row r="29" spans="1:31" x14ac:dyDescent="0.25">
      <c r="B29" s="193">
        <v>42423</v>
      </c>
      <c r="C29" s="10">
        <v>0</v>
      </c>
      <c r="D29" s="40">
        <v>18.25</v>
      </c>
      <c r="E29" s="40">
        <v>18.25</v>
      </c>
      <c r="F29" s="40">
        <v>155.9</v>
      </c>
      <c r="G29" s="40">
        <f t="shared" si="3"/>
        <v>0</v>
      </c>
      <c r="H29" s="231">
        <f t="shared" si="4"/>
        <v>0</v>
      </c>
      <c r="I29" s="40"/>
      <c r="W29" s="133">
        <v>42726</v>
      </c>
      <c r="X29" s="10">
        <v>14.55</v>
      </c>
      <c r="Y29" s="10">
        <v>14.59</v>
      </c>
      <c r="Z29" s="10">
        <v>14.02</v>
      </c>
      <c r="AA29" s="10">
        <v>14.02</v>
      </c>
      <c r="AB29" s="95">
        <v>2546400</v>
      </c>
      <c r="AC29" s="10">
        <v>14.02</v>
      </c>
      <c r="AD29" s="2">
        <f t="shared" si="0"/>
        <v>0.57000000000000028</v>
      </c>
      <c r="AE29" s="138">
        <f t="shared" si="1"/>
        <v>-3.9726027397260277E-2</v>
      </c>
    </row>
    <row r="30" spans="1:31" x14ac:dyDescent="0.25">
      <c r="B30" s="193"/>
      <c r="C30" s="10"/>
      <c r="D30" s="40"/>
      <c r="E30" s="40"/>
      <c r="F30" s="40"/>
      <c r="G30" s="40"/>
      <c r="H30" s="231"/>
      <c r="I30" s="40"/>
      <c r="W30" s="133">
        <v>42725</v>
      </c>
      <c r="X30" s="10">
        <v>14.6</v>
      </c>
      <c r="Y30" s="10">
        <v>14.69</v>
      </c>
      <c r="Z30" s="10">
        <v>14.46</v>
      </c>
      <c r="AA30" s="10">
        <v>14.6</v>
      </c>
      <c r="AB30" s="95">
        <v>1676000</v>
      </c>
      <c r="AC30" s="10">
        <v>14.6</v>
      </c>
      <c r="AD30" s="2">
        <f t="shared" si="0"/>
        <v>0.22999999999999865</v>
      </c>
      <c r="AE30" s="138">
        <f t="shared" si="1"/>
        <v>-6.8027210884353817E-3</v>
      </c>
    </row>
    <row r="31" spans="1:31" x14ac:dyDescent="0.25">
      <c r="B31" s="193"/>
      <c r="C31" s="10"/>
      <c r="D31" s="40"/>
      <c r="E31" s="40"/>
      <c r="F31" s="40"/>
      <c r="G31" s="40"/>
      <c r="H31" s="231"/>
      <c r="I31" s="40"/>
      <c r="W31" s="133">
        <v>42724</v>
      </c>
      <c r="X31" s="10">
        <v>14.52</v>
      </c>
      <c r="Y31" s="10">
        <v>14.79</v>
      </c>
      <c r="Z31" s="10">
        <v>14.43</v>
      </c>
      <c r="AA31" s="10">
        <v>14.7</v>
      </c>
      <c r="AB31" s="95">
        <v>3427100</v>
      </c>
      <c r="AC31" s="10">
        <v>14.7</v>
      </c>
      <c r="AD31" s="2">
        <f t="shared" si="0"/>
        <v>0.35999999999999943</v>
      </c>
      <c r="AE31" s="138">
        <f t="shared" si="1"/>
        <v>1.5193370165745845E-2</v>
      </c>
    </row>
    <row r="32" spans="1:31" x14ac:dyDescent="0.25">
      <c r="B32" s="193"/>
      <c r="C32" s="10"/>
      <c r="D32" s="40"/>
      <c r="E32" s="40"/>
      <c r="F32" s="40"/>
      <c r="G32" s="40"/>
      <c r="H32" s="231"/>
      <c r="I32" s="40"/>
      <c r="W32" s="133">
        <v>42723</v>
      </c>
      <c r="X32" s="10">
        <v>14.64</v>
      </c>
      <c r="Y32" s="10">
        <v>14.74</v>
      </c>
      <c r="Z32" s="10">
        <v>14.4</v>
      </c>
      <c r="AA32" s="10">
        <v>14.48</v>
      </c>
      <c r="AB32" s="95">
        <v>2036500</v>
      </c>
      <c r="AC32" s="10">
        <v>14.48</v>
      </c>
      <c r="AD32" s="2">
        <f t="shared" si="0"/>
        <v>0.33999999999999986</v>
      </c>
      <c r="AE32" s="138">
        <f t="shared" si="1"/>
        <v>-6.1770761839395893E-3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40"/>
      <c r="W33" s="133">
        <v>42720</v>
      </c>
      <c r="X33" s="10">
        <v>14.9</v>
      </c>
      <c r="Y33" s="10">
        <v>14.95</v>
      </c>
      <c r="Z33" s="10">
        <v>14.41</v>
      </c>
      <c r="AA33" s="10">
        <v>14.57</v>
      </c>
      <c r="AB33" s="95">
        <v>3440000</v>
      </c>
      <c r="AC33" s="10">
        <v>14.57</v>
      </c>
      <c r="AD33" s="2">
        <f t="shared" si="0"/>
        <v>0.53999999999999915</v>
      </c>
      <c r="AE33" s="138">
        <f t="shared" si="1"/>
        <v>-2.2147651006711455E-2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133">
        <v>42719</v>
      </c>
      <c r="X34" s="10">
        <v>15.3</v>
      </c>
      <c r="Y34" s="10">
        <v>15.33</v>
      </c>
      <c r="Z34" s="10">
        <v>14.74</v>
      </c>
      <c r="AA34" s="10">
        <v>14.9</v>
      </c>
      <c r="AB34" s="95">
        <v>2771000</v>
      </c>
      <c r="AC34" s="10">
        <v>14.9</v>
      </c>
      <c r="AD34" s="2">
        <f t="shared" si="0"/>
        <v>0.58999999999999986</v>
      </c>
      <c r="AE34" s="138">
        <f t="shared" si="1"/>
        <v>-2.550686723348583E-2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133">
        <v>42718</v>
      </c>
      <c r="X35" s="10">
        <v>15.48</v>
      </c>
      <c r="Y35" s="10">
        <v>15.57</v>
      </c>
      <c r="Z35" s="10">
        <v>14.85</v>
      </c>
      <c r="AA35" s="10">
        <v>15.29</v>
      </c>
      <c r="AB35" s="95">
        <v>3704700</v>
      </c>
      <c r="AC35" s="10">
        <v>15.29</v>
      </c>
      <c r="AD35" s="2">
        <f t="shared" si="0"/>
        <v>0.72000000000000064</v>
      </c>
      <c r="AE35" s="138">
        <f t="shared" si="1"/>
        <v>-1.4184397163120588E-2</v>
      </c>
    </row>
    <row r="36" spans="1:31" x14ac:dyDescent="0.25">
      <c r="B36" s="193"/>
      <c r="C36" s="10"/>
      <c r="D36" s="40"/>
      <c r="E36" s="40"/>
      <c r="F36" s="40"/>
      <c r="G36" s="40"/>
      <c r="H36" s="231"/>
      <c r="I36" s="40"/>
      <c r="W36" s="133">
        <v>42717</v>
      </c>
      <c r="X36" s="10">
        <v>15.68</v>
      </c>
      <c r="Y36" s="10">
        <v>15.74</v>
      </c>
      <c r="Z36" s="10">
        <v>15.23</v>
      </c>
      <c r="AA36" s="10">
        <v>15.51</v>
      </c>
      <c r="AB36" s="95">
        <v>2175900</v>
      </c>
      <c r="AC36" s="10">
        <v>15.51</v>
      </c>
      <c r="AD36" s="2">
        <f t="shared" si="0"/>
        <v>0.50999999999999979</v>
      </c>
      <c r="AE36" s="138">
        <f t="shared" si="1"/>
        <v>-4.49293966623876E-3</v>
      </c>
    </row>
    <row r="37" spans="1:31" x14ac:dyDescent="0.25">
      <c r="B37" s="193"/>
      <c r="C37" s="10"/>
      <c r="D37" s="40"/>
      <c r="E37" s="40"/>
      <c r="F37" s="40"/>
      <c r="G37" s="40"/>
      <c r="H37" s="231"/>
      <c r="I37" s="40"/>
      <c r="W37" s="133">
        <v>42716</v>
      </c>
      <c r="X37" s="10">
        <v>16.64</v>
      </c>
      <c r="Y37" s="10">
        <v>16.690000000000001</v>
      </c>
      <c r="Z37" s="10">
        <v>15.56</v>
      </c>
      <c r="AA37" s="10">
        <v>15.58</v>
      </c>
      <c r="AB37" s="95">
        <v>2799900</v>
      </c>
      <c r="AC37" s="10">
        <v>15.58</v>
      </c>
      <c r="AD37" s="2">
        <f t="shared" si="0"/>
        <v>1.1300000000000008</v>
      </c>
      <c r="AE37" s="138">
        <f t="shared" si="1"/>
        <v>-6.8181818181818121E-2</v>
      </c>
    </row>
    <row r="38" spans="1:31" x14ac:dyDescent="0.25">
      <c r="B38" s="193"/>
      <c r="C38" s="10"/>
      <c r="D38" s="40"/>
      <c r="E38" s="40"/>
      <c r="F38" s="40"/>
      <c r="G38" s="40"/>
      <c r="H38" s="231"/>
      <c r="I38" s="40"/>
      <c r="W38" s="133">
        <v>42713</v>
      </c>
      <c r="X38" s="10">
        <v>17.010000000000002</v>
      </c>
      <c r="Y38" s="10">
        <v>17.100000000000001</v>
      </c>
      <c r="Z38" s="10">
        <v>16.559999999999999</v>
      </c>
      <c r="AA38" s="10">
        <v>16.72</v>
      </c>
      <c r="AB38" s="95">
        <v>2752100</v>
      </c>
      <c r="AC38" s="10">
        <v>16.72</v>
      </c>
      <c r="AD38" s="2">
        <f t="shared" si="0"/>
        <v>0.5400000000000027</v>
      </c>
      <c r="AE38" s="138">
        <f t="shared" si="1"/>
        <v>-1.7048794826572733E-2</v>
      </c>
    </row>
    <row r="39" spans="1:31" x14ac:dyDescent="0.25">
      <c r="B39" s="193"/>
      <c r="C39" s="10"/>
      <c r="D39" s="40"/>
      <c r="E39" s="40"/>
      <c r="F39" s="40"/>
      <c r="G39" s="40"/>
      <c r="H39" s="231"/>
      <c r="I39" s="40"/>
      <c r="W39" s="133">
        <v>42712</v>
      </c>
      <c r="X39" s="10">
        <v>15.84</v>
      </c>
      <c r="Y39" s="10">
        <v>17.28</v>
      </c>
      <c r="Z39" s="10">
        <v>15.75</v>
      </c>
      <c r="AA39" s="10">
        <v>17.010000000000002</v>
      </c>
      <c r="AB39" s="95">
        <v>5686000</v>
      </c>
      <c r="AC39" s="10">
        <v>17.010000000000002</v>
      </c>
      <c r="AD39" s="2">
        <f t="shared" si="0"/>
        <v>1.5300000000000011</v>
      </c>
      <c r="AE39" s="138">
        <f t="shared" si="1"/>
        <v>8.2749840865690594E-2</v>
      </c>
    </row>
    <row r="40" spans="1:31" x14ac:dyDescent="0.25">
      <c r="B40" s="193"/>
      <c r="C40" s="10"/>
      <c r="D40" s="40"/>
      <c r="E40" s="40"/>
      <c r="F40" s="40"/>
      <c r="G40" s="40"/>
      <c r="H40" s="231"/>
      <c r="I40" s="40"/>
      <c r="W40" s="133">
        <v>42711</v>
      </c>
      <c r="X40" s="10">
        <v>15.44</v>
      </c>
      <c r="Y40" s="10">
        <v>15.71</v>
      </c>
      <c r="Z40" s="10">
        <v>15.39</v>
      </c>
      <c r="AA40" s="10">
        <v>15.71</v>
      </c>
      <c r="AB40" s="95">
        <v>2124300</v>
      </c>
      <c r="AC40" s="10">
        <v>15.71</v>
      </c>
      <c r="AD40" s="2">
        <f t="shared" si="0"/>
        <v>0.32000000000000028</v>
      </c>
      <c r="AE40" s="138">
        <f t="shared" si="1"/>
        <v>2.012987012987022E-2</v>
      </c>
    </row>
    <row r="41" spans="1:31" x14ac:dyDescent="0.25">
      <c r="B41" s="193"/>
      <c r="C41" s="10"/>
      <c r="D41" s="40"/>
      <c r="E41" s="40"/>
      <c r="F41" s="40"/>
      <c r="G41" s="40"/>
      <c r="H41" s="231"/>
      <c r="I41" s="40"/>
      <c r="W41" s="133">
        <v>42710</v>
      </c>
      <c r="X41" s="10">
        <v>15.35</v>
      </c>
      <c r="Y41" s="10">
        <v>15.49</v>
      </c>
      <c r="Z41" s="10">
        <v>15.21</v>
      </c>
      <c r="AA41" s="10">
        <v>15.4</v>
      </c>
      <c r="AB41" s="95">
        <v>1654300</v>
      </c>
      <c r="AC41" s="10">
        <v>15.4</v>
      </c>
      <c r="AD41" s="2">
        <f t="shared" si="0"/>
        <v>0.27999999999999936</v>
      </c>
      <c r="AE41" s="138">
        <f t="shared" si="1"/>
        <v>7.1942446043167241E-3</v>
      </c>
    </row>
    <row r="42" spans="1:31" ht="20.25" thickBot="1" x14ac:dyDescent="0.35">
      <c r="B42" s="193"/>
      <c r="C42" s="10"/>
      <c r="D42" s="40"/>
      <c r="E42" s="40"/>
      <c r="F42" s="40"/>
      <c r="G42" s="40"/>
      <c r="H42" s="231"/>
      <c r="I42" s="40"/>
      <c r="T42" s="91" t="s">
        <v>113</v>
      </c>
      <c r="W42" s="133">
        <v>42709</v>
      </c>
      <c r="X42" s="10">
        <v>14.88</v>
      </c>
      <c r="Y42" s="10">
        <v>15.49</v>
      </c>
      <c r="Z42" s="10">
        <v>14.87</v>
      </c>
      <c r="AA42" s="10">
        <v>15.29</v>
      </c>
      <c r="AB42" s="95">
        <v>2324000</v>
      </c>
      <c r="AC42" s="10">
        <v>15.29</v>
      </c>
      <c r="AD42" s="2">
        <f t="shared" si="0"/>
        <v>0.62000000000000099</v>
      </c>
      <c r="AE42" s="138">
        <f t="shared" si="1"/>
        <v>2.9629629629629672E-2</v>
      </c>
    </row>
    <row r="43" spans="1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34"/>
      <c r="T43" s="128" t="s">
        <v>98</v>
      </c>
      <c r="U43" s="98">
        <v>18.53</v>
      </c>
      <c r="W43" s="133">
        <v>42706</v>
      </c>
      <c r="X43" s="10">
        <v>14.45</v>
      </c>
      <c r="Y43" s="10">
        <v>15.1</v>
      </c>
      <c r="Z43" s="10">
        <v>14.4</v>
      </c>
      <c r="AA43" s="10">
        <v>14.85</v>
      </c>
      <c r="AB43" s="95">
        <v>2958400</v>
      </c>
      <c r="AC43" s="10">
        <v>14.85</v>
      </c>
      <c r="AD43" s="2">
        <f t="shared" si="0"/>
        <v>0.69999999999999929</v>
      </c>
      <c r="AE43" s="138">
        <f t="shared" si="1"/>
        <v>3.125E-2</v>
      </c>
    </row>
    <row r="44" spans="1:31" ht="20.25" thickBot="1" x14ac:dyDescent="0.35">
      <c r="O44" s="638" t="s">
        <v>78</v>
      </c>
      <c r="P44" s="638"/>
      <c r="T44" s="93" t="s">
        <v>99</v>
      </c>
      <c r="U44" s="88">
        <v>18.46</v>
      </c>
      <c r="W44" s="133">
        <v>42705</v>
      </c>
      <c r="X44" s="10">
        <v>14.94</v>
      </c>
      <c r="Y44" s="10">
        <v>15.13</v>
      </c>
      <c r="Z44" s="10">
        <v>14.34</v>
      </c>
      <c r="AA44" s="10">
        <v>14.4</v>
      </c>
      <c r="AB44" s="95">
        <v>3414000</v>
      </c>
      <c r="AC44" s="10">
        <v>14.4</v>
      </c>
      <c r="AD44" s="2">
        <f t="shared" si="0"/>
        <v>0.79000000000000092</v>
      </c>
      <c r="AE44" s="138">
        <f t="shared" si="1"/>
        <v>-3.0303030303030276E-2</v>
      </c>
    </row>
    <row r="45" spans="1:31" ht="15.75" thickTop="1" x14ac:dyDescent="0.25">
      <c r="L45" t="s">
        <v>213</v>
      </c>
      <c r="M45" s="2">
        <f>M64+K64-F64</f>
        <v>155.90000000000146</v>
      </c>
      <c r="O45" s="83">
        <v>1.1000000000000001</v>
      </c>
      <c r="P45" s="83">
        <f>O45*$Q$4</f>
        <v>20.196000000000002</v>
      </c>
      <c r="Q45" s="2"/>
      <c r="T45" s="93" t="s">
        <v>100</v>
      </c>
      <c r="U45" s="88" t="s">
        <v>129</v>
      </c>
      <c r="W45" s="133">
        <v>42704</v>
      </c>
      <c r="X45" s="10">
        <v>15.39</v>
      </c>
      <c r="Y45" s="10">
        <v>15.49</v>
      </c>
      <c r="Z45" s="10">
        <v>14.75</v>
      </c>
      <c r="AA45" s="10">
        <v>14.85</v>
      </c>
      <c r="AB45" s="95">
        <v>3447000</v>
      </c>
      <c r="AC45" s="10">
        <v>14.85</v>
      </c>
      <c r="AD45" s="2">
        <f t="shared" si="0"/>
        <v>0.74000000000000021</v>
      </c>
      <c r="AE45" s="138">
        <f t="shared" si="1"/>
        <v>-3.2573289902280145E-2</v>
      </c>
    </row>
    <row r="46" spans="1:31" x14ac:dyDescent="0.25">
      <c r="A46" s="387" t="s">
        <v>1</v>
      </c>
      <c r="B46" s="387" t="s">
        <v>2</v>
      </c>
      <c r="C46" s="387" t="s">
        <v>4</v>
      </c>
      <c r="D46" s="389" t="s">
        <v>5</v>
      </c>
      <c r="E46" s="389" t="s">
        <v>94</v>
      </c>
      <c r="F46" s="389" t="s">
        <v>60</v>
      </c>
      <c r="G46" s="387" t="s">
        <v>3</v>
      </c>
      <c r="H46" s="387" t="s">
        <v>6</v>
      </c>
      <c r="I46" s="387" t="s">
        <v>7</v>
      </c>
      <c r="J46" s="387" t="s">
        <v>95</v>
      </c>
      <c r="K46" s="387" t="s">
        <v>61</v>
      </c>
      <c r="L46" s="387" t="s">
        <v>37</v>
      </c>
      <c r="M46" s="387" t="s">
        <v>38</v>
      </c>
      <c r="O46" s="83">
        <v>1.0900000000000001</v>
      </c>
      <c r="P46" s="83">
        <f t="shared" ref="P46:P65" si="5">O46*$Q$4</f>
        <v>20.0124</v>
      </c>
      <c r="Q46" s="2"/>
      <c r="T46" s="93" t="s">
        <v>101</v>
      </c>
      <c r="U46" s="88" t="s">
        <v>129</v>
      </c>
      <c r="W46" s="133">
        <v>42703</v>
      </c>
      <c r="X46" s="10">
        <v>15.82</v>
      </c>
      <c r="Y46" s="10">
        <v>15.89</v>
      </c>
      <c r="Z46" s="10">
        <v>15.32</v>
      </c>
      <c r="AA46" s="10">
        <v>15.35</v>
      </c>
      <c r="AB46" s="95">
        <v>4580900</v>
      </c>
      <c r="AC46" s="10">
        <v>15.35</v>
      </c>
      <c r="AD46" s="2">
        <f t="shared" si="0"/>
        <v>0.57000000000000028</v>
      </c>
      <c r="AE46" s="138">
        <f t="shared" si="1"/>
        <v>-2.4777636594663366E-2</v>
      </c>
    </row>
    <row r="47" spans="1:31" x14ac:dyDescent="0.25">
      <c r="A47" s="390" t="s">
        <v>15</v>
      </c>
      <c r="B47" s="380">
        <v>42153</v>
      </c>
      <c r="C47" s="381">
        <v>1</v>
      </c>
      <c r="D47" s="382">
        <v>26.75</v>
      </c>
      <c r="E47" s="382">
        <v>0</v>
      </c>
      <c r="F47" s="382">
        <f>C47*D47</f>
        <v>26.75</v>
      </c>
      <c r="G47" s="380">
        <v>42226</v>
      </c>
      <c r="H47" s="381">
        <v>170</v>
      </c>
      <c r="I47" s="381">
        <v>22.35</v>
      </c>
      <c r="J47" s="382">
        <v>7.0000000000000007E-2</v>
      </c>
      <c r="K47" s="381">
        <f t="shared" ref="K47:K54" si="6">H47*I47-J47</f>
        <v>3799.4300000000003</v>
      </c>
      <c r="L47" s="381" t="s">
        <v>80</v>
      </c>
      <c r="M47" s="381"/>
      <c r="O47" s="83">
        <v>1.08</v>
      </c>
      <c r="P47" s="83">
        <f t="shared" si="5"/>
        <v>19.828800000000001</v>
      </c>
      <c r="Q47" s="2"/>
      <c r="T47" s="93" t="s">
        <v>102</v>
      </c>
      <c r="U47" s="88">
        <v>19.87</v>
      </c>
      <c r="W47" s="133">
        <v>42702</v>
      </c>
      <c r="X47" s="10">
        <v>16</v>
      </c>
      <c r="Y47" s="10">
        <v>16.09</v>
      </c>
      <c r="Z47" s="10">
        <v>15.69</v>
      </c>
      <c r="AA47" s="10">
        <v>15.74</v>
      </c>
      <c r="AB47" s="95">
        <v>1932000</v>
      </c>
      <c r="AC47" s="10">
        <v>15.74</v>
      </c>
      <c r="AD47" s="2">
        <f t="shared" si="0"/>
        <v>0.40000000000000036</v>
      </c>
      <c r="AE47" s="138">
        <f t="shared" si="1"/>
        <v>-1.7478152309612915E-2</v>
      </c>
    </row>
    <row r="48" spans="1:31" x14ac:dyDescent="0.25">
      <c r="A48" s="391" t="s">
        <v>71</v>
      </c>
      <c r="B48" s="380">
        <v>42173</v>
      </c>
      <c r="C48" s="381">
        <v>19</v>
      </c>
      <c r="D48" s="382">
        <v>24.84</v>
      </c>
      <c r="E48" s="382">
        <v>0</v>
      </c>
      <c r="F48" s="382">
        <f t="shared" ref="F48:F61" si="7">C48*D48</f>
        <v>471.96</v>
      </c>
      <c r="G48" s="380">
        <v>42263</v>
      </c>
      <c r="H48" s="381">
        <v>120</v>
      </c>
      <c r="I48" s="381">
        <v>19.28</v>
      </c>
      <c r="J48" s="381">
        <v>0.04</v>
      </c>
      <c r="K48" s="381">
        <f t="shared" si="6"/>
        <v>2313.5600000000004</v>
      </c>
      <c r="L48" s="381"/>
      <c r="M48" s="381"/>
      <c r="O48" s="83">
        <v>1.07</v>
      </c>
      <c r="P48" s="83">
        <f t="shared" si="5"/>
        <v>19.645199999999999</v>
      </c>
      <c r="Q48" s="2"/>
      <c r="T48" s="93" t="s">
        <v>103</v>
      </c>
      <c r="U48" s="88">
        <v>1.3045800000000001</v>
      </c>
      <c r="W48" s="133">
        <v>42699</v>
      </c>
      <c r="X48" s="10">
        <v>16.52</v>
      </c>
      <c r="Y48" s="10">
        <v>16.54</v>
      </c>
      <c r="Z48" s="10">
        <v>15.94</v>
      </c>
      <c r="AA48" s="10">
        <v>16.02</v>
      </c>
      <c r="AB48" s="95">
        <v>1080300</v>
      </c>
      <c r="AC48" s="10">
        <v>16.02</v>
      </c>
      <c r="AD48" s="2">
        <f t="shared" si="0"/>
        <v>0.59999999999999964</v>
      </c>
      <c r="AE48" s="138">
        <f t="shared" si="1"/>
        <v>-2.0183486238532167E-2</v>
      </c>
    </row>
    <row r="49" spans="1:31" x14ac:dyDescent="0.25">
      <c r="A49" s="381"/>
      <c r="B49" s="380">
        <v>42184</v>
      </c>
      <c r="C49" s="381">
        <v>10</v>
      </c>
      <c r="D49" s="382">
        <v>24.33</v>
      </c>
      <c r="E49" s="382">
        <v>0</v>
      </c>
      <c r="F49" s="382">
        <f t="shared" si="7"/>
        <v>243.29999999999998</v>
      </c>
      <c r="G49" s="380">
        <v>42284</v>
      </c>
      <c r="H49" s="381">
        <v>40</v>
      </c>
      <c r="I49" s="381">
        <v>20.45</v>
      </c>
      <c r="J49" s="381">
        <v>0.02</v>
      </c>
      <c r="K49" s="381">
        <f t="shared" si="6"/>
        <v>817.98</v>
      </c>
      <c r="L49" s="381"/>
      <c r="M49" s="381"/>
      <c r="O49" s="83">
        <v>1.06</v>
      </c>
      <c r="P49" s="83">
        <f t="shared" si="5"/>
        <v>19.461600000000001</v>
      </c>
      <c r="Q49" s="2"/>
      <c r="T49" s="93" t="s">
        <v>104</v>
      </c>
      <c r="U49" s="88" t="s">
        <v>332</v>
      </c>
      <c r="W49" s="133">
        <v>42697</v>
      </c>
      <c r="X49" s="10">
        <v>16.3</v>
      </c>
      <c r="Y49" s="10">
        <v>16.579999999999998</v>
      </c>
      <c r="Z49" s="10">
        <v>16.149999999999999</v>
      </c>
      <c r="AA49" s="10">
        <v>16.350000000000001</v>
      </c>
      <c r="AB49" s="95">
        <v>2245800</v>
      </c>
      <c r="AC49" s="10">
        <v>16.350000000000001</v>
      </c>
      <c r="AD49" s="2">
        <f t="shared" si="0"/>
        <v>0.42999999999999972</v>
      </c>
      <c r="AE49" s="138">
        <f t="shared" si="1"/>
        <v>-2.1543985637342833E-2</v>
      </c>
    </row>
    <row r="50" spans="1:31" x14ac:dyDescent="0.25">
      <c r="A50" s="381"/>
      <c r="B50" s="380">
        <v>42185</v>
      </c>
      <c r="C50" s="381">
        <v>5</v>
      </c>
      <c r="D50" s="382">
        <v>23.82</v>
      </c>
      <c r="E50" s="382">
        <v>0</v>
      </c>
      <c r="F50" s="382">
        <f t="shared" si="7"/>
        <v>119.1</v>
      </c>
      <c r="G50" s="380">
        <v>42285</v>
      </c>
      <c r="H50" s="381">
        <v>80</v>
      </c>
      <c r="I50" s="382">
        <v>21.14</v>
      </c>
      <c r="J50" s="382">
        <v>0.03</v>
      </c>
      <c r="K50" s="381">
        <f t="shared" si="6"/>
        <v>1691.17</v>
      </c>
      <c r="L50" s="381"/>
      <c r="M50" s="381"/>
      <c r="O50" s="83">
        <v>1.05</v>
      </c>
      <c r="P50" s="83">
        <f t="shared" si="5"/>
        <v>19.277999999999999</v>
      </c>
      <c r="Q50" s="2"/>
      <c r="T50" s="93"/>
      <c r="U50" s="88"/>
      <c r="W50" s="133">
        <v>42696</v>
      </c>
      <c r="X50" s="10">
        <v>16.05</v>
      </c>
      <c r="Y50" s="10">
        <v>16.73</v>
      </c>
      <c r="Z50" s="10">
        <v>15.94</v>
      </c>
      <c r="AA50" s="10">
        <v>16.71</v>
      </c>
      <c r="AB50" s="95">
        <v>2671000</v>
      </c>
      <c r="AC50" s="10">
        <v>16.71</v>
      </c>
      <c r="AD50" s="2">
        <f t="shared" si="0"/>
        <v>0.79000000000000092</v>
      </c>
      <c r="AE50" s="138">
        <f t="shared" si="1"/>
        <v>2.5782688766114337E-2</v>
      </c>
    </row>
    <row r="51" spans="1:31" x14ac:dyDescent="0.25">
      <c r="A51" s="381"/>
      <c r="B51" s="380">
        <v>42185</v>
      </c>
      <c r="C51" s="381">
        <v>15</v>
      </c>
      <c r="D51" s="382">
        <v>23.71</v>
      </c>
      <c r="E51" s="382">
        <v>0</v>
      </c>
      <c r="F51" s="382">
        <f t="shared" si="7"/>
        <v>355.65000000000003</v>
      </c>
      <c r="G51" s="380">
        <v>42010</v>
      </c>
      <c r="H51" s="381">
        <v>60</v>
      </c>
      <c r="I51" s="381">
        <v>17.760000000000002</v>
      </c>
      <c r="J51" s="381">
        <v>0.02</v>
      </c>
      <c r="K51" s="381">
        <f t="shared" si="6"/>
        <v>1065.5800000000002</v>
      </c>
      <c r="L51" s="381"/>
      <c r="M51" s="381"/>
      <c r="O51" s="83">
        <v>1.04</v>
      </c>
      <c r="P51" s="83">
        <f t="shared" si="5"/>
        <v>19.0944</v>
      </c>
      <c r="Q51" s="2"/>
      <c r="T51" s="93" t="s">
        <v>105</v>
      </c>
      <c r="U51" s="88" t="s">
        <v>624</v>
      </c>
      <c r="W51" s="133">
        <v>42695</v>
      </c>
      <c r="X51" s="10">
        <v>16.399999999999999</v>
      </c>
      <c r="Y51" s="10">
        <v>16.55</v>
      </c>
      <c r="Z51" s="10">
        <v>16.22</v>
      </c>
      <c r="AA51" s="10">
        <v>16.29</v>
      </c>
      <c r="AB51" s="95">
        <v>2564700</v>
      </c>
      <c r="AC51" s="10">
        <v>16.29</v>
      </c>
      <c r="AD51" s="2">
        <f t="shared" si="0"/>
        <v>0.33000000000000185</v>
      </c>
      <c r="AE51" s="138">
        <f t="shared" si="1"/>
        <v>-6.1012812690666163E-3</v>
      </c>
    </row>
    <row r="52" spans="1:31" x14ac:dyDescent="0.25">
      <c r="A52" s="381"/>
      <c r="B52" s="380">
        <v>42185</v>
      </c>
      <c r="C52" s="381">
        <v>30</v>
      </c>
      <c r="D52" s="382">
        <v>23.65</v>
      </c>
      <c r="E52" s="382">
        <v>0</v>
      </c>
      <c r="F52" s="382">
        <f t="shared" si="7"/>
        <v>709.5</v>
      </c>
      <c r="G52" s="380">
        <v>42398</v>
      </c>
      <c r="H52" s="381">
        <v>60</v>
      </c>
      <c r="I52" s="381">
        <v>17.559999999999999</v>
      </c>
      <c r="J52" s="381">
        <v>0.02</v>
      </c>
      <c r="K52" s="381">
        <f t="shared" si="6"/>
        <v>1053.58</v>
      </c>
      <c r="L52" s="381"/>
      <c r="M52" s="381"/>
      <c r="O52" s="83">
        <v>1.03</v>
      </c>
      <c r="P52" s="83">
        <f t="shared" si="5"/>
        <v>18.910799999999998</v>
      </c>
      <c r="Q52" s="2"/>
      <c r="T52" s="93" t="s">
        <v>106</v>
      </c>
      <c r="U52" s="88" t="s">
        <v>372</v>
      </c>
      <c r="W52" s="133">
        <v>42692</v>
      </c>
      <c r="X52" s="10">
        <v>16.91</v>
      </c>
      <c r="Y52" s="10">
        <v>16.96</v>
      </c>
      <c r="Z52" s="10">
        <v>16.350000000000001</v>
      </c>
      <c r="AA52" s="10">
        <v>16.39</v>
      </c>
      <c r="AB52" s="95">
        <v>3246400</v>
      </c>
      <c r="AC52" s="10">
        <v>16.39</v>
      </c>
      <c r="AD52" s="2">
        <f t="shared" si="0"/>
        <v>0.60999999999999943</v>
      </c>
      <c r="AE52" s="138">
        <f t="shared" si="1"/>
        <v>-3.4177961107837218E-2</v>
      </c>
    </row>
    <row r="53" spans="1:31" x14ac:dyDescent="0.25">
      <c r="A53" s="381"/>
      <c r="B53" s="380">
        <v>42185</v>
      </c>
      <c r="C53" s="381">
        <v>40</v>
      </c>
      <c r="D53" s="382">
        <v>23.2</v>
      </c>
      <c r="E53" s="382">
        <v>0</v>
      </c>
      <c r="F53" s="382">
        <f t="shared" si="7"/>
        <v>928</v>
      </c>
      <c r="G53" s="380">
        <v>42416</v>
      </c>
      <c r="H53" s="381">
        <v>60</v>
      </c>
      <c r="I53" s="381">
        <v>16.82</v>
      </c>
      <c r="J53" s="381">
        <v>0.02</v>
      </c>
      <c r="K53" s="381">
        <f t="shared" si="6"/>
        <v>1009.1800000000001</v>
      </c>
      <c r="L53" s="381"/>
      <c r="M53" s="381"/>
      <c r="O53" s="83">
        <v>1.02</v>
      </c>
      <c r="P53" s="83">
        <f t="shared" si="5"/>
        <v>18.7272</v>
      </c>
      <c r="Q53" s="2"/>
      <c r="T53" s="93" t="s">
        <v>107</v>
      </c>
      <c r="U53" s="90">
        <v>3107582</v>
      </c>
      <c r="W53" s="133">
        <v>42691</v>
      </c>
      <c r="X53" s="10">
        <v>17.309999999999999</v>
      </c>
      <c r="Y53" s="10">
        <v>17.45</v>
      </c>
      <c r="Z53" s="10">
        <v>16.809999999999999</v>
      </c>
      <c r="AA53" s="10">
        <v>16.97</v>
      </c>
      <c r="AB53" s="95">
        <v>3535300</v>
      </c>
      <c r="AC53" s="10">
        <v>16.97</v>
      </c>
      <c r="AD53" s="2">
        <f t="shared" si="0"/>
        <v>0.64000000000000057</v>
      </c>
      <c r="AE53" s="138">
        <f t="shared" si="1"/>
        <v>-1.5089959373186357E-2</v>
      </c>
    </row>
    <row r="54" spans="1:31" x14ac:dyDescent="0.25">
      <c r="A54" s="381"/>
      <c r="B54" s="380">
        <v>42185</v>
      </c>
      <c r="C54" s="381">
        <v>50</v>
      </c>
      <c r="D54" s="382">
        <v>22.94</v>
      </c>
      <c r="E54" s="382">
        <v>0</v>
      </c>
      <c r="F54" s="382">
        <f t="shared" si="7"/>
        <v>1147</v>
      </c>
      <c r="G54" s="380">
        <v>42423</v>
      </c>
      <c r="H54" s="381">
        <v>60</v>
      </c>
      <c r="I54" s="381">
        <v>17.84</v>
      </c>
      <c r="J54" s="381">
        <v>0.02</v>
      </c>
      <c r="K54" s="381">
        <f t="shared" si="6"/>
        <v>1070.3800000000001</v>
      </c>
      <c r="L54" s="381"/>
      <c r="M54" s="381"/>
      <c r="O54" s="83">
        <v>1.01</v>
      </c>
      <c r="P54" s="83">
        <f t="shared" si="5"/>
        <v>18.543599999999998</v>
      </c>
      <c r="Q54" s="2"/>
      <c r="T54" s="93" t="s">
        <v>110</v>
      </c>
      <c r="U54" s="90">
        <v>3930280</v>
      </c>
      <c r="W54" s="133">
        <v>42690</v>
      </c>
      <c r="X54" s="10">
        <v>17.350000000000001</v>
      </c>
      <c r="Y54" s="10">
        <v>17.440000000000001</v>
      </c>
      <c r="Z54" s="10">
        <v>17.2</v>
      </c>
      <c r="AA54" s="10">
        <v>17.23</v>
      </c>
      <c r="AB54" s="95">
        <v>1062900</v>
      </c>
      <c r="AC54" s="10">
        <v>17.23</v>
      </c>
      <c r="AD54" s="2">
        <f t="shared" si="0"/>
        <v>0.24000000000000199</v>
      </c>
      <c r="AE54" s="138">
        <f t="shared" si="1"/>
        <v>-9.7701149425286626E-3</v>
      </c>
    </row>
    <row r="55" spans="1:31" x14ac:dyDescent="0.25">
      <c r="A55" s="381"/>
      <c r="B55" s="380">
        <v>42209</v>
      </c>
      <c r="C55" s="381">
        <v>50</v>
      </c>
      <c r="D55" s="382">
        <v>19.75</v>
      </c>
      <c r="E55" s="382">
        <v>0</v>
      </c>
      <c r="F55" s="382">
        <f t="shared" si="7"/>
        <v>987.5</v>
      </c>
      <c r="G55" s="381"/>
      <c r="H55" s="381"/>
      <c r="I55" s="381"/>
      <c r="J55" s="381"/>
      <c r="K55" s="381"/>
      <c r="L55" s="381"/>
      <c r="M55" s="381"/>
      <c r="O55" s="83">
        <v>1</v>
      </c>
      <c r="P55" s="83">
        <f t="shared" si="5"/>
        <v>18.36</v>
      </c>
      <c r="Q55" s="2"/>
      <c r="T55" s="93" t="s">
        <v>108</v>
      </c>
      <c r="U55" s="88" t="s">
        <v>625</v>
      </c>
      <c r="W55" s="133">
        <v>42689</v>
      </c>
      <c r="X55" s="10">
        <v>17.829999999999998</v>
      </c>
      <c r="Y55" s="10">
        <v>17.93</v>
      </c>
      <c r="Z55" s="10">
        <v>17.07</v>
      </c>
      <c r="AA55" s="10">
        <v>17.399999999999999</v>
      </c>
      <c r="AB55" s="95">
        <v>2279300</v>
      </c>
      <c r="AC55" s="10">
        <v>17.399999999999999</v>
      </c>
      <c r="AD55" s="2">
        <f t="shared" si="0"/>
        <v>0.85999999999999943</v>
      </c>
      <c r="AE55" s="138">
        <f t="shared" si="1"/>
        <v>-2.9559397657557218E-2</v>
      </c>
    </row>
    <row r="56" spans="1:31" x14ac:dyDescent="0.25">
      <c r="A56" s="381"/>
      <c r="B56" s="380">
        <v>42212</v>
      </c>
      <c r="C56" s="381">
        <v>30</v>
      </c>
      <c r="D56" s="382">
        <v>19.2</v>
      </c>
      <c r="E56" s="382">
        <v>0</v>
      </c>
      <c r="F56" s="382">
        <f t="shared" si="7"/>
        <v>576</v>
      </c>
      <c r="G56" s="381"/>
      <c r="H56" s="381"/>
      <c r="I56" s="381"/>
      <c r="J56" s="381"/>
      <c r="K56" s="381"/>
      <c r="L56" s="381"/>
      <c r="M56" s="381"/>
      <c r="O56" s="83">
        <v>0.99</v>
      </c>
      <c r="P56" s="83">
        <f t="shared" si="5"/>
        <v>18.176400000000001</v>
      </c>
      <c r="Q56" s="2"/>
      <c r="T56" s="93" t="s">
        <v>111</v>
      </c>
      <c r="U56" s="88">
        <v>18.23</v>
      </c>
      <c r="W56" s="133">
        <v>42688</v>
      </c>
      <c r="X56" s="10">
        <v>17.170000000000002</v>
      </c>
      <c r="Y56" s="10">
        <v>18.34</v>
      </c>
      <c r="Z56" s="10">
        <v>16.899999999999999</v>
      </c>
      <c r="AA56" s="10">
        <v>17.93</v>
      </c>
      <c r="AB56" s="95">
        <v>8302200</v>
      </c>
      <c r="AC56" s="10">
        <v>17.93</v>
      </c>
      <c r="AD56" s="2">
        <f t="shared" si="0"/>
        <v>1.4400000000000013</v>
      </c>
      <c r="AE56" s="138">
        <f t="shared" si="1"/>
        <v>7.8820697954271823E-2</v>
      </c>
    </row>
    <row r="57" spans="1:31" x14ac:dyDescent="0.25">
      <c r="A57" s="381"/>
      <c r="B57" s="380">
        <v>42240</v>
      </c>
      <c r="C57" s="381">
        <v>40</v>
      </c>
      <c r="D57" s="382">
        <v>19.93</v>
      </c>
      <c r="E57" s="382">
        <v>0</v>
      </c>
      <c r="F57" s="382">
        <f t="shared" si="7"/>
        <v>797.2</v>
      </c>
      <c r="G57" s="381"/>
      <c r="H57" s="381"/>
      <c r="I57" s="381"/>
      <c r="J57" s="381"/>
      <c r="K57" s="381"/>
      <c r="L57" s="381"/>
      <c r="M57" s="381"/>
      <c r="O57" s="83">
        <v>0.98</v>
      </c>
      <c r="P57" s="83">
        <f t="shared" si="5"/>
        <v>17.992799999999999</v>
      </c>
      <c r="Q57" s="2"/>
      <c r="T57" s="93" t="s">
        <v>112</v>
      </c>
      <c r="U57" s="88">
        <v>1</v>
      </c>
      <c r="W57" s="133">
        <v>42685</v>
      </c>
      <c r="X57" s="10">
        <v>16.48</v>
      </c>
      <c r="Y57" s="10">
        <v>16.73</v>
      </c>
      <c r="Z57" s="10">
        <v>16.32</v>
      </c>
      <c r="AA57" s="10">
        <v>16.62</v>
      </c>
      <c r="AB57" s="95">
        <v>4147000</v>
      </c>
      <c r="AC57" s="10">
        <v>16.62</v>
      </c>
      <c r="AD57" s="2">
        <f t="shared" si="0"/>
        <v>0.41000000000000014</v>
      </c>
      <c r="AE57" s="138">
        <f t="shared" si="1"/>
        <v>4.229607250755274E-3</v>
      </c>
    </row>
    <row r="58" spans="1:31" x14ac:dyDescent="0.25">
      <c r="A58" s="381"/>
      <c r="B58" s="380">
        <v>42261</v>
      </c>
      <c r="C58" s="381">
        <v>120</v>
      </c>
      <c r="D58" s="382">
        <v>18.7</v>
      </c>
      <c r="E58" s="382">
        <v>0</v>
      </c>
      <c r="F58" s="382">
        <f t="shared" si="7"/>
        <v>2244</v>
      </c>
      <c r="G58" s="381"/>
      <c r="H58" s="381"/>
      <c r="I58" s="381"/>
      <c r="J58" s="381"/>
      <c r="K58" s="381"/>
      <c r="L58" s="381"/>
      <c r="M58" s="381"/>
      <c r="O58" s="83">
        <v>0.97</v>
      </c>
      <c r="P58" s="83">
        <f t="shared" si="5"/>
        <v>17.809200000000001</v>
      </c>
      <c r="T58" s="93" t="s">
        <v>109</v>
      </c>
      <c r="U58" s="88" t="s">
        <v>123</v>
      </c>
      <c r="W58" s="133">
        <v>42684</v>
      </c>
      <c r="X58" s="10">
        <v>16.36</v>
      </c>
      <c r="Y58" s="10">
        <v>17</v>
      </c>
      <c r="Z58" s="10">
        <v>16.09</v>
      </c>
      <c r="AA58" s="10">
        <v>16.55</v>
      </c>
      <c r="AB58" s="95">
        <v>3068200</v>
      </c>
      <c r="AC58" s="10">
        <v>16.55</v>
      </c>
      <c r="AD58" s="2">
        <f t="shared" si="0"/>
        <v>0.91000000000000014</v>
      </c>
      <c r="AE58" s="138">
        <f t="shared" si="1"/>
        <v>3.2439176543979986E-2</v>
      </c>
    </row>
    <row r="59" spans="1:31" x14ac:dyDescent="0.25">
      <c r="A59" s="381"/>
      <c r="B59" s="380">
        <v>42349</v>
      </c>
      <c r="C59" s="381">
        <v>60</v>
      </c>
      <c r="D59" s="382">
        <v>18.04</v>
      </c>
      <c r="E59" s="382">
        <v>0</v>
      </c>
      <c r="F59" s="382">
        <f t="shared" si="7"/>
        <v>1082.3999999999999</v>
      </c>
      <c r="G59" s="381"/>
      <c r="H59" s="381"/>
      <c r="I59" s="381"/>
      <c r="J59" s="381"/>
      <c r="K59" s="381"/>
      <c r="L59" s="381"/>
      <c r="M59" s="381"/>
      <c r="O59" s="83">
        <v>0.96</v>
      </c>
      <c r="P59" s="83">
        <f t="shared" si="5"/>
        <v>17.625599999999999</v>
      </c>
      <c r="W59" s="133">
        <v>42683</v>
      </c>
      <c r="X59" s="10">
        <v>15.36</v>
      </c>
      <c r="Y59" s="10">
        <v>16.12</v>
      </c>
      <c r="Z59" s="10">
        <v>15.03</v>
      </c>
      <c r="AA59" s="10">
        <v>16.03</v>
      </c>
      <c r="AB59" s="95">
        <v>4814400</v>
      </c>
      <c r="AC59" s="10">
        <v>16.03</v>
      </c>
      <c r="AD59" s="2">
        <f t="shared" si="0"/>
        <v>1.0900000000000016</v>
      </c>
      <c r="AE59" s="138">
        <f t="shared" si="1"/>
        <v>2.1019108280254883E-2</v>
      </c>
    </row>
    <row r="60" spans="1:31" x14ac:dyDescent="0.25">
      <c r="A60" s="381"/>
      <c r="B60" s="380">
        <v>42362</v>
      </c>
      <c r="C60" s="381">
        <v>120</v>
      </c>
      <c r="D60" s="382">
        <v>17.079999999999998</v>
      </c>
      <c r="E60" s="382">
        <v>0</v>
      </c>
      <c r="F60" s="382">
        <f t="shared" si="7"/>
        <v>2049.6</v>
      </c>
      <c r="G60" s="381"/>
      <c r="H60" s="381"/>
      <c r="I60" s="381"/>
      <c r="J60" s="381"/>
      <c r="K60" s="381"/>
      <c r="L60" s="381"/>
      <c r="M60" s="381"/>
      <c r="O60" s="83">
        <v>0.95</v>
      </c>
      <c r="P60" s="83">
        <f t="shared" si="5"/>
        <v>17.442</v>
      </c>
      <c r="W60" s="133">
        <v>42682</v>
      </c>
      <c r="X60" s="10">
        <v>15.9</v>
      </c>
      <c r="Y60" s="10">
        <v>15.9</v>
      </c>
      <c r="Z60" s="10">
        <v>15.38</v>
      </c>
      <c r="AA60" s="10">
        <v>15.7</v>
      </c>
      <c r="AB60" s="95">
        <v>2976700</v>
      </c>
      <c r="AC60" s="10">
        <v>15.7</v>
      </c>
      <c r="AD60" s="2">
        <f t="shared" si="0"/>
        <v>0.51999999999999957</v>
      </c>
      <c r="AE60" s="138">
        <f t="shared" si="1"/>
        <v>-1.3819095477387022E-2</v>
      </c>
    </row>
    <row r="61" spans="1:31" x14ac:dyDescent="0.25">
      <c r="A61" s="381"/>
      <c r="B61" s="380">
        <v>42409</v>
      </c>
      <c r="C61" s="381">
        <v>60</v>
      </c>
      <c r="D61" s="382">
        <v>15.45</v>
      </c>
      <c r="E61" s="382">
        <v>0</v>
      </c>
      <c r="F61" s="382">
        <f t="shared" si="7"/>
        <v>927</v>
      </c>
      <c r="G61" s="381"/>
      <c r="H61" s="381"/>
      <c r="I61" s="381"/>
      <c r="J61" s="381"/>
      <c r="K61" s="381"/>
      <c r="L61" s="381"/>
      <c r="M61" s="381"/>
      <c r="O61" s="83">
        <v>0.94</v>
      </c>
      <c r="P61" s="83">
        <f t="shared" si="5"/>
        <v>17.258399999999998</v>
      </c>
      <c r="W61" s="133">
        <v>42681</v>
      </c>
      <c r="X61" s="10">
        <v>15.88</v>
      </c>
      <c r="Y61" s="10">
        <v>16.190000000000001</v>
      </c>
      <c r="Z61" s="10">
        <v>15.74</v>
      </c>
      <c r="AA61" s="10">
        <v>15.92</v>
      </c>
      <c r="AB61" s="95">
        <v>3187300</v>
      </c>
      <c r="AC61" s="10">
        <v>15.92</v>
      </c>
      <c r="AD61" s="2">
        <f t="shared" si="0"/>
        <v>0.45000000000000107</v>
      </c>
      <c r="AE61" s="138">
        <f t="shared" si="1"/>
        <v>2.2479126525369209E-2</v>
      </c>
    </row>
    <row r="62" spans="1:31" x14ac:dyDescent="0.25">
      <c r="A62" s="381"/>
      <c r="B62" s="381"/>
      <c r="C62" s="381"/>
      <c r="D62" s="382"/>
      <c r="E62" s="382"/>
      <c r="F62" s="382"/>
      <c r="G62" s="381"/>
      <c r="H62" s="381"/>
      <c r="I62" s="381"/>
      <c r="J62" s="381"/>
      <c r="K62" s="381"/>
      <c r="L62" s="381"/>
      <c r="M62" s="381"/>
      <c r="O62" s="83">
        <v>0.93</v>
      </c>
      <c r="P62" s="83">
        <f t="shared" si="5"/>
        <v>17.0748</v>
      </c>
      <c r="W62" s="133">
        <v>42678</v>
      </c>
      <c r="X62" s="10">
        <v>15.02</v>
      </c>
      <c r="Y62" s="10">
        <v>16.16</v>
      </c>
      <c r="Z62" s="10">
        <v>15</v>
      </c>
      <c r="AA62" s="10">
        <v>15.57</v>
      </c>
      <c r="AB62" s="95">
        <v>4563600</v>
      </c>
      <c r="AC62" s="10">
        <v>15.57</v>
      </c>
      <c r="AD62" s="2">
        <f t="shared" si="0"/>
        <v>1.1600000000000001</v>
      </c>
      <c r="AE62" s="138">
        <f t="shared" si="1"/>
        <v>2.7722772277227747E-2</v>
      </c>
    </row>
    <row r="63" spans="1:31" x14ac:dyDescent="0.25">
      <c r="A63" s="381"/>
      <c r="B63" s="381"/>
      <c r="C63" s="381"/>
      <c r="D63" s="382"/>
      <c r="E63" s="382"/>
      <c r="F63" s="382"/>
      <c r="G63" s="381"/>
      <c r="H63" s="381"/>
      <c r="I63" s="381"/>
      <c r="J63" s="381"/>
      <c r="K63" s="381"/>
      <c r="L63" s="381"/>
      <c r="M63" s="381"/>
      <c r="O63" s="83">
        <v>0.92</v>
      </c>
      <c r="P63" s="83">
        <f t="shared" si="5"/>
        <v>16.891200000000001</v>
      </c>
      <c r="W63" s="133">
        <v>42677</v>
      </c>
      <c r="X63" s="10">
        <v>14.71</v>
      </c>
      <c r="Y63" s="10">
        <v>15.24</v>
      </c>
      <c r="Z63" s="10">
        <v>14.26</v>
      </c>
      <c r="AA63" s="10">
        <v>15.15</v>
      </c>
      <c r="AB63" s="95">
        <v>6556200</v>
      </c>
      <c r="AC63" s="10">
        <v>15.15</v>
      </c>
      <c r="AD63" s="2">
        <f t="shared" si="0"/>
        <v>0.98000000000000043</v>
      </c>
      <c r="AE63" s="138">
        <f t="shared" si="1"/>
        <v>3.2719836400818103E-2</v>
      </c>
    </row>
    <row r="64" spans="1:31" x14ac:dyDescent="0.25">
      <c r="A64" s="22" t="s">
        <v>81</v>
      </c>
      <c r="B64" s="12"/>
      <c r="C64" s="12">
        <f>SUM(C47:C61)</f>
        <v>650</v>
      </c>
      <c r="D64" s="13"/>
      <c r="E64" s="13"/>
      <c r="F64" s="13">
        <f>SUM(F47:F61)</f>
        <v>12664.96</v>
      </c>
      <c r="G64" s="12"/>
      <c r="H64" s="12">
        <f>SUM(H47:H56)</f>
        <v>650</v>
      </c>
      <c r="I64" s="12"/>
      <c r="J64" s="12"/>
      <c r="K64" s="12">
        <f>SUM(K47:K56)</f>
        <v>12820.86</v>
      </c>
      <c r="L64" s="12"/>
      <c r="M64" s="12"/>
      <c r="O64" s="83">
        <v>0.91</v>
      </c>
      <c r="P64" s="83">
        <f t="shared" si="5"/>
        <v>16.707599999999999</v>
      </c>
      <c r="W64" s="133">
        <v>42676</v>
      </c>
      <c r="X64" s="10">
        <v>14.75</v>
      </c>
      <c r="Y64" s="10">
        <v>16.100000000000001</v>
      </c>
      <c r="Z64" s="10">
        <v>14.32</v>
      </c>
      <c r="AA64" s="10">
        <v>14.67</v>
      </c>
      <c r="AB64" s="95">
        <v>11904300</v>
      </c>
      <c r="AC64" s="10">
        <v>14.67</v>
      </c>
      <c r="AD64" s="2">
        <f t="shared" si="0"/>
        <v>1.7800000000000011</v>
      </c>
      <c r="AE64" s="138">
        <f t="shared" si="1"/>
        <v>-0.10165339865278622</v>
      </c>
    </row>
    <row r="65" spans="1:31" x14ac:dyDescent="0.25">
      <c r="A65" s="381"/>
      <c r="B65" s="381"/>
      <c r="C65" s="381"/>
      <c r="D65" s="382"/>
      <c r="E65" s="382"/>
      <c r="F65" s="382"/>
      <c r="G65" s="381"/>
      <c r="H65" s="381"/>
      <c r="I65" s="381"/>
      <c r="J65" s="381"/>
      <c r="K65" s="381"/>
      <c r="L65" s="381"/>
      <c r="M65" s="381"/>
      <c r="O65" s="83">
        <v>0.9</v>
      </c>
      <c r="P65" s="83">
        <f t="shared" si="5"/>
        <v>16.524000000000001</v>
      </c>
      <c r="W65" s="133">
        <v>42675</v>
      </c>
      <c r="X65" s="10">
        <v>16.920000000000002</v>
      </c>
      <c r="Y65" s="10">
        <v>17.28</v>
      </c>
      <c r="Z65" s="10">
        <v>16.07</v>
      </c>
      <c r="AA65" s="10">
        <v>16.329999999999998</v>
      </c>
      <c r="AB65" s="95">
        <v>4818000</v>
      </c>
      <c r="AC65" s="10">
        <v>16.329999999999998</v>
      </c>
      <c r="AD65" s="2">
        <f t="shared" si="0"/>
        <v>1.2100000000000009</v>
      </c>
      <c r="AE65" s="138">
        <f t="shared" si="1"/>
        <v>-2.5074626865671745E-2</v>
      </c>
    </row>
    <row r="66" spans="1:31" x14ac:dyDescent="0.25">
      <c r="O66" s="34"/>
      <c r="W66" s="133">
        <v>42674</v>
      </c>
      <c r="X66" s="10">
        <v>16.27</v>
      </c>
      <c r="Y66" s="10">
        <v>16.87</v>
      </c>
      <c r="Z66" s="10">
        <v>16.059999999999999</v>
      </c>
      <c r="AA66" s="10">
        <v>16.75</v>
      </c>
      <c r="AB66" s="95">
        <v>4636000</v>
      </c>
      <c r="AC66" s="10">
        <v>16.75</v>
      </c>
      <c r="AD66" s="2">
        <f t="shared" si="0"/>
        <v>0.81000000000000227</v>
      </c>
      <c r="AE66" s="138">
        <f t="shared" si="1"/>
        <v>2.6977314530962637E-2</v>
      </c>
    </row>
    <row r="67" spans="1:31" x14ac:dyDescent="0.25">
      <c r="W67" s="133">
        <v>42671</v>
      </c>
      <c r="X67" s="10">
        <v>16.25</v>
      </c>
      <c r="Y67" s="10">
        <v>16.54</v>
      </c>
      <c r="Z67" s="10">
        <v>16.21</v>
      </c>
      <c r="AA67" s="10">
        <v>16.309999999999999</v>
      </c>
      <c r="AB67" s="95">
        <v>2861300</v>
      </c>
      <c r="AC67" s="10">
        <v>16.309999999999999</v>
      </c>
      <c r="AD67" s="2">
        <f>Y67-Z67</f>
        <v>0.32999999999999829</v>
      </c>
      <c r="AE67" s="138" t="e">
        <f>AC67/AC68-1</f>
        <v>#DIV/0!</v>
      </c>
    </row>
    <row r="68" spans="1:31" x14ac:dyDescent="0.25">
      <c r="W68" s="10" t="s">
        <v>121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</sheetData>
  <mergeCells count="1">
    <mergeCell ref="O44:P44"/>
  </mergeCells>
  <conditionalFormatting sqref="O45:O65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{AFC2F75C-5180-4BA3-8468-3853A15827E0}</x14:id>
        </ext>
      </extLst>
    </cfRule>
  </conditionalFormatting>
  <conditionalFormatting sqref="AE1:AE68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7:F28">
    <cfRule type="expression" dxfId="345" priority="27">
      <formula>F27&gt;0</formula>
    </cfRule>
    <cfRule type="expression" dxfId="344" priority="28">
      <formula>F27&lt;0</formula>
    </cfRule>
  </conditionalFormatting>
  <conditionalFormatting sqref="F29:F33">
    <cfRule type="expression" dxfId="343" priority="23">
      <formula>F29&gt;0</formula>
    </cfRule>
    <cfRule type="expression" dxfId="342" priority="24">
      <formula>F29&lt;0</formula>
    </cfRule>
  </conditionalFormatting>
  <conditionalFormatting sqref="F29:F32">
    <cfRule type="expression" dxfId="341" priority="25">
      <formula>F29&gt;0</formula>
    </cfRule>
    <cfRule type="expression" dxfId="340" priority="26">
      <formula>F29&lt;0</formula>
    </cfRule>
  </conditionalFormatting>
  <conditionalFormatting sqref="H27:H33">
    <cfRule type="expression" dxfId="339" priority="21">
      <formula>H27&gt;0</formula>
    </cfRule>
    <cfRule type="expression" dxfId="338" priority="22">
      <formula>H27&lt;0</formula>
    </cfRule>
  </conditionalFormatting>
  <conditionalFormatting sqref="F34">
    <cfRule type="expression" dxfId="337" priority="19">
      <formula>F34&gt;0</formula>
    </cfRule>
    <cfRule type="expression" dxfId="336" priority="20">
      <formula>F34&lt;0</formula>
    </cfRule>
  </conditionalFormatting>
  <conditionalFormatting sqref="H34">
    <cfRule type="expression" dxfId="335" priority="17">
      <formula>H34&gt;0</formula>
    </cfRule>
    <cfRule type="expression" dxfId="334" priority="18">
      <formula>H34&lt;0</formula>
    </cfRule>
  </conditionalFormatting>
  <conditionalFormatting sqref="F36:F43">
    <cfRule type="expression" dxfId="333" priority="15">
      <formula>F36&gt;0</formula>
    </cfRule>
    <cfRule type="expression" dxfId="332" priority="16">
      <formula>F36&lt;0</formula>
    </cfRule>
  </conditionalFormatting>
  <conditionalFormatting sqref="H36:H43">
    <cfRule type="expression" dxfId="331" priority="13">
      <formula>H36&gt;0</formula>
    </cfRule>
    <cfRule type="expression" dxfId="330" priority="14">
      <formula>H36&lt;0</formula>
    </cfRule>
  </conditionalFormatting>
  <conditionalFormatting sqref="F35">
    <cfRule type="expression" dxfId="329" priority="11">
      <formula>F35&gt;0</formula>
    </cfRule>
    <cfRule type="expression" dxfId="328" priority="12">
      <formula>F35&lt;0</formula>
    </cfRule>
  </conditionalFormatting>
  <conditionalFormatting sqref="H35">
    <cfRule type="expression" dxfId="327" priority="9">
      <formula>H35&gt;0</formula>
    </cfRule>
    <cfRule type="expression" dxfId="326" priority="10">
      <formula>H35&lt;0</formula>
    </cfRule>
  </conditionalFormatting>
  <conditionalFormatting sqref="F22:F26">
    <cfRule type="expression" dxfId="325" priority="7">
      <formula>F22&gt;0</formula>
    </cfRule>
    <cfRule type="expression" dxfId="324" priority="8">
      <formula>F22&lt;0</formula>
    </cfRule>
  </conditionalFormatting>
  <conditionalFormatting sqref="H22:H26">
    <cfRule type="expression" dxfId="323" priority="5">
      <formula>H22&gt;0</formula>
    </cfRule>
    <cfRule type="expression" dxfId="322" priority="6">
      <formula>H22&lt;0</formula>
    </cfRule>
  </conditionalFormatting>
  <conditionalFormatting sqref="Q8">
    <cfRule type="expression" dxfId="321" priority="1">
      <formula>Q8&gt;0</formula>
    </cfRule>
    <cfRule type="expression" dxfId="320" priority="2">
      <formula>Q8&lt;0</formula>
    </cfRule>
  </conditionalFormatting>
  <conditionalFormatting sqref="Q7">
    <cfRule type="expression" dxfId="319" priority="3">
      <formula>Q7&gt;0</formula>
    </cfRule>
    <cfRule type="expression" dxfId="318" priority="4">
      <formula>Q7&lt;0</formula>
    </cfRule>
  </conditionalFormatting>
  <hyperlinks>
    <hyperlink ref="A3" location="ACTIVE!A1" display="Back"/>
    <hyperlink ref="A48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FC2F75C-5180-4BA3-8468-3853A15827E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AE15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30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8" max="18" width="10.42578125" bestFit="1" customWidth="1"/>
    <col min="20" max="20" width="18.5703125" customWidth="1"/>
    <col min="21" max="21" width="34.42578125" customWidth="1"/>
    <col min="23" max="23" width="13.85546875" customWidth="1"/>
    <col min="24" max="24" width="8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230</v>
      </c>
      <c r="B2" s="510">
        <v>42755</v>
      </c>
      <c r="C2" s="4">
        <v>100</v>
      </c>
      <c r="D2" s="3">
        <v>33.58</v>
      </c>
      <c r="E2" s="3">
        <v>0</v>
      </c>
      <c r="F2" s="3">
        <f t="shared" ref="F2" si="0">D2*C2+E2</f>
        <v>3358</v>
      </c>
      <c r="G2" s="509"/>
      <c r="H2" s="185"/>
      <c r="I2" s="3"/>
      <c r="J2" s="3"/>
      <c r="K2" s="3"/>
      <c r="L2" s="74"/>
      <c r="M2" s="3"/>
      <c r="O2" s="11" t="s">
        <v>57</v>
      </c>
      <c r="Q2">
        <f>C18-H18</f>
        <v>100</v>
      </c>
      <c r="T2" s="1">
        <v>42568</v>
      </c>
      <c r="U2" t="s">
        <v>252</v>
      </c>
      <c r="W2" s="133">
        <v>42768</v>
      </c>
      <c r="X2" s="10">
        <v>36.409999999999997</v>
      </c>
      <c r="Y2" s="10">
        <v>36.409999999999997</v>
      </c>
      <c r="Z2" s="10">
        <v>35.32</v>
      </c>
      <c r="AA2" s="10">
        <v>35.630000000000003</v>
      </c>
      <c r="AB2" s="95">
        <v>3911000</v>
      </c>
      <c r="AC2" s="10">
        <v>35.630000000000003</v>
      </c>
      <c r="AD2" s="2">
        <f>Y2-Z2</f>
        <v>1.0899999999999963</v>
      </c>
      <c r="AE2" s="138">
        <f>AC2/AC3-1</f>
        <v>-2.7300027300027341E-2</v>
      </c>
    </row>
    <row r="3" spans="1:31" x14ac:dyDescent="0.25">
      <c r="A3" s="23" t="s">
        <v>71</v>
      </c>
      <c r="B3" s="509"/>
      <c r="C3" s="4"/>
      <c r="D3" s="3"/>
      <c r="E3" s="3"/>
      <c r="F3" s="3"/>
      <c r="G3" s="509"/>
      <c r="H3" s="185"/>
      <c r="I3" s="3"/>
      <c r="J3" s="3"/>
      <c r="K3" s="3"/>
      <c r="L3" s="74"/>
      <c r="M3" s="3"/>
      <c r="O3" s="11" t="s">
        <v>58</v>
      </c>
      <c r="Q3" s="230">
        <f>IF(Q2=0, Q4, (F18-K18-M18)/Q2)</f>
        <v>33.58</v>
      </c>
      <c r="T3" s="1" t="s">
        <v>253</v>
      </c>
      <c r="W3" s="133">
        <v>42767</v>
      </c>
      <c r="X3" s="10">
        <v>35.340000000000003</v>
      </c>
      <c r="Y3" s="10">
        <v>36.69</v>
      </c>
      <c r="Z3" s="10">
        <v>35.26</v>
      </c>
      <c r="AA3" s="10">
        <v>36.630000000000003</v>
      </c>
      <c r="AB3" s="95">
        <v>4589400</v>
      </c>
      <c r="AC3" s="10">
        <v>36.630000000000003</v>
      </c>
      <c r="AD3" s="2">
        <f t="shared" ref="AD3:AD66" si="1">Y3-Z3</f>
        <v>1.4299999999999997</v>
      </c>
      <c r="AE3" s="138">
        <f t="shared" ref="AE3:AE66" si="2">AC3/AC4-1</f>
        <v>3.7971096627940071E-2</v>
      </c>
    </row>
    <row r="4" spans="1:31" x14ac:dyDescent="0.25">
      <c r="B4" s="509"/>
      <c r="C4" s="4"/>
      <c r="D4" s="3"/>
      <c r="E4" s="3"/>
      <c r="F4" s="3"/>
      <c r="G4" s="509"/>
      <c r="H4" s="185"/>
      <c r="I4" s="3"/>
      <c r="J4" s="3"/>
      <c r="K4" s="3"/>
      <c r="L4" s="4"/>
      <c r="M4" s="4"/>
      <c r="O4" s="11" t="s">
        <v>66</v>
      </c>
      <c r="Q4" s="55">
        <v>35.68</v>
      </c>
      <c r="R4" s="529">
        <v>1.4E-3</v>
      </c>
      <c r="T4" s="163">
        <v>42633</v>
      </c>
      <c r="U4" s="1" t="s">
        <v>290</v>
      </c>
      <c r="W4" s="133">
        <v>42766</v>
      </c>
      <c r="X4" s="10">
        <v>35.74</v>
      </c>
      <c r="Y4" s="10">
        <v>36.1</v>
      </c>
      <c r="Z4" s="10">
        <v>35.159999999999997</v>
      </c>
      <c r="AA4" s="10">
        <v>35.29</v>
      </c>
      <c r="AB4" s="95">
        <v>4336300</v>
      </c>
      <c r="AC4" s="10">
        <v>35.29</v>
      </c>
      <c r="AD4" s="2">
        <f t="shared" si="1"/>
        <v>0.94000000000000483</v>
      </c>
      <c r="AE4" s="138">
        <f t="shared" si="2"/>
        <v>-2.8256569652445052E-3</v>
      </c>
    </row>
    <row r="5" spans="1:31" x14ac:dyDescent="0.25">
      <c r="B5" s="509"/>
      <c r="C5" s="4"/>
      <c r="D5" s="3"/>
      <c r="E5" s="3"/>
      <c r="F5" s="3"/>
      <c r="G5" s="509"/>
      <c r="H5" s="185"/>
      <c r="I5" s="3"/>
      <c r="J5" s="3"/>
      <c r="K5" s="3"/>
      <c r="L5" s="4"/>
      <c r="M5" s="4"/>
      <c r="O5" s="11" t="s">
        <v>67</v>
      </c>
      <c r="Q5" s="3">
        <f>Q4*Q2</f>
        <v>3568</v>
      </c>
      <c r="T5" t="s">
        <v>378</v>
      </c>
      <c r="W5" s="133">
        <v>42765</v>
      </c>
      <c r="X5" s="10">
        <v>36.28</v>
      </c>
      <c r="Y5" s="10">
        <v>36.28</v>
      </c>
      <c r="Z5" s="10">
        <v>35.119999999999997</v>
      </c>
      <c r="AA5" s="10">
        <v>35.39</v>
      </c>
      <c r="AB5" s="95">
        <v>4153000</v>
      </c>
      <c r="AC5" s="10">
        <v>35.39</v>
      </c>
      <c r="AD5" s="2">
        <f t="shared" si="1"/>
        <v>1.1600000000000037</v>
      </c>
      <c r="AE5" s="138">
        <f t="shared" si="2"/>
        <v>-3.0676526978909768E-2</v>
      </c>
    </row>
    <row r="6" spans="1:31" x14ac:dyDescent="0.25">
      <c r="B6" s="509"/>
      <c r="C6" s="4"/>
      <c r="D6" s="3"/>
      <c r="E6" s="3"/>
      <c r="F6" s="3"/>
      <c r="G6" s="509"/>
      <c r="H6" s="185"/>
      <c r="I6" s="3"/>
      <c r="J6" s="3"/>
      <c r="K6" s="3"/>
      <c r="L6" s="4"/>
      <c r="M6" s="4"/>
      <c r="O6" s="11" t="s">
        <v>64</v>
      </c>
      <c r="Q6" s="2">
        <f>Q3*Q2</f>
        <v>3358</v>
      </c>
      <c r="W6" s="133">
        <v>42762</v>
      </c>
      <c r="X6" s="10">
        <v>36.47</v>
      </c>
      <c r="Y6" s="10">
        <v>36.799999999999997</v>
      </c>
      <c r="Z6" s="10">
        <v>35.79</v>
      </c>
      <c r="AA6" s="10">
        <v>36.51</v>
      </c>
      <c r="AB6" s="95">
        <v>4208800</v>
      </c>
      <c r="AC6" s="10">
        <v>36.51</v>
      </c>
      <c r="AD6" s="2">
        <f t="shared" si="1"/>
        <v>1.009999999999998</v>
      </c>
      <c r="AE6" s="138">
        <f t="shared" si="2"/>
        <v>8.2850041425019949E-3</v>
      </c>
    </row>
    <row r="7" spans="1:31" x14ac:dyDescent="0.25">
      <c r="B7" s="509"/>
      <c r="C7" s="4"/>
      <c r="D7" s="3"/>
      <c r="E7" s="3"/>
      <c r="F7" s="3"/>
      <c r="G7" s="509"/>
      <c r="H7" s="185"/>
      <c r="I7" s="3"/>
      <c r="J7" s="3"/>
      <c r="K7" s="3"/>
      <c r="L7" s="4"/>
      <c r="M7" s="4"/>
      <c r="O7" s="11" t="s">
        <v>181</v>
      </c>
      <c r="Q7" s="2">
        <f>Q10+Q8</f>
        <v>3520.4699999999957</v>
      </c>
      <c r="R7" s="30">
        <v>42786</v>
      </c>
      <c r="W7" s="133">
        <v>42761</v>
      </c>
      <c r="X7" s="10">
        <v>34.81</v>
      </c>
      <c r="Y7" s="10">
        <v>36.479999999999997</v>
      </c>
      <c r="Z7" s="10">
        <v>34.5</v>
      </c>
      <c r="AA7" s="10">
        <v>36.21</v>
      </c>
      <c r="AB7" s="95">
        <v>6050700</v>
      </c>
      <c r="AC7" s="10">
        <v>36.21</v>
      </c>
      <c r="AD7" s="2">
        <f t="shared" si="1"/>
        <v>1.9799999999999969</v>
      </c>
      <c r="AE7" s="138">
        <f t="shared" si="2"/>
        <v>-9.0311986863710336E-3</v>
      </c>
    </row>
    <row r="8" spans="1:31" x14ac:dyDescent="0.25">
      <c r="B8" s="509"/>
      <c r="C8" s="4"/>
      <c r="D8" s="3"/>
      <c r="E8" s="3"/>
      <c r="F8" s="3"/>
      <c r="G8" s="509"/>
      <c r="H8" s="185"/>
      <c r="I8" s="3"/>
      <c r="J8" s="3"/>
      <c r="K8" s="3"/>
      <c r="L8" s="4"/>
      <c r="M8" s="4"/>
      <c r="O8" s="11" t="s">
        <v>184</v>
      </c>
      <c r="P8" s="34"/>
      <c r="Q8" s="2">
        <f>K18+M18-F18+Q2*Q4</f>
        <v>210</v>
      </c>
      <c r="W8" s="133">
        <v>42760</v>
      </c>
      <c r="X8" s="10">
        <v>37.11</v>
      </c>
      <c r="Y8" s="10">
        <v>37.17</v>
      </c>
      <c r="Z8" s="10">
        <v>36.020000000000003</v>
      </c>
      <c r="AA8" s="10">
        <v>36.54</v>
      </c>
      <c r="AB8" s="95">
        <v>4933900</v>
      </c>
      <c r="AC8" s="10">
        <v>36.54</v>
      </c>
      <c r="AD8" s="2">
        <f t="shared" si="1"/>
        <v>1.1499999999999986</v>
      </c>
      <c r="AE8" s="138">
        <f t="shared" si="2"/>
        <v>-8.4124830393487171E-3</v>
      </c>
    </row>
    <row r="9" spans="1:31" x14ac:dyDescent="0.25">
      <c r="B9" s="509"/>
      <c r="C9" s="4"/>
      <c r="D9" s="3"/>
      <c r="E9" s="3"/>
      <c r="F9" s="3"/>
      <c r="G9" s="509"/>
      <c r="H9" s="185"/>
      <c r="I9" s="3"/>
      <c r="J9" s="3"/>
      <c r="K9" s="3"/>
      <c r="L9" s="4"/>
      <c r="M9" s="4"/>
      <c r="O9" s="11" t="s">
        <v>214</v>
      </c>
      <c r="Q9" s="138">
        <f>IF(Q2=0, 0, Q8/Q6)</f>
        <v>6.2537224538415717E-2</v>
      </c>
      <c r="W9" s="133">
        <v>42759</v>
      </c>
      <c r="X9" s="10">
        <v>35.630000000000003</v>
      </c>
      <c r="Y9" s="10">
        <v>37.130000000000003</v>
      </c>
      <c r="Z9" s="10">
        <v>35.56</v>
      </c>
      <c r="AA9" s="10">
        <v>36.85</v>
      </c>
      <c r="AB9" s="95">
        <v>10446800</v>
      </c>
      <c r="AC9" s="10">
        <v>36.85</v>
      </c>
      <c r="AD9" s="2">
        <f t="shared" si="1"/>
        <v>1.5700000000000003</v>
      </c>
      <c r="AE9" s="138">
        <f t="shared" si="2"/>
        <v>4.5390070921985881E-2</v>
      </c>
    </row>
    <row r="10" spans="1:31" x14ac:dyDescent="0.25">
      <c r="B10" s="509"/>
      <c r="C10" s="4"/>
      <c r="D10" s="3"/>
      <c r="E10" s="3"/>
      <c r="F10" s="3"/>
      <c r="G10" s="509"/>
      <c r="H10" s="185"/>
      <c r="I10" s="3"/>
      <c r="J10" s="3"/>
      <c r="K10" s="3"/>
      <c r="L10" s="509"/>
      <c r="M10" s="4"/>
      <c r="O10" s="11" t="s">
        <v>213</v>
      </c>
      <c r="P10" s="34"/>
      <c r="Q10" s="2">
        <f>M113 + M135</f>
        <v>3310.4699999999957</v>
      </c>
      <c r="W10" s="133">
        <v>42758</v>
      </c>
      <c r="X10" s="10">
        <v>34</v>
      </c>
      <c r="Y10" s="10">
        <v>35.29</v>
      </c>
      <c r="Z10" s="10">
        <v>33.92</v>
      </c>
      <c r="AA10" s="10">
        <v>35.25</v>
      </c>
      <c r="AB10" s="95">
        <v>7543800</v>
      </c>
      <c r="AC10" s="10">
        <v>35.25</v>
      </c>
      <c r="AD10" s="2">
        <f t="shared" si="1"/>
        <v>1.3699999999999974</v>
      </c>
      <c r="AE10" s="138">
        <f t="shared" si="2"/>
        <v>3.0701754385964897E-2</v>
      </c>
    </row>
    <row r="11" spans="1:31" x14ac:dyDescent="0.25">
      <c r="B11" s="509"/>
      <c r="C11" s="4"/>
      <c r="D11" s="3"/>
      <c r="E11" s="3"/>
      <c r="F11" s="3"/>
      <c r="G11" s="509"/>
      <c r="H11" s="185"/>
      <c r="I11" s="3"/>
      <c r="J11" s="3"/>
      <c r="K11" s="3"/>
      <c r="L11" s="4"/>
      <c r="M11" s="4"/>
      <c r="O11" s="11" t="s">
        <v>178</v>
      </c>
      <c r="P11" s="34"/>
      <c r="Q11" s="138">
        <f>IF(U58="N/A (N/A)", 0, VALUE(TRIM(CLEAN(MID(U58, FIND("(", U58)+1, 5)))))</f>
        <v>3.4000000000000002E-2</v>
      </c>
      <c r="W11" s="133">
        <v>42755</v>
      </c>
      <c r="X11" s="10">
        <v>33.72</v>
      </c>
      <c r="Y11" s="10">
        <v>34.340000000000003</v>
      </c>
      <c r="Z11" s="10">
        <v>33.04</v>
      </c>
      <c r="AA11" s="10">
        <v>34.200000000000003</v>
      </c>
      <c r="AB11" s="95">
        <v>7708900</v>
      </c>
      <c r="AC11" s="10">
        <v>34.200000000000003</v>
      </c>
      <c r="AD11" s="2">
        <f t="shared" si="1"/>
        <v>1.3000000000000043</v>
      </c>
      <c r="AE11" s="138">
        <f t="shared" si="2"/>
        <v>6.0465116279069919E-2</v>
      </c>
    </row>
    <row r="12" spans="1:31" x14ac:dyDescent="0.25">
      <c r="B12" s="509"/>
      <c r="C12" s="4"/>
      <c r="D12" s="3"/>
      <c r="E12" s="3"/>
      <c r="F12" s="3"/>
      <c r="G12" s="509"/>
      <c r="H12" s="185"/>
      <c r="I12" s="3"/>
      <c r="J12" s="3"/>
      <c r="K12" s="3"/>
      <c r="L12" s="4"/>
      <c r="M12" s="4"/>
      <c r="W12" s="133">
        <v>42754</v>
      </c>
      <c r="X12" s="10">
        <v>32.58</v>
      </c>
      <c r="Y12" s="10">
        <v>32.72</v>
      </c>
      <c r="Z12" s="10">
        <v>31.99</v>
      </c>
      <c r="AA12" s="10">
        <v>32.25</v>
      </c>
      <c r="AB12" s="95">
        <v>5004200</v>
      </c>
      <c r="AC12" s="10">
        <v>32.25</v>
      </c>
      <c r="AD12" s="2">
        <f t="shared" si="1"/>
        <v>0.73000000000000043</v>
      </c>
      <c r="AE12" s="138">
        <f t="shared" si="2"/>
        <v>-2.1658415841584455E-3</v>
      </c>
    </row>
    <row r="13" spans="1:31" x14ac:dyDescent="0.25">
      <c r="B13" s="509"/>
      <c r="C13" s="4"/>
      <c r="D13" s="3"/>
      <c r="E13" s="3"/>
      <c r="F13" s="3"/>
      <c r="G13" s="509"/>
      <c r="H13" s="185"/>
      <c r="I13" s="3"/>
      <c r="J13" s="3"/>
      <c r="K13" s="3"/>
      <c r="L13" s="4"/>
      <c r="M13" s="4"/>
      <c r="W13" s="133">
        <v>42753</v>
      </c>
      <c r="X13" s="10">
        <v>32.89</v>
      </c>
      <c r="Y13" s="10">
        <v>32.92</v>
      </c>
      <c r="Z13" s="10">
        <v>32.29</v>
      </c>
      <c r="AA13" s="10">
        <v>32.32</v>
      </c>
      <c r="AB13" s="95">
        <v>5387200</v>
      </c>
      <c r="AC13" s="10">
        <v>32.32</v>
      </c>
      <c r="AD13" s="2">
        <f t="shared" si="1"/>
        <v>0.63000000000000256</v>
      </c>
      <c r="AE13" s="138">
        <f t="shared" si="2"/>
        <v>-1.7330495591365125E-2</v>
      </c>
    </row>
    <row r="14" spans="1:31" x14ac:dyDescent="0.25">
      <c r="B14" s="509"/>
      <c r="C14" s="4"/>
      <c r="D14" s="3"/>
      <c r="E14" s="3"/>
      <c r="F14" s="3"/>
      <c r="G14" s="509"/>
      <c r="H14" s="185"/>
      <c r="I14" s="3"/>
      <c r="J14" s="3"/>
      <c r="K14" s="3"/>
      <c r="L14" s="4"/>
      <c r="M14" s="4"/>
      <c r="W14" s="133">
        <v>42752</v>
      </c>
      <c r="X14" s="10">
        <v>34.229999999999997</v>
      </c>
      <c r="Y14" s="10">
        <v>34.26</v>
      </c>
      <c r="Z14" s="10">
        <v>32.86</v>
      </c>
      <c r="AA14" s="10">
        <v>32.89</v>
      </c>
      <c r="AB14" s="95">
        <v>4776300</v>
      </c>
      <c r="AC14" s="10">
        <v>32.89</v>
      </c>
      <c r="AD14" s="2">
        <f t="shared" si="1"/>
        <v>1.3999999999999986</v>
      </c>
      <c r="AE14" s="138">
        <f t="shared" si="2"/>
        <v>-3.2077692760447252E-2</v>
      </c>
    </row>
    <row r="15" spans="1:31" x14ac:dyDescent="0.25">
      <c r="B15" s="509"/>
      <c r="C15" s="4"/>
      <c r="D15" s="3"/>
      <c r="E15" s="3"/>
      <c r="F15" s="3"/>
      <c r="G15" s="509"/>
      <c r="H15" s="185"/>
      <c r="I15" s="3"/>
      <c r="J15" s="3"/>
      <c r="K15" s="3"/>
      <c r="L15" s="4"/>
      <c r="M15" s="4"/>
      <c r="W15" s="133">
        <v>42748</v>
      </c>
      <c r="X15" s="10">
        <v>34.369999999999997</v>
      </c>
      <c r="Y15" s="10">
        <v>34.700000000000003</v>
      </c>
      <c r="Z15" s="10">
        <v>33.340000000000003</v>
      </c>
      <c r="AA15" s="10">
        <v>33.979999999999997</v>
      </c>
      <c r="AB15" s="95">
        <v>4132000</v>
      </c>
      <c r="AC15" s="10">
        <v>33.979999999999997</v>
      </c>
      <c r="AD15" s="2">
        <f t="shared" si="1"/>
        <v>1.3599999999999994</v>
      </c>
      <c r="AE15" s="138">
        <f t="shared" si="2"/>
        <v>-1.5357867284845006E-2</v>
      </c>
    </row>
    <row r="16" spans="1:31" x14ac:dyDescent="0.25">
      <c r="G16" s="30"/>
      <c r="H16" s="72"/>
      <c r="W16" s="133">
        <v>42747</v>
      </c>
      <c r="X16" s="10">
        <v>33.93</v>
      </c>
      <c r="Y16" s="10">
        <v>34.57</v>
      </c>
      <c r="Z16" s="10">
        <v>33.409999999999997</v>
      </c>
      <c r="AA16" s="10">
        <v>34.51</v>
      </c>
      <c r="AB16" s="95">
        <v>5890500</v>
      </c>
      <c r="AC16" s="10">
        <v>34.51</v>
      </c>
      <c r="AD16" s="2">
        <f t="shared" si="1"/>
        <v>1.1600000000000037</v>
      </c>
      <c r="AE16" s="138">
        <f t="shared" si="2"/>
        <v>9.3594618309447153E-3</v>
      </c>
    </row>
    <row r="17" spans="1:31" x14ac:dyDescent="0.25">
      <c r="G17" s="30"/>
      <c r="W17" s="133">
        <v>42746</v>
      </c>
      <c r="X17" s="10">
        <v>32.869999999999997</v>
      </c>
      <c r="Y17" s="10">
        <v>34.24</v>
      </c>
      <c r="Z17" s="10">
        <v>32.86</v>
      </c>
      <c r="AA17" s="10">
        <v>34.19</v>
      </c>
      <c r="AB17" s="95">
        <v>6485300</v>
      </c>
      <c r="AC17" s="10">
        <v>34.19</v>
      </c>
      <c r="AD17" s="2">
        <f t="shared" si="1"/>
        <v>1.3800000000000026</v>
      </c>
      <c r="AE17" s="138">
        <f t="shared" si="2"/>
        <v>4.4607393828292041E-2</v>
      </c>
    </row>
    <row r="18" spans="1:31" x14ac:dyDescent="0.25">
      <c r="A18" s="32" t="s">
        <v>81</v>
      </c>
      <c r="B18" s="511"/>
      <c r="C18" s="14">
        <f>SUM(C2:C14)</f>
        <v>100</v>
      </c>
      <c r="D18" s="18"/>
      <c r="E18" s="18"/>
      <c r="F18" s="18">
        <f>SUM(F2:F14)</f>
        <v>3358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0</v>
      </c>
      <c r="W18" s="133">
        <v>42745</v>
      </c>
      <c r="X18" s="10">
        <v>33.409999999999997</v>
      </c>
      <c r="Y18" s="10">
        <v>33.78</v>
      </c>
      <c r="Z18" s="10">
        <v>32.4</v>
      </c>
      <c r="AA18" s="10">
        <v>32.729999999999997</v>
      </c>
      <c r="AB18" s="95">
        <v>6816000</v>
      </c>
      <c r="AC18" s="10">
        <v>32.729999999999997</v>
      </c>
      <c r="AD18" s="2">
        <f t="shared" si="1"/>
        <v>1.3800000000000026</v>
      </c>
      <c r="AE18" s="138">
        <f t="shared" si="2"/>
        <v>-3.0796564998519571E-2</v>
      </c>
    </row>
    <row r="19" spans="1:31" ht="15.75" thickBot="1" x14ac:dyDescent="0.3">
      <c r="A19" s="356" t="s">
        <v>198</v>
      </c>
      <c r="B19" s="512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 t="shared" ref="M19" si="3">SumByColor($A$19,M2:M17)</f>
        <v>0</v>
      </c>
      <c r="W19" s="133">
        <v>42744</v>
      </c>
      <c r="X19" s="10">
        <v>33.47</v>
      </c>
      <c r="Y19" s="10">
        <v>33.950000000000003</v>
      </c>
      <c r="Z19" s="10">
        <v>33.07</v>
      </c>
      <c r="AA19" s="10">
        <v>33.770000000000003</v>
      </c>
      <c r="AB19" s="95">
        <v>4516800</v>
      </c>
      <c r="AC19" s="10">
        <v>33.770000000000003</v>
      </c>
      <c r="AD19" s="2">
        <f t="shared" si="1"/>
        <v>0.88000000000000256</v>
      </c>
      <c r="AE19" s="138">
        <f t="shared" si="2"/>
        <v>8.9632506722439054E-3</v>
      </c>
    </row>
    <row r="20" spans="1:31" x14ac:dyDescent="0.25">
      <c r="W20" s="133">
        <v>42741</v>
      </c>
      <c r="X20" s="10">
        <v>33.07</v>
      </c>
      <c r="Y20" s="10">
        <v>33.5</v>
      </c>
      <c r="Z20" s="10">
        <v>33.020000000000003</v>
      </c>
      <c r="AA20" s="10">
        <v>33.47</v>
      </c>
      <c r="AB20" s="95">
        <v>2832000</v>
      </c>
      <c r="AC20" s="10">
        <v>33.47</v>
      </c>
      <c r="AD20" s="2">
        <f t="shared" si="1"/>
        <v>0.47999999999999687</v>
      </c>
      <c r="AE20" s="138">
        <f t="shared" si="2"/>
        <v>1.2708018154311773E-2</v>
      </c>
    </row>
    <row r="21" spans="1:31" x14ac:dyDescent="0.25">
      <c r="W21" s="133">
        <v>42740</v>
      </c>
      <c r="X21" s="10">
        <v>33.04</v>
      </c>
      <c r="Y21" s="10">
        <v>33.4</v>
      </c>
      <c r="Z21" s="10">
        <v>32.32</v>
      </c>
      <c r="AA21" s="10">
        <v>33.049999999999997</v>
      </c>
      <c r="AB21" s="95">
        <v>5947900</v>
      </c>
      <c r="AC21" s="10">
        <v>33.049999999999997</v>
      </c>
      <c r="AD21" s="2">
        <f t="shared" si="1"/>
        <v>1.0799999999999983</v>
      </c>
      <c r="AE21" s="138">
        <f t="shared" si="2"/>
        <v>3.0266343825657849E-4</v>
      </c>
    </row>
    <row r="22" spans="1:31" x14ac:dyDescent="0.25">
      <c r="W22" s="133">
        <v>42739</v>
      </c>
      <c r="X22" s="10">
        <v>32.11</v>
      </c>
      <c r="Y22" s="10">
        <v>33.04</v>
      </c>
      <c r="Z22" s="10">
        <v>32.04</v>
      </c>
      <c r="AA22" s="10">
        <v>33.04</v>
      </c>
      <c r="AB22" s="95">
        <v>5468600</v>
      </c>
      <c r="AC22" s="10">
        <v>33.04</v>
      </c>
      <c r="AD22" s="2">
        <f t="shared" si="1"/>
        <v>1</v>
      </c>
      <c r="AE22" s="138">
        <f t="shared" si="2"/>
        <v>3.6711641041732079E-2</v>
      </c>
    </row>
    <row r="23" spans="1:31" x14ac:dyDescent="0.25">
      <c r="B23" s="513" t="s">
        <v>114</v>
      </c>
      <c r="C23" s="191" t="s">
        <v>147</v>
      </c>
      <c r="D23" s="192" t="s">
        <v>146</v>
      </c>
      <c r="E23" s="194" t="s">
        <v>148</v>
      </c>
      <c r="F23" s="194" t="s">
        <v>65</v>
      </c>
      <c r="G23" s="229" t="s">
        <v>152</v>
      </c>
      <c r="H23" s="229" t="s">
        <v>88</v>
      </c>
      <c r="I23" s="229" t="s">
        <v>155</v>
      </c>
      <c r="W23" s="133">
        <v>42738</v>
      </c>
      <c r="X23" s="10">
        <v>32.020000000000003</v>
      </c>
      <c r="Y23" s="10">
        <v>32.590000000000003</v>
      </c>
      <c r="Z23" s="10">
        <v>31.66</v>
      </c>
      <c r="AA23" s="10">
        <v>31.87</v>
      </c>
      <c r="AB23" s="95">
        <v>6719700</v>
      </c>
      <c r="AC23" s="10">
        <v>31.87</v>
      </c>
      <c r="AD23" s="2">
        <f t="shared" si="1"/>
        <v>0.93000000000000327</v>
      </c>
      <c r="AE23" s="138">
        <f t="shared" si="2"/>
        <v>1.2388818297331738E-2</v>
      </c>
    </row>
    <row r="24" spans="1:31" x14ac:dyDescent="0.25">
      <c r="B24" s="592">
        <v>42716</v>
      </c>
      <c r="C24" s="261">
        <v>200</v>
      </c>
      <c r="D24" s="262">
        <v>29.285</v>
      </c>
      <c r="E24" s="262">
        <v>29</v>
      </c>
      <c r="F24" s="262">
        <f t="shared" ref="F24" si="4">C24*(E24-D24)</f>
        <v>-57.000000000000028</v>
      </c>
      <c r="G24" s="262">
        <f t="shared" ref="G24" si="5">D24*C24</f>
        <v>5857</v>
      </c>
      <c r="H24" s="276">
        <f t="shared" ref="H24" si="6">(E24-D24)/D24</f>
        <v>-9.7319446815776044E-3</v>
      </c>
      <c r="I24" s="262"/>
      <c r="W24" s="133">
        <v>42734</v>
      </c>
      <c r="X24" s="10">
        <v>31.81</v>
      </c>
      <c r="Y24" s="10">
        <v>32.159999999999997</v>
      </c>
      <c r="Z24" s="10">
        <v>31.08</v>
      </c>
      <c r="AA24" s="10">
        <v>31.48</v>
      </c>
      <c r="AB24" s="95">
        <v>4181300</v>
      </c>
      <c r="AC24" s="10">
        <v>31.48</v>
      </c>
      <c r="AD24" s="2">
        <f t="shared" si="1"/>
        <v>1.0799999999999983</v>
      </c>
      <c r="AE24" s="138">
        <f t="shared" si="2"/>
        <v>-1.3166144200626895E-2</v>
      </c>
    </row>
    <row r="25" spans="1:31" x14ac:dyDescent="0.25">
      <c r="B25" s="592">
        <v>42720</v>
      </c>
      <c r="C25" s="261">
        <v>100</v>
      </c>
      <c r="D25" s="262">
        <v>29.210599999999999</v>
      </c>
      <c r="E25" s="262">
        <v>29.48</v>
      </c>
      <c r="F25" s="262">
        <f t="shared" ref="F25" si="7">C25*(E25-D25)</f>
        <v>26.940000000000097</v>
      </c>
      <c r="G25" s="262">
        <f t="shared" ref="G25" si="8">D25*C25</f>
        <v>2921.06</v>
      </c>
      <c r="H25" s="276">
        <f t="shared" ref="H25" si="9">(E25-D25)/D25</f>
        <v>9.2226794382861358E-3</v>
      </c>
      <c r="I25" s="262"/>
      <c r="W25" s="133">
        <v>42733</v>
      </c>
      <c r="X25" s="10">
        <v>31.52</v>
      </c>
      <c r="Y25" s="10">
        <v>32.04</v>
      </c>
      <c r="Z25" s="10">
        <v>31.44</v>
      </c>
      <c r="AA25" s="10">
        <v>31.9</v>
      </c>
      <c r="AB25" s="95">
        <v>4208000</v>
      </c>
      <c r="AC25" s="10">
        <v>31.9</v>
      </c>
      <c r="AD25" s="2">
        <f t="shared" si="1"/>
        <v>0.59999999999999787</v>
      </c>
      <c r="AE25" s="138">
        <f t="shared" si="2"/>
        <v>8.5361998103066217E-3</v>
      </c>
    </row>
    <row r="26" spans="1:31" x14ac:dyDescent="0.25">
      <c r="B26" s="592">
        <v>42723</v>
      </c>
      <c r="C26" s="261">
        <v>200</v>
      </c>
      <c r="D26" s="262">
        <v>28.7453</v>
      </c>
      <c r="E26" s="262">
        <v>28.29</v>
      </c>
      <c r="F26" s="262">
        <f t="shared" ref="F26" si="10">C26*(E26-D26)</f>
        <v>-91.06000000000023</v>
      </c>
      <c r="G26" s="262">
        <f t="shared" ref="G26" si="11">D26*C26</f>
        <v>5749.06</v>
      </c>
      <c r="H26" s="276">
        <f t="shared" ref="H26" si="12">(E26-D26)/D26</f>
        <v>-1.5839111089465101E-2</v>
      </c>
      <c r="I26" s="262"/>
      <c r="W26" s="133">
        <v>42732</v>
      </c>
      <c r="X26" s="10">
        <v>32.11</v>
      </c>
      <c r="Y26" s="10">
        <v>32.61</v>
      </c>
      <c r="Z26" s="10">
        <v>31.28</v>
      </c>
      <c r="AA26" s="10">
        <v>31.63</v>
      </c>
      <c r="AB26" s="95">
        <v>3644000</v>
      </c>
      <c r="AC26" s="10">
        <v>31.63</v>
      </c>
      <c r="AD26" s="2">
        <f t="shared" si="1"/>
        <v>1.3299999999999983</v>
      </c>
      <c r="AE26" s="138">
        <f t="shared" si="2"/>
        <v>-1.0015649452269182E-2</v>
      </c>
    </row>
    <row r="27" spans="1:31" x14ac:dyDescent="0.25">
      <c r="B27" s="592">
        <v>42724</v>
      </c>
      <c r="C27" s="261">
        <v>100</v>
      </c>
      <c r="D27" s="262">
        <v>28.511199999999999</v>
      </c>
      <c r="E27" s="262">
        <v>28.76</v>
      </c>
      <c r="F27" s="262">
        <f t="shared" ref="F27" si="13">C27*(E27-D27)</f>
        <v>24.88000000000028</v>
      </c>
      <c r="G27" s="262">
        <f t="shared" ref="G27" si="14">D27*C27</f>
        <v>2851.12</v>
      </c>
      <c r="H27" s="276">
        <f t="shared" ref="H27" si="15">(E27-D27)/D27</f>
        <v>8.7263952411684807E-3</v>
      </c>
      <c r="I27" s="262"/>
      <c r="W27" s="133">
        <v>42731</v>
      </c>
      <c r="X27" s="10">
        <v>30.91</v>
      </c>
      <c r="Y27" s="10">
        <v>32.11</v>
      </c>
      <c r="Z27" s="10">
        <v>30.72</v>
      </c>
      <c r="AA27" s="10">
        <v>31.95</v>
      </c>
      <c r="AB27" s="95">
        <v>6222100</v>
      </c>
      <c r="AC27" s="10">
        <v>31.95</v>
      </c>
      <c r="AD27" s="2">
        <f t="shared" si="1"/>
        <v>1.3900000000000006</v>
      </c>
      <c r="AE27" s="138">
        <f t="shared" si="2"/>
        <v>4.037772712471499E-2</v>
      </c>
    </row>
    <row r="28" spans="1:31" x14ac:dyDescent="0.25">
      <c r="B28" s="592">
        <v>42731</v>
      </c>
      <c r="C28" s="261">
        <v>100</v>
      </c>
      <c r="D28" s="262">
        <v>28.511199999999999</v>
      </c>
      <c r="E28" s="262">
        <v>31.95</v>
      </c>
      <c r="F28" s="262">
        <f t="shared" ref="F28" si="16">C28*(E28-D28)</f>
        <v>343.88000000000005</v>
      </c>
      <c r="G28" s="262">
        <f t="shared" ref="G28" si="17">D28*C28</f>
        <v>2851.12</v>
      </c>
      <c r="H28" s="276">
        <f t="shared" ref="H28" si="18">(E28-D28)/D28</f>
        <v>0.12061225062431608</v>
      </c>
      <c r="I28" s="262"/>
      <c r="W28" s="133">
        <v>42727</v>
      </c>
      <c r="X28" s="10">
        <v>30.11</v>
      </c>
      <c r="Y28" s="10">
        <v>30.81</v>
      </c>
      <c r="Z28" s="10">
        <v>29.61</v>
      </c>
      <c r="AA28" s="10">
        <v>30.71</v>
      </c>
      <c r="AB28" s="95">
        <v>5466300</v>
      </c>
      <c r="AC28" s="10">
        <v>30.71</v>
      </c>
      <c r="AD28" s="2">
        <f t="shared" si="1"/>
        <v>1.1999999999999993</v>
      </c>
      <c r="AE28" s="138">
        <f t="shared" si="2"/>
        <v>1.9926934573231581E-2</v>
      </c>
    </row>
    <row r="29" spans="1:31" x14ac:dyDescent="0.25">
      <c r="B29" s="592">
        <v>42739</v>
      </c>
      <c r="C29" s="261">
        <v>100</v>
      </c>
      <c r="D29" s="262">
        <v>28.511199999999999</v>
      </c>
      <c r="E29" s="262">
        <v>33.04</v>
      </c>
      <c r="F29" s="262">
        <f t="shared" ref="F29" si="19">C29*(E29-D29)</f>
        <v>452.88000000000005</v>
      </c>
      <c r="G29" s="262">
        <f t="shared" ref="G29" si="20">D29*C29</f>
        <v>2851.12</v>
      </c>
      <c r="H29" s="276">
        <f t="shared" ref="H29" si="21">(E29-D29)/D29</f>
        <v>0.15884284070821295</v>
      </c>
      <c r="I29" s="262"/>
      <c r="W29" s="133">
        <v>42726</v>
      </c>
      <c r="X29" s="10">
        <v>28.97</v>
      </c>
      <c r="Y29" s="10">
        <v>30.17</v>
      </c>
      <c r="Z29" s="10">
        <v>28.82</v>
      </c>
      <c r="AA29" s="10">
        <v>30.11</v>
      </c>
      <c r="AB29" s="95">
        <v>4326800</v>
      </c>
      <c r="AC29" s="10">
        <v>30.11</v>
      </c>
      <c r="AD29" s="2">
        <f t="shared" si="1"/>
        <v>1.3500000000000014</v>
      </c>
      <c r="AE29" s="138">
        <f t="shared" si="2"/>
        <v>4.186851211072673E-2</v>
      </c>
    </row>
    <row r="30" spans="1:31" x14ac:dyDescent="0.25">
      <c r="B30" s="592">
        <v>42744</v>
      </c>
      <c r="C30" s="261">
        <v>100</v>
      </c>
      <c r="D30" s="262">
        <v>28.511199999999999</v>
      </c>
      <c r="E30" s="262">
        <v>33.770000000000003</v>
      </c>
      <c r="F30" s="262">
        <f t="shared" ref="F30" si="22">C30*(E30-D30)</f>
        <v>525.88000000000045</v>
      </c>
      <c r="G30" s="262">
        <f t="shared" ref="G30" si="23">D30*C30</f>
        <v>2851.12</v>
      </c>
      <c r="H30" s="276">
        <f t="shared" ref="H30" si="24">(E30-D30)/D30</f>
        <v>0.18444681388366693</v>
      </c>
      <c r="I30" s="262"/>
      <c r="W30" s="133">
        <v>42725</v>
      </c>
      <c r="X30" s="10">
        <v>29.11</v>
      </c>
      <c r="Y30" s="10">
        <v>29.11</v>
      </c>
      <c r="Z30" s="10">
        <v>28.55</v>
      </c>
      <c r="AA30" s="10">
        <v>28.9</v>
      </c>
      <c r="AB30" s="95">
        <v>3777600</v>
      </c>
      <c r="AC30" s="10">
        <v>28.9</v>
      </c>
      <c r="AD30" s="2">
        <f t="shared" si="1"/>
        <v>0.55999999999999872</v>
      </c>
      <c r="AE30" s="138">
        <f t="shared" si="2"/>
        <v>-3.1045187995860646E-3</v>
      </c>
    </row>
    <row r="31" spans="1:31" x14ac:dyDescent="0.25">
      <c r="B31" s="592">
        <v>42745</v>
      </c>
      <c r="C31" s="261">
        <v>100</v>
      </c>
      <c r="D31" s="262">
        <v>28.511199999999999</v>
      </c>
      <c r="E31" s="262">
        <v>32.729999999999997</v>
      </c>
      <c r="F31" s="262">
        <f t="shared" ref="F31" si="25">C31*(E31-D31)</f>
        <v>421.87999999999982</v>
      </c>
      <c r="G31" s="262">
        <f t="shared" ref="G31" si="26">D31*C31</f>
        <v>2851.12</v>
      </c>
      <c r="H31" s="276">
        <f t="shared" ref="H31" si="27">(E31-D31)/D31</f>
        <v>0.14796992059260916</v>
      </c>
      <c r="I31" s="262"/>
      <c r="W31" s="133">
        <v>42724</v>
      </c>
      <c r="X31" s="10">
        <v>28.47</v>
      </c>
      <c r="Y31" s="10">
        <v>29.09</v>
      </c>
      <c r="Z31" s="10">
        <v>28.29</v>
      </c>
      <c r="AA31" s="10">
        <v>28.99</v>
      </c>
      <c r="AB31" s="95">
        <v>3917200</v>
      </c>
      <c r="AC31" s="10">
        <v>28.99</v>
      </c>
      <c r="AD31" s="2">
        <f t="shared" si="1"/>
        <v>0.80000000000000071</v>
      </c>
      <c r="AE31" s="138">
        <f t="shared" si="2"/>
        <v>2.474372569812644E-2</v>
      </c>
    </row>
    <row r="32" spans="1:31" x14ac:dyDescent="0.25">
      <c r="B32" s="157"/>
      <c r="C32" s="10"/>
      <c r="D32" s="40"/>
      <c r="E32" s="40"/>
      <c r="F32" s="40"/>
      <c r="G32" s="10"/>
      <c r="H32" s="10"/>
      <c r="I32" s="40"/>
      <c r="W32" s="133">
        <v>42723</v>
      </c>
      <c r="X32" s="10">
        <v>29.16</v>
      </c>
      <c r="Y32" s="10">
        <v>29.5</v>
      </c>
      <c r="Z32" s="10">
        <v>28.14</v>
      </c>
      <c r="AA32" s="10">
        <v>28.29</v>
      </c>
      <c r="AB32" s="95">
        <v>5408000</v>
      </c>
      <c r="AC32" s="10">
        <v>28.29</v>
      </c>
      <c r="AD32" s="2">
        <f t="shared" si="1"/>
        <v>1.3599999999999994</v>
      </c>
      <c r="AE32" s="138">
        <f t="shared" si="2"/>
        <v>-4.0366350067842616E-2</v>
      </c>
    </row>
    <row r="33" spans="1:31" x14ac:dyDescent="0.25">
      <c r="A33" t="s">
        <v>422</v>
      </c>
      <c r="B33" s="157">
        <v>42755</v>
      </c>
      <c r="C33" s="10">
        <v>100</v>
      </c>
      <c r="D33" s="40">
        <v>33.58</v>
      </c>
      <c r="E33" s="40">
        <v>34.200000000000003</v>
      </c>
      <c r="F33" s="40">
        <f t="shared" ref="F33" si="28">C33*(E33-D33)</f>
        <v>62.000000000000455</v>
      </c>
      <c r="G33" s="10">
        <f t="shared" ref="G33" si="29">D33*C33</f>
        <v>3358</v>
      </c>
      <c r="H33" s="10">
        <f t="shared" ref="H33" si="30">(E33-D33)/D33</f>
        <v>1.8463371054199065E-2</v>
      </c>
      <c r="I33" s="40"/>
      <c r="W33" s="133">
        <v>42720</v>
      </c>
      <c r="X33" s="10">
        <v>28.58</v>
      </c>
      <c r="Y33" s="10">
        <v>29.61</v>
      </c>
      <c r="Z33" s="10">
        <v>28.22</v>
      </c>
      <c r="AA33" s="10">
        <v>29.48</v>
      </c>
      <c r="AB33" s="95">
        <v>10292300</v>
      </c>
      <c r="AC33" s="10">
        <v>29.48</v>
      </c>
      <c r="AD33" s="2">
        <f t="shared" si="1"/>
        <v>1.3900000000000006</v>
      </c>
      <c r="AE33" s="138">
        <f t="shared" si="2"/>
        <v>2.897033158813267E-2</v>
      </c>
    </row>
    <row r="34" spans="1:31" x14ac:dyDescent="0.25">
      <c r="A34" t="s">
        <v>422</v>
      </c>
      <c r="B34" s="157">
        <v>42760</v>
      </c>
      <c r="C34" s="10">
        <v>100</v>
      </c>
      <c r="D34" s="40">
        <v>33.58</v>
      </c>
      <c r="E34" s="40">
        <v>36.54</v>
      </c>
      <c r="F34" s="40">
        <f t="shared" ref="F34" si="31">C34*(E34-D34)</f>
        <v>296.00000000000011</v>
      </c>
      <c r="G34" s="10">
        <f t="shared" ref="G34" si="32">D34*C34</f>
        <v>3358</v>
      </c>
      <c r="H34" s="10">
        <f t="shared" ref="H34" si="33">(E34-D34)/D34</f>
        <v>8.8147706968433617E-2</v>
      </c>
      <c r="I34" s="40"/>
      <c r="W34" s="133">
        <v>42719</v>
      </c>
      <c r="X34" s="10">
        <v>27.97</v>
      </c>
      <c r="Y34" s="10">
        <v>29.08</v>
      </c>
      <c r="Z34" s="10">
        <v>27.75</v>
      </c>
      <c r="AA34" s="10">
        <v>28.65</v>
      </c>
      <c r="AB34" s="95">
        <v>4436700</v>
      </c>
      <c r="AC34" s="10">
        <v>28.65</v>
      </c>
      <c r="AD34" s="2">
        <f t="shared" si="1"/>
        <v>1.3299999999999983</v>
      </c>
      <c r="AE34" s="138">
        <f t="shared" si="2"/>
        <v>1.9210245464247544E-2</v>
      </c>
    </row>
    <row r="35" spans="1:31" x14ac:dyDescent="0.25">
      <c r="B35" s="157"/>
      <c r="C35" s="10"/>
      <c r="D35" s="40"/>
      <c r="E35" s="40"/>
      <c r="F35" s="40"/>
      <c r="G35" s="10"/>
      <c r="H35" s="10"/>
      <c r="I35" s="40"/>
      <c r="W35" s="133">
        <v>42718</v>
      </c>
      <c r="X35" s="10">
        <v>28.28</v>
      </c>
      <c r="Y35" s="10">
        <v>28.84</v>
      </c>
      <c r="Z35" s="10">
        <v>28.03</v>
      </c>
      <c r="AA35" s="10">
        <v>28.11</v>
      </c>
      <c r="AB35" s="95">
        <v>2983900</v>
      </c>
      <c r="AC35" s="10">
        <v>28.11</v>
      </c>
      <c r="AD35" s="2">
        <f t="shared" si="1"/>
        <v>0.80999999999999872</v>
      </c>
      <c r="AE35" s="138">
        <f t="shared" si="2"/>
        <v>-1.055966209081316E-2</v>
      </c>
    </row>
    <row r="36" spans="1:31" x14ac:dyDescent="0.25">
      <c r="B36" s="157"/>
      <c r="C36" s="10"/>
      <c r="D36" s="40"/>
      <c r="E36" s="40"/>
      <c r="F36" s="40"/>
      <c r="G36" s="10"/>
      <c r="H36" s="10"/>
      <c r="I36" s="40"/>
      <c r="W36" s="133">
        <v>42717</v>
      </c>
      <c r="X36" s="10">
        <v>29.07</v>
      </c>
      <c r="Y36" s="10">
        <v>29.3</v>
      </c>
      <c r="Z36" s="10">
        <v>28.05</v>
      </c>
      <c r="AA36" s="10">
        <v>28.41</v>
      </c>
      <c r="AB36" s="95">
        <v>6505400</v>
      </c>
      <c r="AC36" s="10">
        <v>28.41</v>
      </c>
      <c r="AD36" s="2">
        <f t="shared" si="1"/>
        <v>1.25</v>
      </c>
      <c r="AE36" s="138">
        <f t="shared" si="2"/>
        <v>-2.0344827586206926E-2</v>
      </c>
    </row>
    <row r="37" spans="1:31" x14ac:dyDescent="0.25">
      <c r="B37" s="157"/>
      <c r="C37" s="10"/>
      <c r="D37" s="40"/>
      <c r="E37" s="40"/>
      <c r="F37" s="40"/>
      <c r="G37" s="10"/>
      <c r="H37" s="10"/>
      <c r="I37" s="40"/>
      <c r="W37" s="133">
        <v>42716</v>
      </c>
      <c r="X37" s="10">
        <v>30.82</v>
      </c>
      <c r="Y37" s="10">
        <v>30.87</v>
      </c>
      <c r="Z37" s="10">
        <v>28.67</v>
      </c>
      <c r="AA37" s="10">
        <v>29</v>
      </c>
      <c r="AB37" s="95">
        <v>6037800</v>
      </c>
      <c r="AC37" s="10">
        <v>29</v>
      </c>
      <c r="AD37" s="2">
        <f t="shared" si="1"/>
        <v>2.1999999999999993</v>
      </c>
      <c r="AE37" s="138">
        <f t="shared" si="2"/>
        <v>-6.3004846526655833E-2</v>
      </c>
    </row>
    <row r="38" spans="1:31" x14ac:dyDescent="0.25">
      <c r="B38" s="157"/>
      <c r="C38" s="10"/>
      <c r="D38" s="40"/>
      <c r="E38" s="40"/>
      <c r="F38" s="40"/>
      <c r="G38" s="10"/>
      <c r="H38" s="10"/>
      <c r="I38" s="40"/>
      <c r="W38" s="133">
        <v>42713</v>
      </c>
      <c r="X38" s="10">
        <v>30.43</v>
      </c>
      <c r="Y38" s="10">
        <v>30.95</v>
      </c>
      <c r="Z38" s="10">
        <v>30.04</v>
      </c>
      <c r="AA38" s="10">
        <v>30.95</v>
      </c>
      <c r="AB38" s="95">
        <v>4645700</v>
      </c>
      <c r="AC38" s="10">
        <v>30.95</v>
      </c>
      <c r="AD38" s="2">
        <f t="shared" si="1"/>
        <v>0.91000000000000014</v>
      </c>
      <c r="AE38" s="138">
        <f t="shared" si="2"/>
        <v>1.9097793875535007E-2</v>
      </c>
    </row>
    <row r="39" spans="1:31" x14ac:dyDescent="0.25">
      <c r="B39" s="157"/>
      <c r="C39" s="10"/>
      <c r="D39" s="40"/>
      <c r="E39" s="40"/>
      <c r="F39" s="40"/>
      <c r="G39" s="10"/>
      <c r="H39" s="10"/>
      <c r="I39" s="40"/>
      <c r="W39" s="133">
        <v>42712</v>
      </c>
      <c r="X39" s="10">
        <v>29.92</v>
      </c>
      <c r="Y39" s="10">
        <v>30.75</v>
      </c>
      <c r="Z39" s="10">
        <v>29.72</v>
      </c>
      <c r="AA39" s="10">
        <v>30.37</v>
      </c>
      <c r="AB39" s="95">
        <v>4419900</v>
      </c>
      <c r="AC39" s="10">
        <v>30.37</v>
      </c>
      <c r="AD39" s="2">
        <f t="shared" si="1"/>
        <v>1.0300000000000011</v>
      </c>
      <c r="AE39" s="138">
        <f t="shared" si="2"/>
        <v>2.1870794078062028E-2</v>
      </c>
    </row>
    <row r="40" spans="1:31" ht="20.25" thickBot="1" x14ac:dyDescent="0.35">
      <c r="B40" s="157"/>
      <c r="C40" s="10"/>
      <c r="D40" s="40"/>
      <c r="E40" s="40"/>
      <c r="F40" s="40"/>
      <c r="G40" s="10"/>
      <c r="H40" s="10"/>
      <c r="I40" s="40"/>
      <c r="O40" s="638" t="s">
        <v>78</v>
      </c>
      <c r="P40" s="638"/>
      <c r="W40" s="133">
        <v>42711</v>
      </c>
      <c r="X40" s="10">
        <v>28.56</v>
      </c>
      <c r="Y40" s="10">
        <v>30.11</v>
      </c>
      <c r="Z40" s="10">
        <v>28.5</v>
      </c>
      <c r="AA40" s="10">
        <v>29.72</v>
      </c>
      <c r="AB40" s="95">
        <v>6744600</v>
      </c>
      <c r="AC40" s="10">
        <v>29.72</v>
      </c>
      <c r="AD40" s="2">
        <f t="shared" si="1"/>
        <v>1.6099999999999994</v>
      </c>
      <c r="AE40" s="138">
        <f t="shared" si="2"/>
        <v>4.0252012600630049E-2</v>
      </c>
    </row>
    <row r="41" spans="1:31" ht="15.75" thickTop="1" x14ac:dyDescent="0.25">
      <c r="B41" s="157"/>
      <c r="C41" s="10"/>
      <c r="D41" s="40"/>
      <c r="E41" s="40"/>
      <c r="F41" s="40"/>
      <c r="G41" s="10"/>
      <c r="H41" s="10"/>
      <c r="I41" s="40"/>
      <c r="O41" s="83">
        <v>1.1000000000000001</v>
      </c>
      <c r="P41" s="83">
        <f>O41*$Q$4</f>
        <v>39.248000000000005</v>
      </c>
      <c r="Q41" s="2"/>
      <c r="W41" s="133">
        <v>42710</v>
      </c>
      <c r="X41" s="10">
        <v>28.29</v>
      </c>
      <c r="Y41" s="10">
        <v>28.78</v>
      </c>
      <c r="Z41" s="10">
        <v>27.82</v>
      </c>
      <c r="AA41" s="10">
        <v>28.57</v>
      </c>
      <c r="AB41" s="95">
        <v>6875100</v>
      </c>
      <c r="AC41" s="10">
        <v>28.57</v>
      </c>
      <c r="AD41" s="2">
        <f t="shared" si="1"/>
        <v>0.96000000000000085</v>
      </c>
      <c r="AE41" s="138">
        <f t="shared" si="2"/>
        <v>-3.4989503149052137E-4</v>
      </c>
    </row>
    <row r="42" spans="1:31" ht="20.25" thickBot="1" x14ac:dyDescent="0.35">
      <c r="B42" s="157"/>
      <c r="C42" s="10"/>
      <c r="D42" s="40"/>
      <c r="E42" s="40"/>
      <c r="F42" s="40"/>
      <c r="G42" s="10"/>
      <c r="H42" s="10"/>
      <c r="I42" s="40"/>
      <c r="O42" s="83">
        <v>1.0900000000000001</v>
      </c>
      <c r="P42" s="83">
        <f t="shared" ref="P42:P61" si="34">O42*$Q$4</f>
        <v>38.891200000000005</v>
      </c>
      <c r="Q42" s="2"/>
      <c r="T42" s="91" t="s">
        <v>113</v>
      </c>
      <c r="W42" s="133">
        <v>42709</v>
      </c>
      <c r="X42" s="10">
        <v>28.79</v>
      </c>
      <c r="Y42" s="10">
        <v>29.29</v>
      </c>
      <c r="Z42" s="10">
        <v>28.3</v>
      </c>
      <c r="AA42" s="10">
        <v>28.58</v>
      </c>
      <c r="AB42" s="95">
        <v>7714100</v>
      </c>
      <c r="AC42" s="10">
        <v>28.58</v>
      </c>
      <c r="AD42" s="2">
        <f t="shared" si="1"/>
        <v>0.98999999999999844</v>
      </c>
      <c r="AE42" s="138">
        <f t="shared" si="2"/>
        <v>7.0472163495418627E-3</v>
      </c>
    </row>
    <row r="43" spans="1:31" ht="15.75" thickTop="1" x14ac:dyDescent="0.25">
      <c r="B43" s="157"/>
      <c r="C43" s="10"/>
      <c r="D43" s="40"/>
      <c r="E43" s="40"/>
      <c r="F43" s="40"/>
      <c r="G43" s="10"/>
      <c r="H43" s="10"/>
      <c r="I43" s="40"/>
      <c r="O43" s="83">
        <v>1.08</v>
      </c>
      <c r="P43" s="83">
        <f t="shared" si="34"/>
        <v>38.534400000000005</v>
      </c>
      <c r="Q43" s="2"/>
      <c r="T43" s="128" t="s">
        <v>98</v>
      </c>
      <c r="U43" s="129">
        <v>36.630000000000003</v>
      </c>
      <c r="W43" s="133">
        <v>42706</v>
      </c>
      <c r="X43" s="10">
        <v>28.79</v>
      </c>
      <c r="Y43" s="10">
        <v>29.61</v>
      </c>
      <c r="Z43" s="10">
        <v>28.06</v>
      </c>
      <c r="AA43" s="10">
        <v>28.38</v>
      </c>
      <c r="AB43" s="95">
        <v>5096200</v>
      </c>
      <c r="AC43" s="10">
        <v>28.38</v>
      </c>
      <c r="AD43" s="2">
        <f t="shared" si="1"/>
        <v>1.5500000000000007</v>
      </c>
      <c r="AE43" s="138">
        <f t="shared" si="2"/>
        <v>-1.1838440111420656E-2</v>
      </c>
    </row>
    <row r="44" spans="1:31" x14ac:dyDescent="0.25">
      <c r="B44" s="590">
        <v>42545</v>
      </c>
      <c r="C44" s="538">
        <v>100</v>
      </c>
      <c r="D44" s="540">
        <v>25.25</v>
      </c>
      <c r="E44" s="540">
        <v>25.43</v>
      </c>
      <c r="F44" s="540">
        <f t="shared" ref="F44" si="35">C44*(E44-D44)</f>
        <v>17.999999999999972</v>
      </c>
      <c r="G44" s="540">
        <f t="shared" ref="G44" si="36">D44*C44</f>
        <v>2525</v>
      </c>
      <c r="H44" s="585">
        <f t="shared" ref="H44" si="37">(E44-D44)/D44</f>
        <v>7.1287128712871177E-3</v>
      </c>
      <c r="I44" s="540"/>
      <c r="O44" s="83">
        <v>1.07</v>
      </c>
      <c r="P44" s="83">
        <f t="shared" si="34"/>
        <v>38.177600000000005</v>
      </c>
      <c r="Q44" s="2"/>
      <c r="T44" s="93" t="s">
        <v>99</v>
      </c>
      <c r="U44" s="130">
        <v>36.409999999999997</v>
      </c>
      <c r="W44" s="133">
        <v>42705</v>
      </c>
      <c r="X44" s="10">
        <v>29.09</v>
      </c>
      <c r="Y44" s="10">
        <v>29.95</v>
      </c>
      <c r="Z44" s="10">
        <v>28.56</v>
      </c>
      <c r="AA44" s="10">
        <v>28.72</v>
      </c>
      <c r="AB44" s="95">
        <v>5937300</v>
      </c>
      <c r="AC44" s="10">
        <v>28.72</v>
      </c>
      <c r="AD44" s="2">
        <f t="shared" si="1"/>
        <v>1.3900000000000006</v>
      </c>
      <c r="AE44" s="138">
        <f t="shared" si="2"/>
        <v>-7.6019350380097661E-3</v>
      </c>
    </row>
    <row r="45" spans="1:31" x14ac:dyDescent="0.25">
      <c r="B45" s="590">
        <v>42548</v>
      </c>
      <c r="C45" s="538">
        <v>100</v>
      </c>
      <c r="D45" s="540">
        <v>25.25</v>
      </c>
      <c r="E45" s="540">
        <v>23.48</v>
      </c>
      <c r="F45" s="540">
        <f t="shared" ref="F45" si="38">C45*(E45-D45)</f>
        <v>-176.99999999999994</v>
      </c>
      <c r="G45" s="540">
        <f t="shared" ref="G45" si="39">D45*C45</f>
        <v>2525</v>
      </c>
      <c r="H45" s="585">
        <f t="shared" ref="H45" si="40">(E45-D45)/D45</f>
        <v>-7.0099009900990078E-2</v>
      </c>
      <c r="I45" s="540"/>
      <c r="O45" s="83">
        <v>1.06</v>
      </c>
      <c r="P45" s="83">
        <f t="shared" si="34"/>
        <v>37.820799999999998</v>
      </c>
      <c r="Q45" s="2"/>
      <c r="T45" s="93" t="s">
        <v>100</v>
      </c>
      <c r="U45" s="130" t="s">
        <v>129</v>
      </c>
      <c r="W45" s="133">
        <v>42704</v>
      </c>
      <c r="X45" s="10">
        <v>27.98</v>
      </c>
      <c r="Y45" s="10">
        <v>29.31</v>
      </c>
      <c r="Z45" s="10">
        <v>27.82</v>
      </c>
      <c r="AA45" s="10">
        <v>28.94</v>
      </c>
      <c r="AB45" s="95">
        <v>6417400</v>
      </c>
      <c r="AC45" s="10">
        <v>28.94</v>
      </c>
      <c r="AD45" s="2">
        <f t="shared" si="1"/>
        <v>1.4899999999999984</v>
      </c>
      <c r="AE45" s="138">
        <f t="shared" si="2"/>
        <v>5.5049216186656924E-2</v>
      </c>
    </row>
    <row r="46" spans="1:31" x14ac:dyDescent="0.25">
      <c r="B46" s="590">
        <v>42549</v>
      </c>
      <c r="C46" s="538">
        <v>100</v>
      </c>
      <c r="D46" s="540">
        <v>25.25</v>
      </c>
      <c r="E46" s="540">
        <v>24.06</v>
      </c>
      <c r="F46" s="540">
        <f t="shared" ref="F46" si="41">C46*(E46-D46)</f>
        <v>-119.00000000000013</v>
      </c>
      <c r="G46" s="540">
        <f t="shared" ref="G46" si="42">D46*C46</f>
        <v>2525</v>
      </c>
      <c r="H46" s="585">
        <f t="shared" ref="H46" si="43">(E46-D46)/D46</f>
        <v>-4.7128712871287178E-2</v>
      </c>
      <c r="I46" s="540"/>
      <c r="O46" s="83">
        <v>1.05</v>
      </c>
      <c r="P46" s="83">
        <f t="shared" si="34"/>
        <v>37.463999999999999</v>
      </c>
      <c r="Q46" s="2"/>
      <c r="T46" s="93" t="s">
        <v>101</v>
      </c>
      <c r="U46" s="130" t="s">
        <v>129</v>
      </c>
      <c r="W46" s="133">
        <v>42703</v>
      </c>
      <c r="X46" s="10">
        <v>27.9</v>
      </c>
      <c r="Y46" s="10">
        <v>28.13</v>
      </c>
      <c r="Z46" s="10">
        <v>27.34</v>
      </c>
      <c r="AA46" s="10">
        <v>27.43</v>
      </c>
      <c r="AB46" s="95">
        <v>3908500</v>
      </c>
      <c r="AC46" s="10">
        <v>27.43</v>
      </c>
      <c r="AD46" s="2">
        <f t="shared" si="1"/>
        <v>0.78999999999999915</v>
      </c>
      <c r="AE46" s="138">
        <f t="shared" si="2"/>
        <v>-2.6959914863426748E-2</v>
      </c>
    </row>
    <row r="47" spans="1:31" x14ac:dyDescent="0.25">
      <c r="B47" s="590">
        <v>42556</v>
      </c>
      <c r="C47" s="538">
        <v>100</v>
      </c>
      <c r="D47" s="540">
        <v>25.25</v>
      </c>
      <c r="E47" s="540">
        <v>23.54</v>
      </c>
      <c r="F47" s="540">
        <f t="shared" ref="F47" si="44">C47*(E47-D47)</f>
        <v>-171.00000000000009</v>
      </c>
      <c r="G47" s="540">
        <f t="shared" ref="G47" si="45">D47*C47</f>
        <v>2525</v>
      </c>
      <c r="H47" s="585">
        <f t="shared" ref="H47" si="46">(E47-D47)/D47</f>
        <v>-6.7722772277227755E-2</v>
      </c>
      <c r="I47" s="540"/>
      <c r="O47" s="83">
        <v>1.04</v>
      </c>
      <c r="P47" s="83">
        <f t="shared" si="34"/>
        <v>37.107199999999999</v>
      </c>
      <c r="Q47" s="2"/>
      <c r="T47" s="93" t="s">
        <v>102</v>
      </c>
      <c r="U47" s="130">
        <v>31.6</v>
      </c>
      <c r="W47" s="133">
        <v>42702</v>
      </c>
      <c r="X47" s="10">
        <v>28.46</v>
      </c>
      <c r="Y47" s="10">
        <v>28.79</v>
      </c>
      <c r="Z47" s="10">
        <v>27.91</v>
      </c>
      <c r="AA47" s="10">
        <v>28.19</v>
      </c>
      <c r="AB47" s="95">
        <v>3157300</v>
      </c>
      <c r="AC47" s="10">
        <v>28.19</v>
      </c>
      <c r="AD47" s="2">
        <f t="shared" si="1"/>
        <v>0.87999999999999901</v>
      </c>
      <c r="AE47" s="138">
        <f t="shared" si="2"/>
        <v>-1.2609457092819576E-2</v>
      </c>
    </row>
    <row r="48" spans="1:31" x14ac:dyDescent="0.25">
      <c r="B48" s="590">
        <v>42557</v>
      </c>
      <c r="C48" s="538">
        <v>100</v>
      </c>
      <c r="D48" s="540">
        <v>25.25</v>
      </c>
      <c r="E48" s="540">
        <v>23.75</v>
      </c>
      <c r="F48" s="540">
        <f t="shared" ref="F48" si="47">C48*(E48-D48)</f>
        <v>-150</v>
      </c>
      <c r="G48" s="540">
        <f t="shared" ref="G48" si="48">D48*C48</f>
        <v>2525</v>
      </c>
      <c r="H48" s="585">
        <f t="shared" ref="H48" si="49">(E48-D48)/D48</f>
        <v>-5.9405940594059403E-2</v>
      </c>
      <c r="I48" s="540"/>
      <c r="O48" s="83">
        <v>1.03</v>
      </c>
      <c r="P48" s="83">
        <f t="shared" si="34"/>
        <v>36.750399999999999</v>
      </c>
      <c r="Q48" s="2"/>
      <c r="T48" s="93" t="s">
        <v>103</v>
      </c>
      <c r="U48" s="130">
        <v>0.95063699999999995</v>
      </c>
      <c r="W48" s="133">
        <v>42699</v>
      </c>
      <c r="X48" s="10">
        <v>28.48</v>
      </c>
      <c r="Y48" s="10">
        <v>28.93</v>
      </c>
      <c r="Z48" s="10">
        <v>28.17</v>
      </c>
      <c r="AA48" s="10">
        <v>28.55</v>
      </c>
      <c r="AB48" s="95">
        <v>1755200</v>
      </c>
      <c r="AC48" s="10">
        <v>28.55</v>
      </c>
      <c r="AD48" s="2">
        <f t="shared" si="1"/>
        <v>0.75999999999999801</v>
      </c>
      <c r="AE48" s="138">
        <f t="shared" si="2"/>
        <v>5.9901338971106721E-3</v>
      </c>
    </row>
    <row r="49" spans="2:31" x14ac:dyDescent="0.25">
      <c r="B49" s="590">
        <v>42559</v>
      </c>
      <c r="C49" s="538">
        <v>100</v>
      </c>
      <c r="D49" s="540">
        <v>25.25</v>
      </c>
      <c r="E49" s="540">
        <v>24.86</v>
      </c>
      <c r="F49" s="540">
        <f t="shared" ref="F49" si="50">C49*(E49-D49)</f>
        <v>-39.000000000000057</v>
      </c>
      <c r="G49" s="540">
        <f t="shared" ref="G49" si="51">D49*C49</f>
        <v>2525</v>
      </c>
      <c r="H49" s="585">
        <f t="shared" ref="H49" si="52">(E49-D49)/D49</f>
        <v>-1.5445544554455468E-2</v>
      </c>
      <c r="I49" s="540"/>
      <c r="O49" s="83">
        <v>1.02</v>
      </c>
      <c r="P49" s="83">
        <f t="shared" si="34"/>
        <v>36.393599999999999</v>
      </c>
      <c r="Q49" s="2"/>
      <c r="T49" s="93" t="s">
        <v>104</v>
      </c>
      <c r="U49" s="130" t="s">
        <v>482</v>
      </c>
      <c r="W49" s="133">
        <v>42697</v>
      </c>
      <c r="X49" s="10">
        <v>28.31</v>
      </c>
      <c r="Y49" s="10">
        <v>28.47</v>
      </c>
      <c r="Z49" s="10">
        <v>27.77</v>
      </c>
      <c r="AA49" s="10">
        <v>28.38</v>
      </c>
      <c r="AB49" s="95">
        <v>6702000</v>
      </c>
      <c r="AC49" s="10">
        <v>28.38</v>
      </c>
      <c r="AD49" s="2">
        <f t="shared" si="1"/>
        <v>0.69999999999999929</v>
      </c>
      <c r="AE49" s="138">
        <f t="shared" si="2"/>
        <v>-3.5223670306450128E-4</v>
      </c>
    </row>
    <row r="50" spans="2:31" x14ac:dyDescent="0.25">
      <c r="B50" s="590">
        <v>42562</v>
      </c>
      <c r="C50" s="538">
        <v>100</v>
      </c>
      <c r="D50" s="540">
        <v>25.25</v>
      </c>
      <c r="E50" s="540">
        <v>24.67</v>
      </c>
      <c r="F50" s="540">
        <f t="shared" ref="F50" si="53">C50*(E50-D50)</f>
        <v>-57.999999999999829</v>
      </c>
      <c r="G50" s="540">
        <f t="shared" ref="G50" si="54">D50*C50</f>
        <v>2525</v>
      </c>
      <c r="H50" s="585">
        <f t="shared" ref="H50" si="55">(E50-D50)/D50</f>
        <v>-2.2970297029702904E-2</v>
      </c>
      <c r="I50" s="540"/>
      <c r="O50" s="83">
        <v>1.01</v>
      </c>
      <c r="P50" s="83">
        <f t="shared" si="34"/>
        <v>36.036799999999999</v>
      </c>
      <c r="Q50" s="2"/>
      <c r="T50" s="93"/>
      <c r="U50" s="130"/>
      <c r="W50" s="133">
        <v>42696</v>
      </c>
      <c r="X50" s="10">
        <v>29.76</v>
      </c>
      <c r="Y50" s="10">
        <v>29.76</v>
      </c>
      <c r="Z50" s="10">
        <v>27.92</v>
      </c>
      <c r="AA50" s="10">
        <v>28.39</v>
      </c>
      <c r="AB50" s="95">
        <v>9451300</v>
      </c>
      <c r="AC50" s="10">
        <v>28.39</v>
      </c>
      <c r="AD50" s="2">
        <f t="shared" si="1"/>
        <v>1.8399999999999999</v>
      </c>
      <c r="AE50" s="138">
        <f t="shared" si="2"/>
        <v>-4.9548041513224006E-2</v>
      </c>
    </row>
    <row r="51" spans="2:31" x14ac:dyDescent="0.25">
      <c r="B51" s="590">
        <v>42563</v>
      </c>
      <c r="C51" s="538">
        <v>100</v>
      </c>
      <c r="D51" s="540">
        <v>25.25</v>
      </c>
      <c r="E51" s="540">
        <v>26.03</v>
      </c>
      <c r="F51" s="540">
        <f t="shared" ref="F51:F52" si="56">C51*(E51-D51)</f>
        <v>78.000000000000114</v>
      </c>
      <c r="G51" s="540">
        <f t="shared" ref="G51:G52" si="57">D51*C51</f>
        <v>2525</v>
      </c>
      <c r="H51" s="585">
        <f t="shared" ref="H51:H52" si="58">(E51-D51)/D51</f>
        <v>3.0891089108910936E-2</v>
      </c>
      <c r="I51" s="540"/>
      <c r="O51" s="83">
        <v>1</v>
      </c>
      <c r="P51" s="83">
        <f t="shared" si="34"/>
        <v>35.68</v>
      </c>
      <c r="Q51" s="2"/>
      <c r="T51" s="93" t="s">
        <v>105</v>
      </c>
      <c r="U51" s="130" t="s">
        <v>626</v>
      </c>
      <c r="W51" s="133">
        <v>42695</v>
      </c>
      <c r="X51" s="10">
        <v>29.58</v>
      </c>
      <c r="Y51" s="10">
        <v>30.24</v>
      </c>
      <c r="Z51" s="10">
        <v>29.38</v>
      </c>
      <c r="AA51" s="10">
        <v>29.87</v>
      </c>
      <c r="AB51" s="95">
        <v>7043300</v>
      </c>
      <c r="AC51" s="10">
        <v>29.87</v>
      </c>
      <c r="AD51" s="2">
        <f t="shared" si="1"/>
        <v>0.85999999999999943</v>
      </c>
      <c r="AE51" s="138">
        <f t="shared" si="2"/>
        <v>3.1422651933701751E-2</v>
      </c>
    </row>
    <row r="52" spans="2:31" x14ac:dyDescent="0.25">
      <c r="B52" s="590">
        <v>42569</v>
      </c>
      <c r="C52" s="538">
        <v>100</v>
      </c>
      <c r="D52" s="540">
        <v>25.25</v>
      </c>
      <c r="E52" s="540">
        <v>27.69</v>
      </c>
      <c r="F52" s="540">
        <f t="shared" si="56"/>
        <v>244.00000000000011</v>
      </c>
      <c r="G52" s="540">
        <f t="shared" si="57"/>
        <v>2525</v>
      </c>
      <c r="H52" s="585">
        <f t="shared" si="58"/>
        <v>9.6633663366336678E-2</v>
      </c>
      <c r="I52" s="594">
        <v>23</v>
      </c>
      <c r="O52" s="83">
        <v>0.99</v>
      </c>
      <c r="P52" s="83">
        <f t="shared" si="34"/>
        <v>35.3232</v>
      </c>
      <c r="Q52" s="2"/>
      <c r="T52" s="93" t="s">
        <v>106</v>
      </c>
      <c r="U52" s="130" t="s">
        <v>386</v>
      </c>
      <c r="W52" s="133">
        <v>42692</v>
      </c>
      <c r="X52" s="10">
        <v>26.97</v>
      </c>
      <c r="Y52" s="10">
        <v>29.03</v>
      </c>
      <c r="Z52" s="10">
        <v>26.97</v>
      </c>
      <c r="AA52" s="10">
        <v>28.96</v>
      </c>
      <c r="AB52" s="95">
        <v>7923700</v>
      </c>
      <c r="AC52" s="10">
        <v>28.96</v>
      </c>
      <c r="AD52" s="2">
        <f t="shared" si="1"/>
        <v>2.0600000000000023</v>
      </c>
      <c r="AE52" s="138">
        <f t="shared" si="2"/>
        <v>6.9029162052417936E-2</v>
      </c>
    </row>
    <row r="53" spans="2:31" x14ac:dyDescent="0.25">
      <c r="B53" s="590">
        <v>42570</v>
      </c>
      <c r="C53" s="538">
        <v>100</v>
      </c>
      <c r="D53" s="540">
        <v>25.25</v>
      </c>
      <c r="E53" s="540">
        <v>26.55</v>
      </c>
      <c r="F53" s="540">
        <f t="shared" ref="F53" si="59">C53*(E53-D53)</f>
        <v>130.00000000000006</v>
      </c>
      <c r="G53" s="540">
        <f t="shared" ref="G53" si="60">D53*C53</f>
        <v>2525</v>
      </c>
      <c r="H53" s="585">
        <f t="shared" ref="H53" si="61">(E53-D53)/D53</f>
        <v>5.148514851485151E-2</v>
      </c>
      <c r="I53" s="540"/>
      <c r="O53" s="83">
        <v>0.98</v>
      </c>
      <c r="P53" s="83">
        <f t="shared" si="34"/>
        <v>34.9664</v>
      </c>
      <c r="Q53" s="2"/>
      <c r="T53" s="93" t="s">
        <v>107</v>
      </c>
      <c r="U53" s="131">
        <v>3911060</v>
      </c>
      <c r="W53" s="133">
        <v>42691</v>
      </c>
      <c r="X53" s="10">
        <v>27.62</v>
      </c>
      <c r="Y53" s="10">
        <v>27.78</v>
      </c>
      <c r="Z53" s="10">
        <v>26.95</v>
      </c>
      <c r="AA53" s="10">
        <v>27.09</v>
      </c>
      <c r="AB53" s="95">
        <v>5507100</v>
      </c>
      <c r="AC53" s="10">
        <v>27.09</v>
      </c>
      <c r="AD53" s="2">
        <f t="shared" si="1"/>
        <v>0.83000000000000185</v>
      </c>
      <c r="AE53" s="138">
        <f t="shared" si="2"/>
        <v>-1.2755102040816424E-2</v>
      </c>
    </row>
    <row r="54" spans="2:31" x14ac:dyDescent="0.25">
      <c r="B54" s="590">
        <v>42571</v>
      </c>
      <c r="C54" s="538">
        <v>100</v>
      </c>
      <c r="D54" s="540">
        <v>25.25</v>
      </c>
      <c r="E54" s="540">
        <v>26.61</v>
      </c>
      <c r="F54" s="540">
        <f t="shared" ref="F54" si="62">C54*(E54-D54)</f>
        <v>135.99999999999994</v>
      </c>
      <c r="G54" s="540">
        <f t="shared" ref="G54" si="63">D54*C54</f>
        <v>2525</v>
      </c>
      <c r="H54" s="585">
        <f t="shared" ref="H54" si="64">(E54-D54)/D54</f>
        <v>5.386138613861384E-2</v>
      </c>
      <c r="I54" s="540"/>
      <c r="O54" s="83">
        <v>0.97</v>
      </c>
      <c r="P54" s="83">
        <f t="shared" si="34"/>
        <v>34.6096</v>
      </c>
      <c r="T54" s="93" t="s">
        <v>110</v>
      </c>
      <c r="U54" s="131">
        <v>5986470</v>
      </c>
      <c r="W54" s="133">
        <v>42690</v>
      </c>
      <c r="X54" s="10">
        <v>27.7</v>
      </c>
      <c r="Y54" s="10">
        <v>27.85</v>
      </c>
      <c r="Z54" s="10">
        <v>27.44</v>
      </c>
      <c r="AA54" s="10">
        <v>27.44</v>
      </c>
      <c r="AB54" s="95">
        <v>3500800</v>
      </c>
      <c r="AC54" s="10">
        <v>27.44</v>
      </c>
      <c r="AD54" s="2">
        <f t="shared" si="1"/>
        <v>0.41000000000000014</v>
      </c>
      <c r="AE54" s="138">
        <f t="shared" si="2"/>
        <v>-1.2949640287769792E-2</v>
      </c>
    </row>
    <row r="55" spans="2:31" x14ac:dyDescent="0.25">
      <c r="B55" s="590">
        <v>42572</v>
      </c>
      <c r="C55" s="538">
        <v>100</v>
      </c>
      <c r="D55" s="540">
        <v>25.25</v>
      </c>
      <c r="E55" s="540">
        <v>26.29</v>
      </c>
      <c r="F55" s="540">
        <f t="shared" ref="F55" si="65">C55*(E55-D55)</f>
        <v>103.99999999999991</v>
      </c>
      <c r="G55" s="540">
        <f t="shared" ref="G55" si="66">D55*C55</f>
        <v>2525</v>
      </c>
      <c r="H55" s="585">
        <f t="shared" ref="H55" si="67">(E55-D55)/D55</f>
        <v>4.1188118811881155E-2</v>
      </c>
      <c r="I55" s="540"/>
      <c r="O55" s="83">
        <v>0.96</v>
      </c>
      <c r="P55" s="83">
        <f t="shared" si="34"/>
        <v>34.252800000000001</v>
      </c>
      <c r="T55" s="93" t="s">
        <v>108</v>
      </c>
      <c r="U55" s="130" t="s">
        <v>627</v>
      </c>
      <c r="W55" s="133">
        <v>42689</v>
      </c>
      <c r="X55" s="10">
        <v>28.04</v>
      </c>
      <c r="Y55" s="10">
        <v>28.25</v>
      </c>
      <c r="Z55" s="10">
        <v>27.41</v>
      </c>
      <c r="AA55" s="10">
        <v>27.8</v>
      </c>
      <c r="AB55" s="95">
        <v>5605800</v>
      </c>
      <c r="AC55" s="10">
        <v>27.8</v>
      </c>
      <c r="AD55" s="2">
        <f t="shared" si="1"/>
        <v>0.83999999999999986</v>
      </c>
      <c r="AE55" s="138">
        <f t="shared" si="2"/>
        <v>-1.4184397163120477E-2</v>
      </c>
    </row>
    <row r="56" spans="2:31" x14ac:dyDescent="0.25">
      <c r="B56" s="590">
        <v>42575</v>
      </c>
      <c r="C56" s="538">
        <v>100</v>
      </c>
      <c r="D56" s="540">
        <v>25.25</v>
      </c>
      <c r="E56" s="540">
        <v>25.18</v>
      </c>
      <c r="F56" s="540">
        <f t="shared" ref="F56" si="68">C56*(E56-D56)</f>
        <v>-7.0000000000000284</v>
      </c>
      <c r="G56" s="540">
        <f t="shared" ref="G56" si="69">D56*C56</f>
        <v>2525</v>
      </c>
      <c r="H56" s="585">
        <f t="shared" ref="H56" si="70">(E56-D56)/D56</f>
        <v>-2.7722772277227834E-3</v>
      </c>
      <c r="I56" s="540"/>
      <c r="O56" s="83">
        <v>0.95</v>
      </c>
      <c r="P56" s="83">
        <f t="shared" si="34"/>
        <v>33.896000000000001</v>
      </c>
      <c r="T56" s="93" t="s">
        <v>111</v>
      </c>
      <c r="U56" s="130">
        <v>118.77</v>
      </c>
      <c r="W56" s="133">
        <v>42688</v>
      </c>
      <c r="X56" s="10">
        <v>27.83</v>
      </c>
      <c r="Y56" s="10">
        <v>28.3</v>
      </c>
      <c r="Z56" s="10">
        <v>27.42</v>
      </c>
      <c r="AA56" s="10">
        <v>28.2</v>
      </c>
      <c r="AB56" s="95">
        <v>5719800</v>
      </c>
      <c r="AC56" s="10">
        <v>28.2</v>
      </c>
      <c r="AD56" s="2">
        <f t="shared" si="1"/>
        <v>0.87999999999999901</v>
      </c>
      <c r="AE56" s="138">
        <f t="shared" si="2"/>
        <v>1.5118790496760237E-2</v>
      </c>
    </row>
    <row r="57" spans="2:31" x14ac:dyDescent="0.25">
      <c r="B57" s="590">
        <v>42576</v>
      </c>
      <c r="C57" s="538">
        <v>100</v>
      </c>
      <c r="D57" s="540">
        <v>25.25</v>
      </c>
      <c r="E57" s="540">
        <v>25.33</v>
      </c>
      <c r="F57" s="540">
        <f t="shared" ref="F57:F63" si="71">C57*(E57-D57)</f>
        <v>7.9999999999998295</v>
      </c>
      <c r="G57" s="540">
        <f t="shared" ref="G57:G63" si="72">D57*C57</f>
        <v>2525</v>
      </c>
      <c r="H57" s="585">
        <f t="shared" ref="H57:H63" si="73">(E57-D57)/D57</f>
        <v>3.1683168316831009E-3</v>
      </c>
      <c r="I57" s="540"/>
      <c r="O57" s="83">
        <v>0.94</v>
      </c>
      <c r="P57" s="83">
        <f t="shared" si="34"/>
        <v>33.539200000000001</v>
      </c>
      <c r="T57" s="93" t="s">
        <v>112</v>
      </c>
      <c r="U57" s="130">
        <v>0.3</v>
      </c>
      <c r="W57" s="133">
        <v>42685</v>
      </c>
      <c r="X57" s="10">
        <v>27.1</v>
      </c>
      <c r="Y57" s="10">
        <v>28</v>
      </c>
      <c r="Z57" s="10">
        <v>26.91</v>
      </c>
      <c r="AA57" s="10">
        <v>27.78</v>
      </c>
      <c r="AB57" s="95">
        <v>7297400</v>
      </c>
      <c r="AC57" s="10">
        <v>27.78</v>
      </c>
      <c r="AD57" s="2">
        <f t="shared" si="1"/>
        <v>1.0899999999999999</v>
      </c>
      <c r="AE57" s="138">
        <f t="shared" si="2"/>
        <v>2.3958717287136055E-2</v>
      </c>
    </row>
    <row r="58" spans="2:31" x14ac:dyDescent="0.25">
      <c r="B58" s="590">
        <v>42577</v>
      </c>
      <c r="C58" s="538">
        <v>70</v>
      </c>
      <c r="D58" s="540">
        <v>25.010300000000001</v>
      </c>
      <c r="E58" s="540">
        <v>25.8</v>
      </c>
      <c r="F58" s="540">
        <f t="shared" si="71"/>
        <v>55.278999999999989</v>
      </c>
      <c r="G58" s="540">
        <f t="shared" si="72"/>
        <v>1750.721</v>
      </c>
      <c r="H58" s="585">
        <f t="shared" si="73"/>
        <v>3.1574991103665281E-2</v>
      </c>
      <c r="I58" s="540"/>
      <c r="O58" s="83">
        <v>0.93</v>
      </c>
      <c r="P58" s="83">
        <f t="shared" si="34"/>
        <v>33.182400000000001</v>
      </c>
      <c r="T58" s="93" t="s">
        <v>109</v>
      </c>
      <c r="U58" s="130" t="s">
        <v>628</v>
      </c>
      <c r="W58" s="133">
        <v>42684</v>
      </c>
      <c r="X58" s="10">
        <v>26.53</v>
      </c>
      <c r="Y58" s="10">
        <v>28.23</v>
      </c>
      <c r="Z58" s="10">
        <v>26.53</v>
      </c>
      <c r="AA58" s="10">
        <v>27.13</v>
      </c>
      <c r="AB58" s="95">
        <v>9181500</v>
      </c>
      <c r="AC58" s="10">
        <v>27.13</v>
      </c>
      <c r="AD58" s="2">
        <f t="shared" si="1"/>
        <v>1.6999999999999993</v>
      </c>
      <c r="AE58" s="138" t="e">
        <f t="shared" si="2"/>
        <v>#DIV/0!</v>
      </c>
    </row>
    <row r="59" spans="2:31" x14ac:dyDescent="0.25">
      <c r="B59" s="590">
        <v>42580</v>
      </c>
      <c r="C59" s="538">
        <v>100</v>
      </c>
      <c r="D59" s="540">
        <v>24.641200000000001</v>
      </c>
      <c r="E59" s="540">
        <v>24.68</v>
      </c>
      <c r="F59" s="540">
        <f t="shared" si="71"/>
        <v>3.8799999999998391</v>
      </c>
      <c r="G59" s="540">
        <f t="shared" si="72"/>
        <v>2464.1200000000003</v>
      </c>
      <c r="H59" s="585">
        <f t="shared" si="73"/>
        <v>1.5745986396765738E-3</v>
      </c>
      <c r="I59" s="540"/>
      <c r="O59" s="83">
        <v>0.92</v>
      </c>
      <c r="P59" s="83">
        <f t="shared" si="34"/>
        <v>32.825600000000001</v>
      </c>
      <c r="W59" s="133">
        <v>42684</v>
      </c>
      <c r="X59" s="10" t="s">
        <v>427</v>
      </c>
      <c r="Y59" s="10"/>
      <c r="Z59" s="10"/>
      <c r="AA59" s="10"/>
      <c r="AB59" s="95"/>
      <c r="AC59" s="10"/>
      <c r="AD59" s="2">
        <f t="shared" si="1"/>
        <v>0</v>
      </c>
      <c r="AE59" s="138">
        <f t="shared" si="2"/>
        <v>-1</v>
      </c>
    </row>
    <row r="60" spans="2:31" x14ac:dyDescent="0.25">
      <c r="B60" s="590">
        <v>42585</v>
      </c>
      <c r="C60" s="538">
        <v>100</v>
      </c>
      <c r="D60" s="540">
        <v>24.641200000000001</v>
      </c>
      <c r="E60" s="540">
        <v>24.49</v>
      </c>
      <c r="F60" s="540">
        <f t="shared" si="71"/>
        <v>-15.120000000000289</v>
      </c>
      <c r="G60" s="540">
        <f t="shared" si="72"/>
        <v>2464.1200000000003</v>
      </c>
      <c r="H60" s="585">
        <f t="shared" si="73"/>
        <v>-6.1360648020389787E-3</v>
      </c>
      <c r="I60" s="540"/>
      <c r="O60" s="83">
        <v>0.91</v>
      </c>
      <c r="P60" s="83">
        <f t="shared" si="34"/>
        <v>32.468800000000002</v>
      </c>
      <c r="W60" s="133">
        <v>42683</v>
      </c>
      <c r="X60" s="10">
        <v>24.05</v>
      </c>
      <c r="Y60" s="10">
        <v>26.72</v>
      </c>
      <c r="Z60" s="10">
        <v>23.73</v>
      </c>
      <c r="AA60" s="10">
        <v>26.48</v>
      </c>
      <c r="AB60" s="95">
        <v>10914600</v>
      </c>
      <c r="AC60" s="10">
        <v>26.18</v>
      </c>
      <c r="AD60" s="2">
        <f t="shared" si="1"/>
        <v>2.9899999999999984</v>
      </c>
      <c r="AE60" s="138">
        <f t="shared" si="2"/>
        <v>8.8113050706567053E-2</v>
      </c>
    </row>
    <row r="61" spans="2:31" x14ac:dyDescent="0.25">
      <c r="B61" s="590">
        <v>42586</v>
      </c>
      <c r="C61" s="538">
        <v>200</v>
      </c>
      <c r="D61" s="540">
        <v>23.6431</v>
      </c>
      <c r="E61" s="540">
        <v>21.43</v>
      </c>
      <c r="F61" s="540">
        <f t="shared" si="71"/>
        <v>-442.62000000000012</v>
      </c>
      <c r="G61" s="540">
        <f t="shared" si="72"/>
        <v>4728.62</v>
      </c>
      <c r="H61" s="585">
        <f t="shared" si="73"/>
        <v>-9.360447657033133E-2</v>
      </c>
      <c r="I61" s="540"/>
      <c r="O61" s="83">
        <v>0.9</v>
      </c>
      <c r="P61" s="83">
        <f t="shared" si="34"/>
        <v>32.112000000000002</v>
      </c>
      <c r="W61" s="133">
        <v>42682</v>
      </c>
      <c r="X61" s="10">
        <v>23.2</v>
      </c>
      <c r="Y61" s="10">
        <v>24.49</v>
      </c>
      <c r="Z61" s="10">
        <v>23.04</v>
      </c>
      <c r="AA61" s="10">
        <v>24.34</v>
      </c>
      <c r="AB61" s="95">
        <v>8295300</v>
      </c>
      <c r="AC61" s="10">
        <v>24.06</v>
      </c>
      <c r="AD61" s="2">
        <f t="shared" si="1"/>
        <v>1.4499999999999993</v>
      </c>
      <c r="AE61" s="138">
        <f t="shared" si="2"/>
        <v>4.4724272687798328E-2</v>
      </c>
    </row>
    <row r="62" spans="2:31" x14ac:dyDescent="0.25">
      <c r="B62" s="590">
        <v>42586</v>
      </c>
      <c r="C62" s="538">
        <v>300</v>
      </c>
      <c r="D62" s="540">
        <v>22.735399999999998</v>
      </c>
      <c r="E62" s="540">
        <v>21.43</v>
      </c>
      <c r="F62" s="540">
        <f t="shared" si="71"/>
        <v>-391.61999999999966</v>
      </c>
      <c r="G62" s="540">
        <f t="shared" si="72"/>
        <v>6820.62</v>
      </c>
      <c r="H62" s="585">
        <f t="shared" si="73"/>
        <v>-5.7417067656605945E-2</v>
      </c>
      <c r="I62" s="540"/>
      <c r="W62" s="133">
        <v>42681</v>
      </c>
      <c r="X62" s="10">
        <v>23.51</v>
      </c>
      <c r="Y62" s="10">
        <v>23.66</v>
      </c>
      <c r="Z62" s="10">
        <v>23.12</v>
      </c>
      <c r="AA62" s="10">
        <v>23.29</v>
      </c>
      <c r="AB62" s="95">
        <v>5833500</v>
      </c>
      <c r="AC62" s="10">
        <v>23.03</v>
      </c>
      <c r="AD62" s="2">
        <f t="shared" si="1"/>
        <v>0.53999999999999915</v>
      </c>
      <c r="AE62" s="138">
        <f t="shared" si="2"/>
        <v>7.8774617067833841E-3</v>
      </c>
    </row>
    <row r="63" spans="2:31" x14ac:dyDescent="0.25">
      <c r="B63" s="590">
        <v>42591</v>
      </c>
      <c r="C63" s="538">
        <v>300</v>
      </c>
      <c r="D63" s="540">
        <v>22.735399999999998</v>
      </c>
      <c r="E63" s="540">
        <v>22.12</v>
      </c>
      <c r="F63" s="540">
        <f t="shared" si="71"/>
        <v>-184.61999999999927</v>
      </c>
      <c r="G63" s="540">
        <f t="shared" si="72"/>
        <v>6820.62</v>
      </c>
      <c r="H63" s="585">
        <f t="shared" si="73"/>
        <v>-2.7067920511624936E-2</v>
      </c>
      <c r="I63" s="540"/>
      <c r="W63" s="133">
        <v>42678</v>
      </c>
      <c r="X63" s="10">
        <v>22.65</v>
      </c>
      <c r="Y63" s="10">
        <v>23.42</v>
      </c>
      <c r="Z63" s="10">
        <v>22.58</v>
      </c>
      <c r="AA63" s="10">
        <v>23.11</v>
      </c>
      <c r="AB63" s="95">
        <v>7892000</v>
      </c>
      <c r="AC63" s="10">
        <v>22.85</v>
      </c>
      <c r="AD63" s="2">
        <f t="shared" si="1"/>
        <v>0.84000000000000341</v>
      </c>
      <c r="AE63" s="138">
        <f t="shared" si="2"/>
        <v>2.2829006266786189E-2</v>
      </c>
    </row>
    <row r="64" spans="2:31" x14ac:dyDescent="0.25">
      <c r="B64" s="590">
        <v>42593</v>
      </c>
      <c r="C64" s="538">
        <v>300</v>
      </c>
      <c r="D64" s="540">
        <v>22.735399999999998</v>
      </c>
      <c r="E64" s="540">
        <v>21.57</v>
      </c>
      <c r="F64" s="540">
        <f t="shared" ref="F64:F66" si="74">C64*(E64-D64)</f>
        <v>-349.61999999999944</v>
      </c>
      <c r="G64" s="540">
        <f t="shared" ref="G64:G66" si="75">D64*C64</f>
        <v>6820.62</v>
      </c>
      <c r="H64" s="585">
        <f t="shared" ref="H64:H66" si="76">(E64-D64)/D64</f>
        <v>-5.1259269685160515E-2</v>
      </c>
      <c r="I64" s="540"/>
      <c r="W64" s="133">
        <v>42677</v>
      </c>
      <c r="X64" s="10">
        <v>23.57</v>
      </c>
      <c r="Y64" s="10">
        <v>23.57</v>
      </c>
      <c r="Z64" s="10">
        <v>22.18</v>
      </c>
      <c r="AA64" s="10">
        <v>22.6</v>
      </c>
      <c r="AB64" s="95">
        <v>19321100</v>
      </c>
      <c r="AC64" s="10">
        <v>22.34</v>
      </c>
      <c r="AD64" s="2">
        <f t="shared" si="1"/>
        <v>1.3900000000000006</v>
      </c>
      <c r="AE64" s="138">
        <f t="shared" si="2"/>
        <v>-8.5176085176085214E-2</v>
      </c>
    </row>
    <row r="65" spans="2:31" x14ac:dyDescent="0.25">
      <c r="B65" s="590">
        <v>42597</v>
      </c>
      <c r="C65" s="538">
        <v>230</v>
      </c>
      <c r="D65" s="540">
        <v>22.674800000000001</v>
      </c>
      <c r="E65" s="540">
        <v>23.2</v>
      </c>
      <c r="F65" s="540">
        <f t="shared" si="74"/>
        <v>120.79599999999957</v>
      </c>
      <c r="G65" s="540">
        <f t="shared" si="75"/>
        <v>5215.2040000000006</v>
      </c>
      <c r="H65" s="585">
        <f t="shared" si="76"/>
        <v>2.3162277065288252E-2</v>
      </c>
      <c r="I65" s="540"/>
      <c r="W65" s="133">
        <v>42676</v>
      </c>
      <c r="X65" s="10">
        <v>24.79</v>
      </c>
      <c r="Y65" s="10">
        <v>25.11</v>
      </c>
      <c r="Z65" s="10">
        <v>24.56</v>
      </c>
      <c r="AA65" s="10">
        <v>24.7</v>
      </c>
      <c r="AB65" s="95">
        <v>5569300</v>
      </c>
      <c r="AC65" s="10">
        <v>24.42</v>
      </c>
      <c r="AD65" s="2">
        <f t="shared" si="1"/>
        <v>0.55000000000000071</v>
      </c>
      <c r="AE65" s="138">
        <f t="shared" si="2"/>
        <v>-7.7204388459974904E-3</v>
      </c>
    </row>
    <row r="66" spans="2:31" x14ac:dyDescent="0.25">
      <c r="B66" s="590">
        <v>42599</v>
      </c>
      <c r="C66" s="538">
        <v>200</v>
      </c>
      <c r="D66" s="540">
        <v>22.554099999999998</v>
      </c>
      <c r="E66" s="540">
        <v>23.31</v>
      </c>
      <c r="F66" s="540">
        <f t="shared" si="74"/>
        <v>151.18000000000009</v>
      </c>
      <c r="G66" s="540">
        <f t="shared" si="75"/>
        <v>4510.82</v>
      </c>
      <c r="H66" s="585">
        <f t="shared" si="76"/>
        <v>3.3514970670521123E-2</v>
      </c>
      <c r="I66" s="540">
        <v>22</v>
      </c>
      <c r="W66" s="133">
        <v>42675</v>
      </c>
      <c r="X66" s="10">
        <v>24.15</v>
      </c>
      <c r="Y66" s="10">
        <v>25.01</v>
      </c>
      <c r="Z66" s="10">
        <v>23.92</v>
      </c>
      <c r="AA66" s="10">
        <v>24.89</v>
      </c>
      <c r="AB66" s="95">
        <v>7449100</v>
      </c>
      <c r="AC66" s="10">
        <v>24.61</v>
      </c>
      <c r="AD66" s="2">
        <f t="shared" si="1"/>
        <v>1.0899999999999999</v>
      </c>
      <c r="AE66" s="138">
        <f t="shared" si="2"/>
        <v>3.6647009267059882E-2</v>
      </c>
    </row>
    <row r="67" spans="2:31" x14ac:dyDescent="0.25">
      <c r="B67" s="590">
        <v>42600</v>
      </c>
      <c r="C67" s="538">
        <v>200</v>
      </c>
      <c r="D67" s="540">
        <v>22.554099999999998</v>
      </c>
      <c r="E67" s="540">
        <v>22.74</v>
      </c>
      <c r="F67" s="540">
        <f t="shared" ref="F67" si="77">C67*(E67-D67)</f>
        <v>37.180000000000035</v>
      </c>
      <c r="G67" s="540">
        <f t="shared" ref="G67" si="78">D67*C67</f>
        <v>4510.82</v>
      </c>
      <c r="H67" s="585">
        <f t="shared" ref="H67" si="79">(E67-D67)/D67</f>
        <v>8.2424038201480074E-3</v>
      </c>
      <c r="I67" s="540"/>
      <c r="W67" s="133">
        <v>42674</v>
      </c>
      <c r="X67" s="10">
        <v>24.46</v>
      </c>
      <c r="Y67" s="10">
        <v>24.8</v>
      </c>
      <c r="Z67" s="10">
        <v>23.94</v>
      </c>
      <c r="AA67" s="10">
        <v>24.01</v>
      </c>
      <c r="AB67" s="95">
        <v>3501100</v>
      </c>
      <c r="AC67" s="10">
        <v>23.74</v>
      </c>
      <c r="AD67" s="2">
        <f>Y67-Z67</f>
        <v>0.85999999999999943</v>
      </c>
      <c r="AE67" s="138" t="e">
        <f>AC67/#REF!-1</f>
        <v>#REF!</v>
      </c>
    </row>
    <row r="68" spans="2:31" x14ac:dyDescent="0.25">
      <c r="B68" s="590">
        <v>42601</v>
      </c>
      <c r="C68" s="538">
        <v>200</v>
      </c>
      <c r="D68" s="540">
        <v>22.554099999999998</v>
      </c>
      <c r="E68" s="540">
        <v>23.02</v>
      </c>
      <c r="F68" s="540">
        <f t="shared" ref="F68" si="80">C68*(E68-D68)</f>
        <v>93.180000000000263</v>
      </c>
      <c r="G68" s="540">
        <f t="shared" ref="G68" si="81">D68*C68</f>
        <v>4510.82</v>
      </c>
      <c r="H68" s="585">
        <f t="shared" ref="H68" si="82">(E68-D68)/D68</f>
        <v>2.06569980624366E-2</v>
      </c>
      <c r="I68" s="540"/>
      <c r="W68" s="133">
        <v>42671</v>
      </c>
      <c r="X68" s="10">
        <v>24.62</v>
      </c>
      <c r="Y68" s="10">
        <v>24.93</v>
      </c>
      <c r="Z68" s="10">
        <v>24.09</v>
      </c>
      <c r="AA68" s="10">
        <v>24.52</v>
      </c>
      <c r="AB68" s="95">
        <v>4721800</v>
      </c>
      <c r="AC68" s="10">
        <v>24.24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590">
        <v>42604</v>
      </c>
      <c r="C69" s="538">
        <v>200</v>
      </c>
      <c r="D69" s="540">
        <v>22.554099999999998</v>
      </c>
      <c r="E69" s="540">
        <v>23.69</v>
      </c>
      <c r="F69" s="540">
        <f t="shared" ref="F69" si="83">C69*(E69-D69)</f>
        <v>227.1800000000006</v>
      </c>
      <c r="G69" s="540">
        <f t="shared" ref="G69" si="84">D69*C69</f>
        <v>4510.82</v>
      </c>
      <c r="H69" s="585">
        <f t="shared" ref="H69" si="85">(E69-D69)/D69</f>
        <v>5.0363348570769975E-2</v>
      </c>
      <c r="I69" s="540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2:31" x14ac:dyDescent="0.25">
      <c r="B70" s="590">
        <v>42605</v>
      </c>
      <c r="C70" s="538">
        <v>200</v>
      </c>
      <c r="D70" s="540">
        <v>22.554099999999998</v>
      </c>
      <c r="E70" s="540">
        <v>24.83</v>
      </c>
      <c r="F70" s="540">
        <f t="shared" ref="F70" si="86">C70*(E70-D70)</f>
        <v>455.18</v>
      </c>
      <c r="G70" s="540">
        <f t="shared" ref="G70" si="87">D70*C70</f>
        <v>4510.82</v>
      </c>
      <c r="H70" s="585">
        <f t="shared" ref="H70" si="88">(E70-D70)/D70</f>
        <v>0.10090848227151605</v>
      </c>
      <c r="I70" s="540"/>
    </row>
    <row r="71" spans="2:31" x14ac:dyDescent="0.25">
      <c r="B71" s="590">
        <v>42606</v>
      </c>
      <c r="C71" s="538">
        <v>200</v>
      </c>
      <c r="D71" s="540">
        <v>22.554099999999998</v>
      </c>
      <c r="E71" s="540">
        <v>24.04</v>
      </c>
      <c r="F71" s="540">
        <f t="shared" ref="F71" si="89">C71*(E71-D71)</f>
        <v>297.18000000000018</v>
      </c>
      <c r="G71" s="540">
        <f t="shared" ref="G71" si="90">D71*C71</f>
        <v>4510.82</v>
      </c>
      <c r="H71" s="585">
        <f t="shared" ref="H71" si="91">(E71-D71)/D71</f>
        <v>6.588159137363056E-2</v>
      </c>
      <c r="I71" s="540"/>
    </row>
    <row r="72" spans="2:31" x14ac:dyDescent="0.25">
      <c r="B72" s="590">
        <v>42607</v>
      </c>
      <c r="C72" s="538">
        <v>200</v>
      </c>
      <c r="D72" s="540">
        <v>22.554099999999998</v>
      </c>
      <c r="E72" s="540">
        <v>24.23</v>
      </c>
      <c r="F72" s="540">
        <f t="shared" ref="F72" si="92">C72*(E72-D72)</f>
        <v>335.1800000000004</v>
      </c>
      <c r="G72" s="540">
        <f t="shared" ref="G72" si="93">D72*C72</f>
        <v>4510.82</v>
      </c>
      <c r="H72" s="585">
        <f t="shared" ref="H72" si="94">(E72-D72)/D72</f>
        <v>7.4305780323754983E-2</v>
      </c>
      <c r="I72" s="540"/>
    </row>
    <row r="73" spans="2:31" x14ac:dyDescent="0.25">
      <c r="B73" s="590">
        <v>42608</v>
      </c>
      <c r="C73" s="538">
        <v>200</v>
      </c>
      <c r="D73" s="540">
        <v>22.554099999999998</v>
      </c>
      <c r="E73" s="540">
        <v>23.98</v>
      </c>
      <c r="F73" s="540">
        <f t="shared" ref="F73" si="95">C73*(E73-D73)</f>
        <v>285.1800000000004</v>
      </c>
      <c r="G73" s="540">
        <f t="shared" ref="G73" si="96">D73*C73</f>
        <v>4510.82</v>
      </c>
      <c r="H73" s="585">
        <f t="shared" ref="H73" si="97">(E73-D73)/D73</f>
        <v>6.3221321178854498E-2</v>
      </c>
      <c r="I73" s="540"/>
    </row>
    <row r="74" spans="2:31" x14ac:dyDescent="0.25">
      <c r="B74" s="590">
        <v>42611</v>
      </c>
      <c r="C74" s="538">
        <v>200</v>
      </c>
      <c r="D74" s="540">
        <v>22.554099999999998</v>
      </c>
      <c r="E74" s="540">
        <v>24.98</v>
      </c>
      <c r="F74" s="540">
        <f t="shared" ref="F74" si="98">C74*(E74-D74)</f>
        <v>485.1800000000004</v>
      </c>
      <c r="G74" s="540">
        <f t="shared" ref="G74" si="99">D74*C74</f>
        <v>4510.82</v>
      </c>
      <c r="H74" s="585">
        <f t="shared" ref="H74" si="100">(E74-D74)/D74</f>
        <v>0.10755915775845644</v>
      </c>
      <c r="I74" s="540"/>
    </row>
    <row r="75" spans="2:31" x14ac:dyDescent="0.25">
      <c r="B75" s="590">
        <v>42612</v>
      </c>
      <c r="C75" s="538">
        <v>200</v>
      </c>
      <c r="D75" s="540">
        <v>22.554099999999998</v>
      </c>
      <c r="E75" s="540">
        <v>26.17</v>
      </c>
      <c r="F75" s="540">
        <f t="shared" ref="F75:F76" si="101">C75*(E75-D75)</f>
        <v>723.18000000000075</v>
      </c>
      <c r="G75" s="540">
        <f t="shared" ref="G75:G76" si="102">D75*C75</f>
        <v>4510.82</v>
      </c>
      <c r="H75" s="585">
        <f t="shared" ref="H75:H76" si="103">(E75-D75)/D75</f>
        <v>0.16032118328818279</v>
      </c>
      <c r="I75" s="540"/>
    </row>
    <row r="76" spans="2:31" x14ac:dyDescent="0.25">
      <c r="B76" s="590">
        <v>42614</v>
      </c>
      <c r="C76" s="538">
        <v>200</v>
      </c>
      <c r="D76" s="540">
        <v>22.104099999999999</v>
      </c>
      <c r="E76" s="540">
        <v>25.6</v>
      </c>
      <c r="F76" s="540">
        <f t="shared" si="101"/>
        <v>699.18000000000052</v>
      </c>
      <c r="G76" s="540">
        <f t="shared" si="102"/>
        <v>4420.82</v>
      </c>
      <c r="H76" s="585">
        <f t="shared" si="103"/>
        <v>0.15815617917038027</v>
      </c>
      <c r="I76" s="540" t="s">
        <v>189</v>
      </c>
    </row>
    <row r="77" spans="2:31" x14ac:dyDescent="0.25">
      <c r="B77" s="590">
        <v>42615</v>
      </c>
      <c r="C77" s="538">
        <v>200</v>
      </c>
      <c r="D77" s="540">
        <v>22.104099999999999</v>
      </c>
      <c r="E77" s="540">
        <v>25.94</v>
      </c>
      <c r="F77" s="540">
        <f t="shared" ref="F77" si="104">C77*(E77-D77)</f>
        <v>767.18000000000052</v>
      </c>
      <c r="G77" s="540">
        <f t="shared" ref="G77" si="105">D77*C77</f>
        <v>4420.82</v>
      </c>
      <c r="H77" s="585">
        <f t="shared" ref="H77" si="106">(E77-D77)/D77</f>
        <v>0.17353794092498687</v>
      </c>
      <c r="I77" s="540"/>
    </row>
    <row r="78" spans="2:31" x14ac:dyDescent="0.25">
      <c r="B78" s="590">
        <v>42619</v>
      </c>
      <c r="C78" s="538">
        <v>200</v>
      </c>
      <c r="D78" s="540">
        <v>22.104099999999999</v>
      </c>
      <c r="E78" s="540">
        <v>25.65</v>
      </c>
      <c r="F78" s="540">
        <f t="shared" ref="F78:F79" si="107">C78*(E78-D78)</f>
        <v>709.18</v>
      </c>
      <c r="G78" s="540">
        <f t="shared" ref="G78:G79" si="108">D78*C78</f>
        <v>4420.82</v>
      </c>
      <c r="H78" s="585">
        <f t="shared" ref="H78:H79" si="109">(E78-D78)/D78</f>
        <v>0.1604182029578223</v>
      </c>
      <c r="I78" s="540"/>
    </row>
    <row r="79" spans="2:31" x14ac:dyDescent="0.25">
      <c r="B79" s="590">
        <v>42620</v>
      </c>
      <c r="C79" s="538">
        <v>200</v>
      </c>
      <c r="D79" s="540">
        <v>22.1</v>
      </c>
      <c r="E79" s="540">
        <v>25.53</v>
      </c>
      <c r="F79" s="540">
        <f t="shared" si="107"/>
        <v>686</v>
      </c>
      <c r="G79" s="540">
        <f t="shared" si="108"/>
        <v>4420</v>
      </c>
      <c r="H79" s="585">
        <f t="shared" si="109"/>
        <v>0.15520361990950224</v>
      </c>
      <c r="I79" s="540"/>
    </row>
    <row r="80" spans="2:31" x14ac:dyDescent="0.25">
      <c r="B80" s="590">
        <v>42621</v>
      </c>
      <c r="C80" s="538">
        <v>160</v>
      </c>
      <c r="D80" s="540">
        <v>21.060300000000002</v>
      </c>
      <c r="E80" s="540">
        <v>25.96</v>
      </c>
      <c r="F80" s="540">
        <f t="shared" ref="F80" si="110">C80*(E80-D80)</f>
        <v>783.95199999999988</v>
      </c>
      <c r="G80" s="540">
        <f t="shared" ref="G80" si="111">D80*C80</f>
        <v>3369.6480000000001</v>
      </c>
      <c r="H80" s="585">
        <f t="shared" ref="H80" si="112">(E80-D80)/D80</f>
        <v>0.23265100687074727</v>
      </c>
      <c r="I80" s="540"/>
    </row>
    <row r="81" spans="2:9" x14ac:dyDescent="0.25">
      <c r="B81" s="590">
        <v>42622</v>
      </c>
      <c r="C81" s="538">
        <v>160</v>
      </c>
      <c r="D81" s="540">
        <v>21.060300000000002</v>
      </c>
      <c r="E81" s="540">
        <v>25</v>
      </c>
      <c r="F81" s="540">
        <f t="shared" ref="F81" si="113">C81*(E81-D81)</f>
        <v>630.35199999999975</v>
      </c>
      <c r="G81" s="540">
        <f t="shared" ref="G81" si="114">D81*C81</f>
        <v>3369.6480000000001</v>
      </c>
      <c r="H81" s="585">
        <f t="shared" ref="H81" si="115">(E81-D81)/D81</f>
        <v>0.18706761062283053</v>
      </c>
      <c r="I81" s="540"/>
    </row>
    <row r="82" spans="2:9" x14ac:dyDescent="0.25">
      <c r="B82" s="590">
        <v>42625</v>
      </c>
      <c r="C82" s="538">
        <v>160</v>
      </c>
      <c r="D82" s="540">
        <v>21.060300000000002</v>
      </c>
      <c r="E82" s="540">
        <v>25.51</v>
      </c>
      <c r="F82" s="540">
        <f t="shared" ref="F82:F83" si="116">C82*(E82-D82)</f>
        <v>711.952</v>
      </c>
      <c r="G82" s="540">
        <f t="shared" ref="G82:G83" si="117">D82*C82</f>
        <v>3369.6480000000001</v>
      </c>
      <c r="H82" s="585">
        <f t="shared" ref="H82:H83" si="118">(E82-D82)/D82</f>
        <v>0.21128378987953636</v>
      </c>
      <c r="I82" s="540"/>
    </row>
    <row r="83" spans="2:9" x14ac:dyDescent="0.25">
      <c r="B83" s="590">
        <v>42626</v>
      </c>
      <c r="C83" s="538">
        <v>200</v>
      </c>
      <c r="D83" s="540">
        <v>21.764199999999999</v>
      </c>
      <c r="E83" s="540">
        <v>24.01</v>
      </c>
      <c r="F83" s="540">
        <f t="shared" si="116"/>
        <v>449.16000000000054</v>
      </c>
      <c r="G83" s="540">
        <f t="shared" si="117"/>
        <v>4352.84</v>
      </c>
      <c r="H83" s="585">
        <f t="shared" si="118"/>
        <v>0.10318780382462957</v>
      </c>
      <c r="I83" s="540" t="s">
        <v>303</v>
      </c>
    </row>
    <row r="84" spans="2:9" x14ac:dyDescent="0.25">
      <c r="B84" s="590">
        <v>42632</v>
      </c>
      <c r="C84" s="538">
        <v>200</v>
      </c>
      <c r="D84" s="540">
        <v>21.764199999999999</v>
      </c>
      <c r="E84" s="540">
        <v>23.68</v>
      </c>
      <c r="F84" s="540">
        <f t="shared" ref="F84" si="119">C84*(E84-D84)</f>
        <v>383.1600000000002</v>
      </c>
      <c r="G84" s="540">
        <f t="shared" ref="G84" si="120">D84*C84</f>
        <v>4352.84</v>
      </c>
      <c r="H84" s="585">
        <f t="shared" ref="H84" si="121">(E84-D84)/D84</f>
        <v>8.8025289236452572E-2</v>
      </c>
      <c r="I84" s="540"/>
    </row>
    <row r="85" spans="2:9" x14ac:dyDescent="0.25">
      <c r="B85" s="590">
        <v>42633</v>
      </c>
      <c r="C85" s="538">
        <v>200</v>
      </c>
      <c r="D85" s="540">
        <v>21.764199999999999</v>
      </c>
      <c r="E85" s="540">
        <v>23.3</v>
      </c>
      <c r="F85" s="540">
        <f t="shared" ref="F85" si="122">C85*(E85-D85)</f>
        <v>307.16000000000037</v>
      </c>
      <c r="G85" s="540">
        <f t="shared" ref="G85" si="123">D85*C85</f>
        <v>4352.84</v>
      </c>
      <c r="H85" s="585">
        <f t="shared" ref="H85" si="124">(E85-D85)/D85</f>
        <v>7.0565423953097381E-2</v>
      </c>
      <c r="I85" s="540"/>
    </row>
    <row r="86" spans="2:9" x14ac:dyDescent="0.25">
      <c r="B86" s="590">
        <v>42634</v>
      </c>
      <c r="C86" s="538">
        <v>200</v>
      </c>
      <c r="D86" s="540">
        <v>21.764199999999999</v>
      </c>
      <c r="E86" s="540">
        <v>23.03</v>
      </c>
      <c r="F86" s="540">
        <f t="shared" ref="F86" si="125">C86*(E86-D86)</f>
        <v>253.16000000000045</v>
      </c>
      <c r="G86" s="540">
        <f t="shared" ref="G86" si="126">D86*C86</f>
        <v>4352.84</v>
      </c>
      <c r="H86" s="585">
        <f t="shared" ref="H86" si="127">(E86-D86)/D86</f>
        <v>5.8159730199134466E-2</v>
      </c>
      <c r="I86" s="540"/>
    </row>
    <row r="87" spans="2:9" x14ac:dyDescent="0.25">
      <c r="B87" s="590">
        <v>42636</v>
      </c>
      <c r="C87" s="538">
        <v>200</v>
      </c>
      <c r="D87" s="540">
        <v>21.764199999999999</v>
      </c>
      <c r="E87" s="540">
        <v>22.63</v>
      </c>
      <c r="F87" s="540">
        <f t="shared" ref="F87" si="128">C87*(E87-D87)</f>
        <v>173.16000000000003</v>
      </c>
      <c r="G87" s="540">
        <f t="shared" ref="G87" si="129">D87*C87</f>
        <v>4352.84</v>
      </c>
      <c r="H87" s="585">
        <f t="shared" ref="H87" si="130">(E87-D87)/D87</f>
        <v>3.9780924637707805E-2</v>
      </c>
      <c r="I87" s="540"/>
    </row>
    <row r="88" spans="2:9" x14ac:dyDescent="0.25">
      <c r="B88" s="590">
        <v>42639</v>
      </c>
      <c r="C88" s="538">
        <v>300</v>
      </c>
      <c r="D88" s="540">
        <v>21.936299999999999</v>
      </c>
      <c r="E88" s="540">
        <v>22.64</v>
      </c>
      <c r="F88" s="540">
        <f t="shared" ref="F88:F93" si="131">C88*(E88-D88)</f>
        <v>211.11000000000041</v>
      </c>
      <c r="G88" s="540">
        <f t="shared" ref="G88:G93" si="132">D88*C88</f>
        <v>6580.8899999999994</v>
      </c>
      <c r="H88" s="585">
        <f t="shared" ref="H88:H93" si="133">(E88-D88)/D88</f>
        <v>3.2079247639756996E-2</v>
      </c>
      <c r="I88" s="540"/>
    </row>
    <row r="89" spans="2:9" x14ac:dyDescent="0.25">
      <c r="B89" s="590">
        <v>42639</v>
      </c>
      <c r="C89" s="538">
        <v>200</v>
      </c>
      <c r="D89" s="540">
        <v>21.494499999999999</v>
      </c>
      <c r="E89" s="540">
        <v>22.64</v>
      </c>
      <c r="F89" s="540">
        <f t="shared" si="131"/>
        <v>229.10000000000039</v>
      </c>
      <c r="G89" s="540">
        <f t="shared" si="132"/>
        <v>4298.8999999999996</v>
      </c>
      <c r="H89" s="585">
        <f t="shared" si="133"/>
        <v>5.3292702784433321E-2</v>
      </c>
      <c r="I89" s="540" t="s">
        <v>304</v>
      </c>
    </row>
    <row r="90" spans="2:9" x14ac:dyDescent="0.25">
      <c r="B90" s="590">
        <v>42640</v>
      </c>
      <c r="C90" s="538">
        <v>200</v>
      </c>
      <c r="D90" s="540">
        <v>21.494499999999999</v>
      </c>
      <c r="E90" s="540">
        <v>23.95</v>
      </c>
      <c r="F90" s="540">
        <f t="shared" si="131"/>
        <v>491.10000000000014</v>
      </c>
      <c r="G90" s="540">
        <f t="shared" si="132"/>
        <v>4298.8999999999996</v>
      </c>
      <c r="H90" s="585">
        <f t="shared" si="133"/>
        <v>0.11423852613459261</v>
      </c>
      <c r="I90" s="540"/>
    </row>
    <row r="91" spans="2:9" x14ac:dyDescent="0.25">
      <c r="B91" s="590">
        <v>42643</v>
      </c>
      <c r="C91" s="538">
        <v>140</v>
      </c>
      <c r="D91" s="540">
        <v>20.112300000000001</v>
      </c>
      <c r="E91" s="540">
        <v>24.2</v>
      </c>
      <c r="F91" s="540">
        <f t="shared" si="131"/>
        <v>572.27799999999979</v>
      </c>
      <c r="G91" s="540">
        <f t="shared" si="132"/>
        <v>2815.7220000000002</v>
      </c>
      <c r="H91" s="585">
        <f t="shared" si="133"/>
        <v>0.2032437861408192</v>
      </c>
      <c r="I91" s="540"/>
    </row>
    <row r="92" spans="2:9" x14ac:dyDescent="0.25">
      <c r="B92" s="590">
        <v>42643</v>
      </c>
      <c r="C92" s="538">
        <v>200</v>
      </c>
      <c r="D92" s="540">
        <v>21.368600000000001</v>
      </c>
      <c r="E92" s="540">
        <v>24.2</v>
      </c>
      <c r="F92" s="540">
        <f t="shared" si="131"/>
        <v>566.27999999999975</v>
      </c>
      <c r="G92" s="540">
        <f t="shared" si="132"/>
        <v>4273.72</v>
      </c>
      <c r="H92" s="585">
        <f t="shared" si="133"/>
        <v>0.13250283125707807</v>
      </c>
      <c r="I92" s="540" t="s">
        <v>304</v>
      </c>
    </row>
    <row r="93" spans="2:9" x14ac:dyDescent="0.25">
      <c r="B93" s="590">
        <v>42648</v>
      </c>
      <c r="C93" s="538">
        <v>200</v>
      </c>
      <c r="D93" s="540">
        <v>21.368600000000001</v>
      </c>
      <c r="E93" s="540">
        <v>24.86</v>
      </c>
      <c r="F93" s="540">
        <f t="shared" si="131"/>
        <v>698.27999999999975</v>
      </c>
      <c r="G93" s="540">
        <f t="shared" si="132"/>
        <v>4273.72</v>
      </c>
      <c r="H93" s="585">
        <f t="shared" si="133"/>
        <v>0.16338927210954385</v>
      </c>
      <c r="I93" s="540"/>
    </row>
    <row r="94" spans="2:9" x14ac:dyDescent="0.25">
      <c r="B94" s="590">
        <v>42649</v>
      </c>
      <c r="C94" s="538">
        <v>200</v>
      </c>
      <c r="D94" s="540">
        <v>21.368600000000001</v>
      </c>
      <c r="E94" s="540">
        <v>24.66</v>
      </c>
      <c r="F94" s="540">
        <f t="shared" ref="F94" si="134">C94*(E94-D94)</f>
        <v>658.27999999999986</v>
      </c>
      <c r="G94" s="540">
        <f t="shared" ref="G94" si="135">D94*C94</f>
        <v>4273.72</v>
      </c>
      <c r="H94" s="585">
        <f t="shared" ref="H94" si="136">(E94-D94)/D94</f>
        <v>0.15402974457849364</v>
      </c>
      <c r="I94" s="540"/>
    </row>
    <row r="95" spans="2:9" x14ac:dyDescent="0.25">
      <c r="B95" s="590">
        <v>42650</v>
      </c>
      <c r="C95" s="538">
        <v>200</v>
      </c>
      <c r="D95" s="540">
        <v>21.368600000000001</v>
      </c>
      <c r="E95" s="540">
        <v>23.95</v>
      </c>
      <c r="F95" s="540">
        <f t="shared" ref="F95:F96" si="137">C95*(E95-D95)</f>
        <v>516.27999999999975</v>
      </c>
      <c r="G95" s="540">
        <f t="shared" ref="G95:G96" si="138">D95*C95</f>
        <v>4273.72</v>
      </c>
      <c r="H95" s="585">
        <f t="shared" ref="H95:H96" si="139">(E95-D95)/D95</f>
        <v>0.12080342184326529</v>
      </c>
      <c r="I95" s="540"/>
    </row>
    <row r="96" spans="2:9" x14ac:dyDescent="0.25">
      <c r="B96" s="590">
        <v>42661</v>
      </c>
      <c r="C96" s="538">
        <v>300</v>
      </c>
      <c r="D96" s="540">
        <v>21.765699999999999</v>
      </c>
      <c r="E96" s="540">
        <v>23.46</v>
      </c>
      <c r="F96" s="540">
        <f t="shared" si="137"/>
        <v>508.29000000000059</v>
      </c>
      <c r="G96" s="540">
        <f t="shared" si="138"/>
        <v>6529.71</v>
      </c>
      <c r="H96" s="585">
        <f t="shared" si="139"/>
        <v>7.7842660700092436E-2</v>
      </c>
      <c r="I96" s="540">
        <v>21.5</v>
      </c>
    </row>
    <row r="97" spans="2:9" x14ac:dyDescent="0.25">
      <c r="B97" s="590">
        <v>42662</v>
      </c>
      <c r="C97" s="538">
        <v>300</v>
      </c>
      <c r="D97" s="540">
        <v>21.77</v>
      </c>
      <c r="E97" s="540">
        <v>24.15</v>
      </c>
      <c r="F97" s="540">
        <f t="shared" ref="F97:F98" si="140">C97*(E97-D97)</f>
        <v>713.99999999999966</v>
      </c>
      <c r="G97" s="540">
        <f t="shared" ref="G97:G98" si="141">D97*C97</f>
        <v>6531</v>
      </c>
      <c r="H97" s="585">
        <f t="shared" ref="H97:H98" si="142">(E97-D97)/D97</f>
        <v>0.10932475884244369</v>
      </c>
      <c r="I97" s="540"/>
    </row>
    <row r="98" spans="2:9" x14ac:dyDescent="0.25">
      <c r="B98" s="590">
        <v>42663</v>
      </c>
      <c r="C98" s="538">
        <v>260</v>
      </c>
      <c r="D98" s="540">
        <v>21.302099999999999</v>
      </c>
      <c r="E98" s="540">
        <v>24.98</v>
      </c>
      <c r="F98" s="540">
        <f t="shared" si="140"/>
        <v>956.25400000000025</v>
      </c>
      <c r="G98" s="540">
        <f t="shared" si="141"/>
        <v>5538.5460000000003</v>
      </c>
      <c r="H98" s="585">
        <f t="shared" si="142"/>
        <v>0.17265433924354881</v>
      </c>
      <c r="I98" s="540"/>
    </row>
    <row r="99" spans="2:9" x14ac:dyDescent="0.25">
      <c r="B99" s="590">
        <v>42664</v>
      </c>
      <c r="C99" s="538">
        <v>260</v>
      </c>
      <c r="D99" s="540">
        <v>21.302099999999999</v>
      </c>
      <c r="E99" s="540">
        <v>25.92</v>
      </c>
      <c r="F99" s="540">
        <f t="shared" ref="F99" si="143">C99*(E99-D99)</f>
        <v>1200.6540000000007</v>
      </c>
      <c r="G99" s="540">
        <f t="shared" ref="G99" si="144">D99*C99</f>
        <v>5538.5460000000003</v>
      </c>
      <c r="H99" s="585">
        <f t="shared" ref="H99" si="145">(E99-D99)/D99</f>
        <v>0.21678144408297786</v>
      </c>
      <c r="I99" s="540"/>
    </row>
    <row r="100" spans="2:9" x14ac:dyDescent="0.25">
      <c r="B100" s="590">
        <v>42667</v>
      </c>
      <c r="C100" s="538">
        <v>260</v>
      </c>
      <c r="D100" s="540">
        <v>21.302099999999999</v>
      </c>
      <c r="E100" s="540">
        <v>25.35</v>
      </c>
      <c r="F100" s="540">
        <f t="shared" ref="F100:F105" si="146">C100*(E100-D100)</f>
        <v>1052.4540000000006</v>
      </c>
      <c r="G100" s="540">
        <f t="shared" ref="G100:G105" si="147">D100*C100</f>
        <v>5538.5460000000003</v>
      </c>
      <c r="H100" s="585">
        <f t="shared" ref="H100:H105" si="148">(E100-D100)/D100</f>
        <v>0.19002351880800494</v>
      </c>
      <c r="I100" s="540"/>
    </row>
    <row r="101" spans="2:9" x14ac:dyDescent="0.25">
      <c r="B101" s="590">
        <v>42674</v>
      </c>
      <c r="C101" s="538">
        <v>300</v>
      </c>
      <c r="D101" s="540">
        <v>21.6828</v>
      </c>
      <c r="E101" s="540">
        <v>24.01</v>
      </c>
      <c r="F101" s="540">
        <f t="shared" si="146"/>
        <v>698.16000000000042</v>
      </c>
      <c r="G101" s="540">
        <f t="shared" si="147"/>
        <v>6504.84</v>
      </c>
      <c r="H101" s="585">
        <f t="shared" si="148"/>
        <v>0.10732931171250951</v>
      </c>
      <c r="I101" s="540">
        <v>21.5</v>
      </c>
    </row>
    <row r="102" spans="2:9" x14ac:dyDescent="0.25">
      <c r="B102" s="590">
        <v>42675</v>
      </c>
      <c r="C102" s="538">
        <v>300</v>
      </c>
      <c r="D102" s="540">
        <v>21.6096</v>
      </c>
      <c r="E102" s="540">
        <v>24.89</v>
      </c>
      <c r="F102" s="540">
        <f t="shared" si="146"/>
        <v>984.12000000000012</v>
      </c>
      <c r="G102" s="540">
        <f t="shared" si="147"/>
        <v>6482.88</v>
      </c>
      <c r="H102" s="585">
        <f t="shared" si="148"/>
        <v>0.15180290241374206</v>
      </c>
      <c r="I102" s="540">
        <v>21.5</v>
      </c>
    </row>
    <row r="103" spans="2:9" x14ac:dyDescent="0.25">
      <c r="B103" s="590">
        <v>42677</v>
      </c>
      <c r="C103" s="538">
        <v>340</v>
      </c>
      <c r="D103" s="540">
        <v>21.5627</v>
      </c>
      <c r="E103" s="540">
        <v>22.6</v>
      </c>
      <c r="F103" s="540">
        <f t="shared" si="146"/>
        <v>352.68200000000064</v>
      </c>
      <c r="G103" s="540">
        <f t="shared" si="147"/>
        <v>7331.3180000000002</v>
      </c>
      <c r="H103" s="585">
        <f t="shared" si="148"/>
        <v>4.8106220464042164E-2</v>
      </c>
      <c r="I103" s="540"/>
    </row>
    <row r="104" spans="2:9" x14ac:dyDescent="0.25">
      <c r="B104" s="590">
        <v>42701</v>
      </c>
      <c r="C104" s="538">
        <v>240</v>
      </c>
      <c r="D104" s="540">
        <v>18.880800000000001</v>
      </c>
      <c r="E104" s="540">
        <v>28.55</v>
      </c>
      <c r="F104" s="540">
        <f t="shared" si="146"/>
        <v>2320.6080000000002</v>
      </c>
      <c r="G104" s="540">
        <f t="shared" si="147"/>
        <v>4531.3919999999998</v>
      </c>
      <c r="H104" s="585">
        <f t="shared" si="148"/>
        <v>0.51211813058768696</v>
      </c>
      <c r="I104" s="540"/>
    </row>
    <row r="105" spans="2:9" x14ac:dyDescent="0.25">
      <c r="B105" s="590">
        <v>42705</v>
      </c>
      <c r="C105" s="538">
        <v>200</v>
      </c>
      <c r="D105" s="540">
        <v>16.231100000000001</v>
      </c>
      <c r="E105" s="540">
        <v>28.94</v>
      </c>
      <c r="F105" s="540">
        <f t="shared" si="146"/>
        <v>2541.7799999999997</v>
      </c>
      <c r="G105" s="540">
        <f t="shared" si="147"/>
        <v>3246.2200000000003</v>
      </c>
      <c r="H105" s="585">
        <f t="shared" si="148"/>
        <v>0.78299683940090314</v>
      </c>
      <c r="I105" s="540" t="s">
        <v>338</v>
      </c>
    </row>
    <row r="106" spans="2:9" x14ac:dyDescent="0.25">
      <c r="B106" s="590">
        <v>42711</v>
      </c>
      <c r="C106" s="538">
        <v>0</v>
      </c>
      <c r="D106" s="540"/>
      <c r="E106" s="540"/>
      <c r="F106" s="540">
        <v>2733.66</v>
      </c>
      <c r="G106" s="540"/>
      <c r="H106" s="585"/>
      <c r="I106" s="540"/>
    </row>
    <row r="107" spans="2:9" x14ac:dyDescent="0.25">
      <c r="B107" s="157"/>
      <c r="C107" s="10"/>
      <c r="D107" s="40"/>
      <c r="E107" s="40"/>
      <c r="F107" s="40"/>
      <c r="G107" s="40"/>
      <c r="H107" s="231"/>
      <c r="I107" s="40"/>
    </row>
    <row r="108" spans="2:9" x14ac:dyDescent="0.25">
      <c r="B108" s="157"/>
      <c r="C108" s="10"/>
      <c r="D108" s="40"/>
      <c r="E108" s="40"/>
      <c r="F108" s="40"/>
      <c r="G108" s="40"/>
      <c r="H108" s="231"/>
      <c r="I108" s="40"/>
    </row>
    <row r="109" spans="2:9" x14ac:dyDescent="0.25">
      <c r="B109" s="157"/>
      <c r="C109" s="10"/>
      <c r="D109" s="40"/>
      <c r="E109" s="40"/>
      <c r="F109" s="40"/>
      <c r="G109" s="40"/>
      <c r="H109" s="231"/>
      <c r="I109" s="40"/>
    </row>
    <row r="113" spans="1:13" x14ac:dyDescent="0.25">
      <c r="L113" t="s">
        <v>65</v>
      </c>
      <c r="M113" s="2">
        <f>M131+K131-F131</f>
        <v>2733.6599999999962</v>
      </c>
    </row>
    <row r="114" spans="1:13" x14ac:dyDescent="0.25">
      <c r="A114" s="263" t="s">
        <v>1</v>
      </c>
      <c r="B114" s="591" t="s">
        <v>2</v>
      </c>
      <c r="C114" s="263" t="s">
        <v>4</v>
      </c>
      <c r="D114" s="264" t="s">
        <v>5</v>
      </c>
      <c r="E114" s="264" t="s">
        <v>94</v>
      </c>
      <c r="F114" s="264" t="s">
        <v>60</v>
      </c>
      <c r="G114" s="263" t="s">
        <v>3</v>
      </c>
      <c r="H114" s="263" t="s">
        <v>6</v>
      </c>
      <c r="I114" s="264" t="s">
        <v>7</v>
      </c>
      <c r="J114" s="264" t="s">
        <v>95</v>
      </c>
      <c r="K114" s="264" t="s">
        <v>61</v>
      </c>
      <c r="L114" s="263" t="s">
        <v>37</v>
      </c>
      <c r="M114" s="263" t="s">
        <v>38</v>
      </c>
    </row>
    <row r="115" spans="1:13" x14ac:dyDescent="0.25">
      <c r="A115" s="265" t="s">
        <v>230</v>
      </c>
      <c r="B115" s="592">
        <v>42545</v>
      </c>
      <c r="C115" s="261">
        <v>100</v>
      </c>
      <c r="D115" s="262">
        <v>25.25</v>
      </c>
      <c r="E115" s="262">
        <v>0</v>
      </c>
      <c r="F115" s="262">
        <f t="shared" ref="F115:F126" si="149">D115*C115+E115</f>
        <v>2525</v>
      </c>
      <c r="G115" s="592">
        <v>42577</v>
      </c>
      <c r="H115" s="267">
        <v>30</v>
      </c>
      <c r="I115" s="262">
        <v>25.81</v>
      </c>
      <c r="J115" s="262">
        <v>0.02</v>
      </c>
      <c r="K115" s="262">
        <f t="shared" ref="K115:K121" si="150">H115*I115-J115</f>
        <v>774.28</v>
      </c>
      <c r="L115" s="266">
        <v>42613</v>
      </c>
      <c r="M115" s="262">
        <v>90</v>
      </c>
    </row>
    <row r="116" spans="1:13" x14ac:dyDescent="0.25">
      <c r="A116" s="268" t="s">
        <v>71</v>
      </c>
      <c r="B116" s="592">
        <v>42580</v>
      </c>
      <c r="C116" s="261">
        <v>30</v>
      </c>
      <c r="D116" s="262">
        <v>23.78</v>
      </c>
      <c r="E116" s="262">
        <v>0</v>
      </c>
      <c r="F116" s="262">
        <f t="shared" si="149"/>
        <v>713.40000000000009</v>
      </c>
      <c r="G116" s="592">
        <v>42597</v>
      </c>
      <c r="H116" s="267">
        <v>70</v>
      </c>
      <c r="I116" s="262">
        <v>22.94</v>
      </c>
      <c r="J116" s="262">
        <v>0.38</v>
      </c>
      <c r="K116" s="262">
        <f t="shared" si="150"/>
        <v>1605.42</v>
      </c>
      <c r="L116" s="266">
        <v>42704</v>
      </c>
      <c r="M116" s="262">
        <v>102</v>
      </c>
    </row>
    <row r="117" spans="1:13" x14ac:dyDescent="0.25">
      <c r="A117" s="261"/>
      <c r="B117" s="592">
        <v>42586</v>
      </c>
      <c r="C117" s="261">
        <v>40</v>
      </c>
      <c r="D117" s="262">
        <v>22.65</v>
      </c>
      <c r="E117" s="262">
        <v>0</v>
      </c>
      <c r="F117" s="262">
        <f t="shared" si="149"/>
        <v>906</v>
      </c>
      <c r="G117" s="592">
        <v>42599</v>
      </c>
      <c r="H117" s="267">
        <v>30</v>
      </c>
      <c r="I117" s="262">
        <v>23.48</v>
      </c>
      <c r="J117" s="262">
        <v>0.02</v>
      </c>
      <c r="K117" s="262">
        <f t="shared" si="150"/>
        <v>704.38</v>
      </c>
      <c r="L117" s="261"/>
      <c r="M117" s="261"/>
    </row>
    <row r="118" spans="1:13" x14ac:dyDescent="0.25">
      <c r="A118" s="261"/>
      <c r="B118" s="592">
        <v>42586</v>
      </c>
      <c r="C118" s="261">
        <v>60</v>
      </c>
      <c r="D118" s="262">
        <v>22.65</v>
      </c>
      <c r="E118" s="262">
        <v>0</v>
      </c>
      <c r="F118" s="262">
        <f t="shared" si="149"/>
        <v>1359</v>
      </c>
      <c r="G118" s="592">
        <v>42621</v>
      </c>
      <c r="H118" s="267">
        <v>40</v>
      </c>
      <c r="I118" s="262">
        <v>26.28</v>
      </c>
      <c r="J118" s="262">
        <v>0.02</v>
      </c>
      <c r="K118" s="262">
        <f t="shared" si="150"/>
        <v>1051.18</v>
      </c>
      <c r="L118" s="261"/>
      <c r="M118" s="261"/>
    </row>
    <row r="119" spans="1:13" x14ac:dyDescent="0.25">
      <c r="A119" s="261"/>
      <c r="B119" s="592">
        <v>42586</v>
      </c>
      <c r="C119" s="261">
        <v>100</v>
      </c>
      <c r="D119" s="262">
        <v>20.92</v>
      </c>
      <c r="E119" s="262">
        <v>-0.5</v>
      </c>
      <c r="F119" s="262">
        <f t="shared" si="149"/>
        <v>2091.5</v>
      </c>
      <c r="G119" s="592">
        <v>42639</v>
      </c>
      <c r="H119" s="267">
        <v>100</v>
      </c>
      <c r="I119" s="262">
        <v>22.82</v>
      </c>
      <c r="J119" s="262">
        <v>0.05</v>
      </c>
      <c r="K119" s="262">
        <f t="shared" si="150"/>
        <v>2281.9499999999998</v>
      </c>
      <c r="L119" s="261"/>
      <c r="M119" s="261"/>
    </row>
    <row r="120" spans="1:13" x14ac:dyDescent="0.25">
      <c r="A120" s="261"/>
      <c r="B120" s="592">
        <v>42626</v>
      </c>
      <c r="C120" s="261">
        <v>40</v>
      </c>
      <c r="D120" s="262">
        <v>24.58</v>
      </c>
      <c r="E120" s="262">
        <v>0</v>
      </c>
      <c r="F120" s="262">
        <f t="shared" si="149"/>
        <v>983.19999999999993</v>
      </c>
      <c r="G120" s="592">
        <v>42643</v>
      </c>
      <c r="H120" s="267">
        <v>60</v>
      </c>
      <c r="I120" s="262">
        <v>24.72</v>
      </c>
      <c r="J120" s="262">
        <v>0.03</v>
      </c>
      <c r="K120" s="262">
        <f t="shared" si="150"/>
        <v>1483.1699999999998</v>
      </c>
      <c r="L120" s="261"/>
      <c r="M120" s="261"/>
    </row>
    <row r="121" spans="1:13" x14ac:dyDescent="0.25">
      <c r="A121" s="261"/>
      <c r="B121" s="592">
        <v>42639</v>
      </c>
      <c r="C121" s="261">
        <v>100</v>
      </c>
      <c r="D121" s="262">
        <v>22.28</v>
      </c>
      <c r="E121" s="262">
        <v>0</v>
      </c>
      <c r="F121" s="262">
        <f t="shared" si="149"/>
        <v>2228</v>
      </c>
      <c r="G121" s="592">
        <v>42663</v>
      </c>
      <c r="H121" s="267">
        <v>40</v>
      </c>
      <c r="I121" s="262">
        <v>24.78</v>
      </c>
      <c r="J121" s="262">
        <v>0.02</v>
      </c>
      <c r="K121" s="262">
        <f t="shared" si="150"/>
        <v>991.18000000000006</v>
      </c>
      <c r="L121" s="261"/>
      <c r="M121" s="261"/>
    </row>
    <row r="122" spans="1:13" x14ac:dyDescent="0.25">
      <c r="A122" s="261"/>
      <c r="B122" s="592">
        <v>42643</v>
      </c>
      <c r="C122" s="261">
        <v>60</v>
      </c>
      <c r="D122" s="262">
        <v>24.3</v>
      </c>
      <c r="E122" s="262">
        <v>0</v>
      </c>
      <c r="F122" s="262">
        <f t="shared" si="149"/>
        <v>1458</v>
      </c>
      <c r="G122" s="592">
        <v>42675</v>
      </c>
      <c r="H122" s="267">
        <v>100</v>
      </c>
      <c r="I122" s="262">
        <v>24.75</v>
      </c>
      <c r="J122" s="262">
        <v>0.05</v>
      </c>
      <c r="K122" s="262">
        <f>H122*I122-J122</f>
        <v>2474.9499999999998</v>
      </c>
      <c r="L122" s="261"/>
      <c r="M122" s="261"/>
    </row>
    <row r="123" spans="1:13" x14ac:dyDescent="0.25">
      <c r="A123" s="261"/>
      <c r="B123" s="592">
        <v>42655</v>
      </c>
      <c r="C123" s="261">
        <v>100</v>
      </c>
      <c r="D123" s="262">
        <v>22.56</v>
      </c>
      <c r="E123" s="262">
        <v>0</v>
      </c>
      <c r="F123" s="262">
        <f t="shared" si="149"/>
        <v>2256</v>
      </c>
      <c r="G123" s="592">
        <v>42677</v>
      </c>
      <c r="H123" s="267">
        <v>60</v>
      </c>
      <c r="I123" s="262">
        <v>23.16</v>
      </c>
      <c r="J123" s="262">
        <v>0.03</v>
      </c>
      <c r="K123" s="262">
        <f>H123*I123-J123</f>
        <v>1389.57</v>
      </c>
      <c r="L123" s="261"/>
      <c r="M123" s="261"/>
    </row>
    <row r="124" spans="1:13" x14ac:dyDescent="0.25">
      <c r="A124" s="261"/>
      <c r="B124" s="592">
        <v>42674</v>
      </c>
      <c r="C124" s="261">
        <v>40</v>
      </c>
      <c r="D124" s="262">
        <v>24.16</v>
      </c>
      <c r="E124" s="262">
        <v>-0.1</v>
      </c>
      <c r="F124" s="262">
        <f t="shared" si="149"/>
        <v>966.3</v>
      </c>
      <c r="G124" s="592">
        <v>42688</v>
      </c>
      <c r="H124" s="267">
        <v>100</v>
      </c>
      <c r="I124" s="262">
        <v>28</v>
      </c>
      <c r="J124" s="262">
        <v>0.06</v>
      </c>
      <c r="K124" s="262">
        <f>H124*I124-J124</f>
        <v>2799.94</v>
      </c>
      <c r="L124" s="261"/>
      <c r="M124" s="261"/>
    </row>
    <row r="125" spans="1:13" x14ac:dyDescent="0.25">
      <c r="A125" s="261"/>
      <c r="B125" s="592">
        <v>42675</v>
      </c>
      <c r="C125" s="261">
        <v>100</v>
      </c>
      <c r="D125" s="262">
        <v>24.53</v>
      </c>
      <c r="E125" s="262">
        <v>0</v>
      </c>
      <c r="F125" s="262">
        <f t="shared" si="149"/>
        <v>2453</v>
      </c>
      <c r="G125" s="592">
        <v>42705</v>
      </c>
      <c r="H125" s="267">
        <v>40</v>
      </c>
      <c r="I125" s="262">
        <v>29.58</v>
      </c>
      <c r="J125" s="262">
        <v>0.03</v>
      </c>
      <c r="K125" s="262">
        <f>H125*I125-J125</f>
        <v>1183.1699999999998</v>
      </c>
      <c r="L125" s="261"/>
      <c r="M125" s="261"/>
    </row>
    <row r="126" spans="1:13" x14ac:dyDescent="0.25">
      <c r="A126" s="261"/>
      <c r="B126" s="592">
        <v>42677</v>
      </c>
      <c r="C126" s="261">
        <v>100</v>
      </c>
      <c r="D126" s="262">
        <v>22.38</v>
      </c>
      <c r="E126" s="262">
        <v>0</v>
      </c>
      <c r="F126" s="262">
        <f t="shared" si="149"/>
        <v>2238</v>
      </c>
      <c r="G126" s="592">
        <v>42711</v>
      </c>
      <c r="H126" s="267">
        <v>200</v>
      </c>
      <c r="I126" s="262">
        <v>29.9</v>
      </c>
      <c r="J126" s="262">
        <v>0.13</v>
      </c>
      <c r="K126" s="262">
        <f>H126*I126-J126</f>
        <v>5979.87</v>
      </c>
      <c r="L126" s="261"/>
      <c r="M126" s="261"/>
    </row>
    <row r="127" spans="1:13" x14ac:dyDescent="0.25">
      <c r="A127" s="261"/>
      <c r="B127" s="592"/>
      <c r="C127" s="261"/>
      <c r="D127" s="262"/>
      <c r="E127" s="262"/>
      <c r="F127" s="262"/>
      <c r="G127" s="592"/>
      <c r="H127" s="267"/>
      <c r="I127" s="262"/>
      <c r="J127" s="262"/>
      <c r="K127" s="262"/>
      <c r="L127" s="261"/>
      <c r="M127" s="261"/>
    </row>
    <row r="128" spans="1:13" x14ac:dyDescent="0.25">
      <c r="A128" s="261"/>
      <c r="B128" s="592"/>
      <c r="C128" s="261"/>
      <c r="D128" s="262"/>
      <c r="E128" s="262"/>
      <c r="F128" s="262"/>
      <c r="G128" s="592"/>
      <c r="H128" s="267"/>
      <c r="I128" s="262"/>
      <c r="J128" s="262"/>
      <c r="K128" s="262"/>
      <c r="L128" s="261"/>
      <c r="M128" s="261"/>
    </row>
    <row r="129" spans="1:13" x14ac:dyDescent="0.25">
      <c r="A129" s="261"/>
      <c r="B129" s="592"/>
      <c r="C129" s="261"/>
      <c r="D129" s="262"/>
      <c r="E129" s="262"/>
      <c r="F129" s="262"/>
      <c r="G129" s="592"/>
      <c r="H129" s="267"/>
      <c r="I129" s="262"/>
      <c r="J129" s="262"/>
      <c r="K129" s="262"/>
      <c r="L129" s="261"/>
      <c r="M129" s="261"/>
    </row>
    <row r="130" spans="1:13" x14ac:dyDescent="0.25">
      <c r="A130" s="261"/>
      <c r="B130" s="592"/>
      <c r="C130" s="261"/>
      <c r="D130" s="262"/>
      <c r="E130" s="262"/>
      <c r="F130" s="262"/>
      <c r="G130" s="592"/>
      <c r="H130" s="261"/>
      <c r="I130" s="262"/>
      <c r="J130" s="262"/>
      <c r="K130" s="262"/>
      <c r="L130" s="261"/>
      <c r="M130" s="261"/>
    </row>
    <row r="131" spans="1:13" x14ac:dyDescent="0.25">
      <c r="A131" s="32" t="s">
        <v>81</v>
      </c>
      <c r="B131" s="511"/>
      <c r="C131" s="14">
        <f>SUM(C115:C127)</f>
        <v>870</v>
      </c>
      <c r="D131" s="18"/>
      <c r="E131" s="18"/>
      <c r="F131" s="18">
        <f>SUM(F115:F127)</f>
        <v>20177.400000000001</v>
      </c>
      <c r="G131" s="14"/>
      <c r="H131" s="14">
        <f>SUM(H115:H126)</f>
        <v>870</v>
      </c>
      <c r="I131" s="18"/>
      <c r="J131" s="18"/>
      <c r="K131" s="18">
        <f>SUM(K115:K126)</f>
        <v>22719.059999999998</v>
      </c>
      <c r="L131" s="14"/>
      <c r="M131" s="18">
        <f>SUM(M115:M123)</f>
        <v>192</v>
      </c>
    </row>
    <row r="132" spans="1:13" ht="15.75" thickBot="1" x14ac:dyDescent="0.3">
      <c r="A132" s="467" t="s">
        <v>198</v>
      </c>
      <c r="B132" s="593"/>
      <c r="C132" s="469">
        <f>SumByColor($A$19,C115:C130)</f>
        <v>0</v>
      </c>
      <c r="D132" s="469"/>
      <c r="E132" s="469"/>
      <c r="F132" s="470">
        <f>SumByColor($A$19,F115:F130)</f>
        <v>0</v>
      </c>
      <c r="G132" s="469"/>
      <c r="H132" s="469">
        <f>SumByColor($A$19,H115:H130)</f>
        <v>0</v>
      </c>
      <c r="I132" s="469"/>
      <c r="J132" s="469"/>
      <c r="K132" s="470">
        <f>SumByColor($A$19,K115:K130)</f>
        <v>0</v>
      </c>
      <c r="L132" s="469"/>
      <c r="M132" s="470">
        <f t="shared" ref="M132" si="151">SumByColor($A$19,M115:M130)</f>
        <v>0</v>
      </c>
    </row>
    <row r="135" spans="1:13" x14ac:dyDescent="0.25">
      <c r="L135" t="s">
        <v>65</v>
      </c>
      <c r="M135" s="2">
        <f>M153+K153-F153</f>
        <v>576.80999999999949</v>
      </c>
    </row>
    <row r="136" spans="1:13" x14ac:dyDescent="0.25">
      <c r="A136" s="612" t="s">
        <v>1</v>
      </c>
      <c r="B136" s="613" t="s">
        <v>2</v>
      </c>
      <c r="C136" s="612" t="s">
        <v>4</v>
      </c>
      <c r="D136" s="614" t="s">
        <v>5</v>
      </c>
      <c r="E136" s="614" t="s">
        <v>94</v>
      </c>
      <c r="F136" s="614" t="s">
        <v>60</v>
      </c>
      <c r="G136" s="612" t="s">
        <v>3</v>
      </c>
      <c r="H136" s="612" t="s">
        <v>6</v>
      </c>
      <c r="I136" s="614" t="s">
        <v>7</v>
      </c>
      <c r="J136" s="614" t="s">
        <v>95</v>
      </c>
      <c r="K136" s="614" t="s">
        <v>61</v>
      </c>
      <c r="L136" s="612" t="s">
        <v>37</v>
      </c>
      <c r="M136" s="612" t="s">
        <v>38</v>
      </c>
    </row>
    <row r="137" spans="1:13" x14ac:dyDescent="0.25">
      <c r="A137" s="615" t="s">
        <v>230</v>
      </c>
      <c r="B137" s="616">
        <v>42716</v>
      </c>
      <c r="C137" s="617">
        <v>100</v>
      </c>
      <c r="D137" s="618">
        <v>29.49</v>
      </c>
      <c r="E137" s="618">
        <v>0</v>
      </c>
      <c r="F137" s="618">
        <f t="shared" ref="F137:F139" si="152">D137*C137+E137</f>
        <v>2949</v>
      </c>
      <c r="G137" s="616">
        <v>42720</v>
      </c>
      <c r="H137" s="619">
        <v>100</v>
      </c>
      <c r="I137" s="618">
        <v>29.36</v>
      </c>
      <c r="J137" s="618">
        <v>0.06</v>
      </c>
      <c r="K137" s="618">
        <f>I137*H137-J137</f>
        <v>2935.94</v>
      </c>
      <c r="L137" s="620"/>
      <c r="M137" s="618"/>
    </row>
    <row r="138" spans="1:13" x14ac:dyDescent="0.25">
      <c r="A138" s="621" t="s">
        <v>71</v>
      </c>
      <c r="B138" s="616">
        <v>42716</v>
      </c>
      <c r="C138" s="617">
        <v>100</v>
      </c>
      <c r="D138" s="618">
        <v>29.08</v>
      </c>
      <c r="E138" s="618">
        <v>0</v>
      </c>
      <c r="F138" s="618">
        <f t="shared" si="152"/>
        <v>2908</v>
      </c>
      <c r="G138" s="616">
        <v>42724</v>
      </c>
      <c r="H138" s="619">
        <v>100</v>
      </c>
      <c r="I138" s="618">
        <v>28.98</v>
      </c>
      <c r="J138" s="618">
        <v>0.06</v>
      </c>
      <c r="K138" s="618">
        <f>I138*H138-J138</f>
        <v>2897.94</v>
      </c>
      <c r="L138" s="620"/>
      <c r="M138" s="618"/>
    </row>
    <row r="139" spans="1:13" x14ac:dyDescent="0.25">
      <c r="A139" s="617"/>
      <c r="B139" s="616">
        <v>42723</v>
      </c>
      <c r="C139" s="617">
        <v>100</v>
      </c>
      <c r="D139" s="618">
        <v>28.28</v>
      </c>
      <c r="E139" s="618">
        <v>0</v>
      </c>
      <c r="F139" s="618">
        <f t="shared" si="152"/>
        <v>2828</v>
      </c>
      <c r="G139" s="616">
        <v>42755</v>
      </c>
      <c r="H139" s="619">
        <v>100</v>
      </c>
      <c r="I139" s="618">
        <v>34.28</v>
      </c>
      <c r="J139" s="618">
        <v>7.0000000000000007E-2</v>
      </c>
      <c r="K139" s="618">
        <f>I139*H139-J139</f>
        <v>3427.93</v>
      </c>
      <c r="L139" s="617"/>
      <c r="M139" s="617"/>
    </row>
    <row r="140" spans="1:13" x14ac:dyDescent="0.25">
      <c r="A140" s="617"/>
      <c r="B140" s="616"/>
      <c r="C140" s="617"/>
      <c r="D140" s="618"/>
      <c r="E140" s="618"/>
      <c r="F140" s="618"/>
      <c r="G140" s="616"/>
      <c r="H140" s="619"/>
      <c r="I140" s="618"/>
      <c r="J140" s="618"/>
      <c r="K140" s="618"/>
      <c r="L140" s="617"/>
      <c r="M140" s="617"/>
    </row>
    <row r="141" spans="1:13" x14ac:dyDescent="0.25">
      <c r="A141" s="617"/>
      <c r="B141" s="616"/>
      <c r="C141" s="617"/>
      <c r="D141" s="618"/>
      <c r="E141" s="618"/>
      <c r="F141" s="618"/>
      <c r="G141" s="616"/>
      <c r="H141" s="619"/>
      <c r="I141" s="618"/>
      <c r="J141" s="618"/>
      <c r="K141" s="618"/>
      <c r="L141" s="617"/>
      <c r="M141" s="617"/>
    </row>
    <row r="142" spans="1:13" x14ac:dyDescent="0.25">
      <c r="A142" s="617"/>
      <c r="B142" s="616"/>
      <c r="C142" s="617"/>
      <c r="D142" s="618"/>
      <c r="E142" s="618"/>
      <c r="F142" s="618"/>
      <c r="G142" s="616"/>
      <c r="H142" s="619"/>
      <c r="I142" s="618"/>
      <c r="J142" s="618"/>
      <c r="K142" s="618"/>
      <c r="L142" s="617"/>
      <c r="M142" s="617"/>
    </row>
    <row r="143" spans="1:13" x14ac:dyDescent="0.25">
      <c r="A143" s="617"/>
      <c r="B143" s="616"/>
      <c r="C143" s="617"/>
      <c r="D143" s="618"/>
      <c r="E143" s="618"/>
      <c r="F143" s="618"/>
      <c r="G143" s="616"/>
      <c r="H143" s="619"/>
      <c r="I143" s="618"/>
      <c r="J143" s="618"/>
      <c r="K143" s="618"/>
      <c r="L143" s="617"/>
      <c r="M143" s="617"/>
    </row>
    <row r="144" spans="1:13" x14ac:dyDescent="0.25">
      <c r="A144" s="617"/>
      <c r="B144" s="616"/>
      <c r="C144" s="617"/>
      <c r="D144" s="618"/>
      <c r="E144" s="618"/>
      <c r="F144" s="618"/>
      <c r="G144" s="616"/>
      <c r="H144" s="619"/>
      <c r="I144" s="618"/>
      <c r="J144" s="618"/>
      <c r="K144" s="618"/>
      <c r="L144" s="617"/>
      <c r="M144" s="617"/>
    </row>
    <row r="145" spans="1:13" x14ac:dyDescent="0.25">
      <c r="A145" s="617"/>
      <c r="B145" s="616"/>
      <c r="C145" s="617"/>
      <c r="D145" s="618"/>
      <c r="E145" s="618"/>
      <c r="F145" s="618"/>
      <c r="G145" s="616"/>
      <c r="H145" s="619"/>
      <c r="I145" s="618"/>
      <c r="J145" s="618"/>
      <c r="K145" s="618"/>
      <c r="L145" s="616"/>
      <c r="M145" s="617"/>
    </row>
    <row r="146" spans="1:13" x14ac:dyDescent="0.25">
      <c r="A146" s="617"/>
      <c r="B146" s="616"/>
      <c r="C146" s="617"/>
      <c r="D146" s="618"/>
      <c r="E146" s="618"/>
      <c r="F146" s="618"/>
      <c r="G146" s="616"/>
      <c r="H146" s="619"/>
      <c r="I146" s="618"/>
      <c r="J146" s="618"/>
      <c r="K146" s="618"/>
      <c r="L146" s="617"/>
      <c r="M146" s="617"/>
    </row>
    <row r="147" spans="1:13" x14ac:dyDescent="0.25">
      <c r="A147" s="617"/>
      <c r="B147" s="616"/>
      <c r="C147" s="617"/>
      <c r="D147" s="618"/>
      <c r="E147" s="618"/>
      <c r="F147" s="618"/>
      <c r="G147" s="616"/>
      <c r="H147" s="619"/>
      <c r="I147" s="618"/>
      <c r="J147" s="618"/>
      <c r="K147" s="618"/>
      <c r="L147" s="617"/>
      <c r="M147" s="617"/>
    </row>
    <row r="148" spans="1:13" x14ac:dyDescent="0.25">
      <c r="A148" s="617"/>
      <c r="B148" s="616"/>
      <c r="C148" s="617"/>
      <c r="D148" s="618"/>
      <c r="E148" s="618"/>
      <c r="F148" s="618"/>
      <c r="G148" s="616"/>
      <c r="H148" s="619"/>
      <c r="I148" s="618"/>
      <c r="J148" s="618"/>
      <c r="K148" s="618"/>
      <c r="L148" s="617"/>
      <c r="M148" s="617"/>
    </row>
    <row r="149" spans="1:13" x14ac:dyDescent="0.25">
      <c r="A149" s="617"/>
      <c r="B149" s="616"/>
      <c r="C149" s="617"/>
      <c r="D149" s="618"/>
      <c r="E149" s="618"/>
      <c r="F149" s="618"/>
      <c r="G149" s="616"/>
      <c r="H149" s="619"/>
      <c r="I149" s="618"/>
      <c r="J149" s="618"/>
      <c r="K149" s="618"/>
      <c r="L149" s="617"/>
      <c r="M149" s="617"/>
    </row>
    <row r="150" spans="1:13" x14ac:dyDescent="0.25">
      <c r="A150" s="617"/>
      <c r="B150" s="616"/>
      <c r="C150" s="617"/>
      <c r="D150" s="618"/>
      <c r="E150" s="618"/>
      <c r="F150" s="618"/>
      <c r="G150" s="616"/>
      <c r="H150" s="619"/>
      <c r="I150" s="618"/>
      <c r="J150" s="618"/>
      <c r="K150" s="618"/>
      <c r="L150" s="617"/>
      <c r="M150" s="617"/>
    </row>
    <row r="151" spans="1:13" x14ac:dyDescent="0.25">
      <c r="A151" s="617"/>
      <c r="B151" s="616"/>
      <c r="C151" s="617"/>
      <c r="D151" s="618"/>
      <c r="E151" s="618"/>
      <c r="F151" s="618"/>
      <c r="G151" s="616"/>
      <c r="H151" s="619"/>
      <c r="I151" s="618"/>
      <c r="J151" s="618"/>
      <c r="K151" s="618"/>
      <c r="L151" s="617"/>
      <c r="M151" s="617"/>
    </row>
    <row r="152" spans="1:13" x14ac:dyDescent="0.25">
      <c r="A152" s="617"/>
      <c r="B152" s="616"/>
      <c r="C152" s="617"/>
      <c r="D152" s="618"/>
      <c r="E152" s="618"/>
      <c r="F152" s="618"/>
      <c r="G152" s="616"/>
      <c r="H152" s="617"/>
      <c r="I152" s="618"/>
      <c r="J152" s="618"/>
      <c r="K152" s="618"/>
      <c r="L152" s="617"/>
      <c r="M152" s="617"/>
    </row>
    <row r="153" spans="1:13" x14ac:dyDescent="0.25">
      <c r="A153" s="622" t="s">
        <v>81</v>
      </c>
      <c r="B153" s="623"/>
      <c r="C153" s="624">
        <f>SUM(C137:C149)</f>
        <v>300</v>
      </c>
      <c r="D153" s="625"/>
      <c r="E153" s="625"/>
      <c r="F153" s="625">
        <f>SUM(F137:F149)</f>
        <v>8685</v>
      </c>
      <c r="G153" s="624"/>
      <c r="H153" s="624">
        <f>SUM(H137:H148)</f>
        <v>300</v>
      </c>
      <c r="I153" s="625"/>
      <c r="J153" s="625"/>
      <c r="K153" s="625">
        <f>SUM(K137:K148)</f>
        <v>9261.81</v>
      </c>
      <c r="L153" s="624"/>
      <c r="M153" s="625">
        <f>SUM(M137:M145)</f>
        <v>0</v>
      </c>
    </row>
    <row r="154" spans="1:13" ht="15.75" thickBot="1" x14ac:dyDescent="0.3">
      <c r="A154" s="626" t="s">
        <v>198</v>
      </c>
      <c r="B154" s="627"/>
      <c r="C154" s="628">
        <f>SumByColor($A$19,C137:C152)</f>
        <v>0</v>
      </c>
      <c r="D154" s="628"/>
      <c r="E154" s="628"/>
      <c r="F154" s="629">
        <f>SumByColor($A$19,F137:F152)</f>
        <v>0</v>
      </c>
      <c r="G154" s="628"/>
      <c r="H154" s="628">
        <f>SumByColor($A$19,H137:H152)</f>
        <v>0</v>
      </c>
      <c r="I154" s="628"/>
      <c r="J154" s="628"/>
      <c r="K154" s="629">
        <f>SumByColor($A$19,K137:K152)</f>
        <v>0</v>
      </c>
      <c r="L154" s="628"/>
      <c r="M154" s="629">
        <f t="shared" ref="M154" si="153">SumByColor($A$19,M137:M152)</f>
        <v>0</v>
      </c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{87716AB3-5A61-45BF-A2C9-5C55506A8ACE}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52:F88 H52:H88 H91:H96 F91:F96 F98:F109 H98:H109">
    <cfRule type="expression" dxfId="317" priority="29">
      <formula>F52&gt;0</formula>
    </cfRule>
    <cfRule type="expression" dxfId="316" priority="30">
      <formula>F52&lt;0</formula>
    </cfRule>
  </conditionalFormatting>
  <conditionalFormatting sqref="Q7">
    <cfRule type="expression" dxfId="315" priority="23">
      <formula>Q7&gt;0</formula>
    </cfRule>
    <cfRule type="expression" dxfId="314" priority="24">
      <formula>Q7&lt;0</formula>
    </cfRule>
  </conditionalFormatting>
  <conditionalFormatting sqref="Q8">
    <cfRule type="expression" dxfId="313" priority="21">
      <formula>Q8&gt;0</formula>
    </cfRule>
    <cfRule type="expression" dxfId="312" priority="22">
      <formula>Q8&lt;0</formula>
    </cfRule>
  </conditionalFormatting>
  <conditionalFormatting sqref="F44:F51">
    <cfRule type="expression" dxfId="311" priority="19">
      <formula>F44&gt;0</formula>
    </cfRule>
    <cfRule type="expression" dxfId="310" priority="20">
      <formula>F44&lt;0</formula>
    </cfRule>
  </conditionalFormatting>
  <conditionalFormatting sqref="H44:H51">
    <cfRule type="expression" dxfId="309" priority="17">
      <formula>H44&gt;0</formula>
    </cfRule>
    <cfRule type="expression" dxfId="308" priority="18">
      <formula>H44&lt;0</formula>
    </cfRule>
  </conditionalFormatting>
  <conditionalFormatting sqref="F89:F90 H89:H90">
    <cfRule type="expression" dxfId="307" priority="15">
      <formula>F89&gt;0</formula>
    </cfRule>
    <cfRule type="expression" dxfId="306" priority="16">
      <formula>F89&lt;0</formula>
    </cfRule>
  </conditionalFormatting>
  <conditionalFormatting sqref="H97 F97">
    <cfRule type="expression" dxfId="305" priority="13">
      <formula>F97&gt;0</formula>
    </cfRule>
    <cfRule type="expression" dxfId="304" priority="14">
      <formula>F97&lt;0</formula>
    </cfRule>
  </conditionalFormatting>
  <conditionalFormatting sqref="F24:F31">
    <cfRule type="expression" dxfId="303" priority="11">
      <formula>F24&gt;0</formula>
    </cfRule>
    <cfRule type="expression" dxfId="302" priority="12">
      <formula>F24&lt;0</formula>
    </cfRule>
  </conditionalFormatting>
  <conditionalFormatting sqref="H24:H31">
    <cfRule type="expression" dxfId="301" priority="9">
      <formula>H24&gt;0</formula>
    </cfRule>
    <cfRule type="expression" dxfId="300" priority="10">
      <formula>H24&lt;0</formula>
    </cfRule>
  </conditionalFormatting>
  <conditionalFormatting sqref="F33">
    <cfRule type="expression" dxfId="299" priority="3">
      <formula>F33&gt;0</formula>
    </cfRule>
    <cfRule type="expression" dxfId="298" priority="4">
      <formula>F33&lt;0</formula>
    </cfRule>
  </conditionalFormatting>
  <conditionalFormatting sqref="F34">
    <cfRule type="expression" dxfId="297" priority="1">
      <formula>F34&gt;0</formula>
    </cfRule>
    <cfRule type="expression" dxfId="296" priority="2">
      <formula>F34&lt;0</formula>
    </cfRule>
  </conditionalFormatting>
  <hyperlinks>
    <hyperlink ref="A3" location="ACTIVE!A1" display="Back"/>
    <hyperlink ref="A116" location="ACTIVE!A1" display="Back"/>
    <hyperlink ref="A13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7716AB3-5A61-45BF-A2C9-5C55506A8A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30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8" max="18" width="10.42578125" bestFit="1" customWidth="1"/>
    <col min="20" max="20" width="18.5703125" customWidth="1"/>
    <col min="21" max="21" width="35.5703125" customWidth="1"/>
    <col min="23" max="23" width="17.8554687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424</v>
      </c>
      <c r="B2" s="510">
        <v>42755</v>
      </c>
      <c r="C2" s="4">
        <v>30</v>
      </c>
      <c r="D2" s="3">
        <v>64.680000000000007</v>
      </c>
      <c r="E2" s="3">
        <v>0</v>
      </c>
      <c r="F2" s="3">
        <f t="shared" ref="F2" si="0">D2*C2+E2</f>
        <v>1940.4</v>
      </c>
      <c r="G2" s="509"/>
      <c r="H2" s="185"/>
      <c r="I2" s="3"/>
      <c r="J2" s="3"/>
      <c r="K2" s="3"/>
      <c r="L2" s="74"/>
      <c r="M2" s="3"/>
      <c r="O2" s="11" t="s">
        <v>57</v>
      </c>
      <c r="Q2">
        <f>C18-H18</f>
        <v>30</v>
      </c>
      <c r="T2" s="1">
        <v>42568</v>
      </c>
      <c r="U2" t="s">
        <v>252</v>
      </c>
      <c r="W2" s="133">
        <v>42768</v>
      </c>
      <c r="X2" s="10">
        <v>63.91</v>
      </c>
      <c r="Y2" s="10">
        <v>64.17</v>
      </c>
      <c r="Z2" s="10">
        <v>63.66</v>
      </c>
      <c r="AA2" s="10">
        <v>63.68</v>
      </c>
      <c r="AB2" s="95">
        <v>5516300</v>
      </c>
      <c r="AC2" s="10">
        <v>63.68</v>
      </c>
      <c r="AD2" s="2">
        <f>Y2-Z2</f>
        <v>0.51000000000000512</v>
      </c>
      <c r="AE2" s="138">
        <f>AC2/AC3-1</f>
        <v>1.5705983979885652E-4</v>
      </c>
    </row>
    <row r="3" spans="1:31" x14ac:dyDescent="0.25">
      <c r="A3" s="23" t="s">
        <v>71</v>
      </c>
      <c r="B3" s="509"/>
      <c r="C3" s="4"/>
      <c r="D3" s="3"/>
      <c r="E3" s="3"/>
      <c r="F3" s="3"/>
      <c r="G3" s="509"/>
      <c r="H3" s="185"/>
      <c r="I3" s="3"/>
      <c r="J3" s="3"/>
      <c r="K3" s="3"/>
      <c r="L3" s="74"/>
      <c r="M3" s="3"/>
      <c r="O3" s="11" t="s">
        <v>58</v>
      </c>
      <c r="Q3" s="230">
        <f>IF(Q2=0, Q4, (F18-K18-M18)/Q2)</f>
        <v>64.680000000000007</v>
      </c>
      <c r="T3" s="1" t="s">
        <v>253</v>
      </c>
      <c r="W3" s="133">
        <v>42767</v>
      </c>
      <c r="X3" s="10">
        <v>63.98</v>
      </c>
      <c r="Y3" s="10">
        <v>64.16</v>
      </c>
      <c r="Z3" s="10">
        <v>63.46</v>
      </c>
      <c r="AA3" s="10">
        <v>63.67</v>
      </c>
      <c r="AB3" s="95">
        <v>5190200</v>
      </c>
      <c r="AC3" s="10">
        <v>63.67</v>
      </c>
      <c r="AD3" s="2">
        <f t="shared" ref="AD3:AD66" si="1">Y3-Z3</f>
        <v>0.69999999999999574</v>
      </c>
      <c r="AE3" s="138">
        <f t="shared" ref="AE3:AE66" si="2">AC3/AC4-1</f>
        <v>-1.2562034739454164E-2</v>
      </c>
    </row>
    <row r="4" spans="1:31" x14ac:dyDescent="0.25">
      <c r="B4" s="509"/>
      <c r="C4" s="4"/>
      <c r="D4" s="3"/>
      <c r="E4" s="3"/>
      <c r="F4" s="3"/>
      <c r="G4" s="509"/>
      <c r="H4" s="185"/>
      <c r="I4" s="3"/>
      <c r="J4" s="3"/>
      <c r="K4" s="3"/>
      <c r="L4" s="4"/>
      <c r="M4" s="4"/>
      <c r="O4" s="11" t="s">
        <v>66</v>
      </c>
      <c r="Q4" s="55">
        <v>63.75</v>
      </c>
      <c r="R4" s="529">
        <v>1.1000000000000001E-3</v>
      </c>
      <c r="T4" s="163">
        <v>42633</v>
      </c>
      <c r="U4" s="1" t="s">
        <v>290</v>
      </c>
      <c r="W4" s="133">
        <v>42766</v>
      </c>
      <c r="X4" s="10">
        <v>63.8</v>
      </c>
      <c r="Y4" s="10">
        <v>64.5</v>
      </c>
      <c r="Z4" s="10">
        <v>63.45</v>
      </c>
      <c r="AA4" s="10">
        <v>64.48</v>
      </c>
      <c r="AB4" s="95">
        <v>5645200</v>
      </c>
      <c r="AC4" s="10">
        <v>64.48</v>
      </c>
      <c r="AD4" s="2">
        <f t="shared" si="1"/>
        <v>1.0499999999999972</v>
      </c>
      <c r="AE4" s="138">
        <f t="shared" si="2"/>
        <v>5.6144728633811258E-3</v>
      </c>
    </row>
    <row r="5" spans="1:31" x14ac:dyDescent="0.25">
      <c r="B5" s="509"/>
      <c r="C5" s="4"/>
      <c r="D5" s="3"/>
      <c r="E5" s="3"/>
      <c r="F5" s="3"/>
      <c r="G5" s="509"/>
      <c r="H5" s="185"/>
      <c r="I5" s="3"/>
      <c r="J5" s="3"/>
      <c r="K5" s="3"/>
      <c r="L5" s="4"/>
      <c r="M5" s="4"/>
      <c r="O5" s="11" t="s">
        <v>67</v>
      </c>
      <c r="Q5" s="3">
        <f>Q4*Q2</f>
        <v>1912.5</v>
      </c>
      <c r="T5" t="s">
        <v>378</v>
      </c>
      <c r="W5" s="133">
        <v>42765</v>
      </c>
      <c r="X5" s="10">
        <v>63.7</v>
      </c>
      <c r="Y5" s="10">
        <v>64.14</v>
      </c>
      <c r="Z5" s="10">
        <v>63.49</v>
      </c>
      <c r="AA5" s="10">
        <v>64.12</v>
      </c>
      <c r="AB5" s="95">
        <v>5207700</v>
      </c>
      <c r="AC5" s="10">
        <v>64.12</v>
      </c>
      <c r="AD5" s="2">
        <f t="shared" si="1"/>
        <v>0.64999999999999858</v>
      </c>
      <c r="AE5" s="138">
        <f t="shared" si="2"/>
        <v>6.59340659340657E-3</v>
      </c>
    </row>
    <row r="6" spans="1:31" x14ac:dyDescent="0.25">
      <c r="B6" s="509"/>
      <c r="C6" s="4"/>
      <c r="D6" s="3"/>
      <c r="E6" s="3"/>
      <c r="F6" s="3"/>
      <c r="G6" s="509"/>
      <c r="H6" s="185"/>
      <c r="I6" s="3"/>
      <c r="J6" s="3"/>
      <c r="K6" s="3"/>
      <c r="L6" s="4"/>
      <c r="M6" s="4"/>
      <c r="O6" s="11" t="s">
        <v>64</v>
      </c>
      <c r="Q6" s="2">
        <f>Q3*Q2</f>
        <v>1940.4</v>
      </c>
      <c r="W6" s="133">
        <v>42762</v>
      </c>
      <c r="X6" s="10">
        <v>64.55</v>
      </c>
      <c r="Y6" s="10">
        <v>64.77</v>
      </c>
      <c r="Z6" s="10">
        <v>62.94</v>
      </c>
      <c r="AA6" s="10">
        <v>63.7</v>
      </c>
      <c r="AB6" s="95">
        <v>7452400</v>
      </c>
      <c r="AC6" s="10">
        <v>63.7</v>
      </c>
      <c r="AD6" s="2">
        <f t="shared" si="1"/>
        <v>1.8299999999999983</v>
      </c>
      <c r="AE6" s="138">
        <f t="shared" si="2"/>
        <v>-7.3242948418263953E-3</v>
      </c>
    </row>
    <row r="7" spans="1:31" x14ac:dyDescent="0.25">
      <c r="B7" s="509"/>
      <c r="C7" s="4"/>
      <c r="D7" s="3"/>
      <c r="E7" s="3"/>
      <c r="F7" s="3"/>
      <c r="G7" s="509"/>
      <c r="H7" s="185"/>
      <c r="I7" s="3"/>
      <c r="J7" s="3"/>
      <c r="K7" s="3"/>
      <c r="L7" s="4"/>
      <c r="M7" s="4"/>
      <c r="O7" s="11" t="s">
        <v>181</v>
      </c>
      <c r="Q7" s="2">
        <f>Q10+Q8</f>
        <v>-27.900000000000091</v>
      </c>
      <c r="R7" s="30">
        <v>42786</v>
      </c>
      <c r="W7" s="133">
        <v>42761</v>
      </c>
      <c r="X7" s="10">
        <v>64.849999999999994</v>
      </c>
      <c r="Y7" s="10">
        <v>64.91</v>
      </c>
      <c r="Z7" s="10">
        <v>64.12</v>
      </c>
      <c r="AA7" s="10">
        <v>64.17</v>
      </c>
      <c r="AB7" s="95">
        <v>4379500</v>
      </c>
      <c r="AC7" s="10">
        <v>64.17</v>
      </c>
      <c r="AD7" s="2">
        <f t="shared" si="1"/>
        <v>0.78999999999999204</v>
      </c>
      <c r="AE7" s="138">
        <f t="shared" si="2"/>
        <v>-1.2769230769230755E-2</v>
      </c>
    </row>
    <row r="8" spans="1:31" x14ac:dyDescent="0.25">
      <c r="B8" s="509"/>
      <c r="C8" s="4"/>
      <c r="D8" s="3"/>
      <c r="E8" s="3"/>
      <c r="F8" s="3"/>
      <c r="G8" s="509"/>
      <c r="H8" s="185"/>
      <c r="I8" s="3"/>
      <c r="J8" s="3"/>
      <c r="K8" s="3"/>
      <c r="L8" s="4"/>
      <c r="M8" s="4"/>
      <c r="O8" s="11" t="s">
        <v>184</v>
      </c>
      <c r="P8" s="34"/>
      <c r="Q8" s="2">
        <f>K18+M18-F18+Q2*Q4</f>
        <v>-27.900000000000091</v>
      </c>
      <c r="W8" s="133">
        <v>42760</v>
      </c>
      <c r="X8" s="10">
        <v>64.73</v>
      </c>
      <c r="Y8" s="10">
        <v>65.17</v>
      </c>
      <c r="Z8" s="10">
        <v>64.66</v>
      </c>
      <c r="AA8" s="10">
        <v>65</v>
      </c>
      <c r="AB8" s="95">
        <v>5669800</v>
      </c>
      <c r="AC8" s="10">
        <v>65</v>
      </c>
      <c r="AD8" s="2">
        <f t="shared" si="1"/>
        <v>0.51000000000000512</v>
      </c>
      <c r="AE8" s="138">
        <f t="shared" si="2"/>
        <v>9.1600683123738147E-3</v>
      </c>
    </row>
    <row r="9" spans="1:31" x14ac:dyDescent="0.25">
      <c r="B9" s="509"/>
      <c r="C9" s="4"/>
      <c r="D9" s="3"/>
      <c r="E9" s="3"/>
      <c r="F9" s="3"/>
      <c r="G9" s="509"/>
      <c r="H9" s="185"/>
      <c r="I9" s="3"/>
      <c r="J9" s="3"/>
      <c r="K9" s="3"/>
      <c r="L9" s="4"/>
      <c r="M9" s="4"/>
      <c r="O9" s="11" t="s">
        <v>214</v>
      </c>
      <c r="Q9" s="138">
        <f>IF(Q2=0, 0, Q8/Q6)</f>
        <v>-1.4378478664192996E-2</v>
      </c>
      <c r="W9" s="133">
        <v>42759</v>
      </c>
      <c r="X9" s="10">
        <v>63.85</v>
      </c>
      <c r="Y9" s="10">
        <v>64.42</v>
      </c>
      <c r="Z9" s="10">
        <v>63.61</v>
      </c>
      <c r="AA9" s="10">
        <v>64.41</v>
      </c>
      <c r="AB9" s="95">
        <v>6075500</v>
      </c>
      <c r="AC9" s="10">
        <v>64.41</v>
      </c>
      <c r="AD9" s="2">
        <f t="shared" si="1"/>
        <v>0.81000000000000227</v>
      </c>
      <c r="AE9" s="138">
        <f t="shared" si="2"/>
        <v>8.7705559906028352E-3</v>
      </c>
    </row>
    <row r="10" spans="1:31" x14ac:dyDescent="0.25">
      <c r="B10" s="509"/>
      <c r="C10" s="4"/>
      <c r="D10" s="3"/>
      <c r="E10" s="3"/>
      <c r="F10" s="3"/>
      <c r="G10" s="509"/>
      <c r="H10" s="185"/>
      <c r="I10" s="3"/>
      <c r="J10" s="3"/>
      <c r="K10" s="3"/>
      <c r="L10" s="509"/>
      <c r="M10" s="4"/>
      <c r="O10" s="11" t="s">
        <v>213</v>
      </c>
      <c r="P10" s="34"/>
      <c r="Q10" s="2">
        <v>0</v>
      </c>
      <c r="W10" s="133">
        <v>42758</v>
      </c>
      <c r="X10" s="10">
        <v>64.069999999999993</v>
      </c>
      <c r="Y10" s="10">
        <v>64.55</v>
      </c>
      <c r="Z10" s="10">
        <v>63.55</v>
      </c>
      <c r="AA10" s="10">
        <v>63.85</v>
      </c>
      <c r="AB10" s="95">
        <v>7836800</v>
      </c>
      <c r="AC10" s="10">
        <v>63.85</v>
      </c>
      <c r="AD10" s="2">
        <f t="shared" si="1"/>
        <v>1</v>
      </c>
      <c r="AE10" s="138">
        <f t="shared" si="2"/>
        <v>-3.900156006240163E-3</v>
      </c>
    </row>
    <row r="11" spans="1:31" x14ac:dyDescent="0.25">
      <c r="B11" s="509"/>
      <c r="C11" s="4"/>
      <c r="D11" s="3"/>
      <c r="E11" s="3"/>
      <c r="F11" s="3"/>
      <c r="G11" s="509"/>
      <c r="H11" s="185"/>
      <c r="I11" s="3"/>
      <c r="J11" s="3"/>
      <c r="K11" s="3"/>
      <c r="L11" s="4"/>
      <c r="M11" s="4"/>
      <c r="O11" s="11" t="s">
        <v>178</v>
      </c>
      <c r="P11" s="34"/>
      <c r="Q11" s="138">
        <f>IF(U58="N/A (N/A)", 0, VALUE(TRIM(CLEAN(MID(U58, FIND("(", U58)+1, 5)))))</f>
        <v>3.7400000000000003E-2</v>
      </c>
      <c r="W11" s="133">
        <v>42755</v>
      </c>
      <c r="X11" s="10">
        <v>65.39</v>
      </c>
      <c r="Y11" s="10">
        <v>65.41</v>
      </c>
      <c r="Z11" s="10">
        <v>63.78</v>
      </c>
      <c r="AA11" s="10">
        <v>64.099999999999994</v>
      </c>
      <c r="AB11" s="95">
        <v>12839300</v>
      </c>
      <c r="AC11" s="10">
        <v>64.099999999999994</v>
      </c>
      <c r="AD11" s="2">
        <f t="shared" si="1"/>
        <v>1.6299999999999955</v>
      </c>
      <c r="AE11" s="138">
        <f t="shared" si="2"/>
        <v>-1.9727787123413498E-2</v>
      </c>
    </row>
    <row r="12" spans="1:31" x14ac:dyDescent="0.25">
      <c r="B12" s="509"/>
      <c r="C12" s="4"/>
      <c r="D12" s="3"/>
      <c r="E12" s="3"/>
      <c r="F12" s="3"/>
      <c r="G12" s="509"/>
      <c r="H12" s="185"/>
      <c r="I12" s="3"/>
      <c r="J12" s="3"/>
      <c r="K12" s="3"/>
      <c r="L12" s="4"/>
      <c r="M12" s="4"/>
      <c r="W12" s="133">
        <v>42754</v>
      </c>
      <c r="X12" s="10">
        <v>66.33</v>
      </c>
      <c r="Y12" s="10">
        <v>66.88</v>
      </c>
      <c r="Z12" s="10">
        <v>65.06</v>
      </c>
      <c r="AA12" s="10">
        <v>65.39</v>
      </c>
      <c r="AB12" s="95">
        <v>12244100</v>
      </c>
      <c r="AC12" s="10">
        <v>65.39</v>
      </c>
      <c r="AD12" s="2">
        <f t="shared" si="1"/>
        <v>1.8199999999999932</v>
      </c>
      <c r="AE12" s="138">
        <f t="shared" si="2"/>
        <v>-2.1839940164547378E-2</v>
      </c>
    </row>
    <row r="13" spans="1:31" x14ac:dyDescent="0.25">
      <c r="B13" s="509"/>
      <c r="C13" s="4"/>
      <c r="D13" s="3"/>
      <c r="E13" s="3"/>
      <c r="F13" s="3"/>
      <c r="G13" s="509"/>
      <c r="H13" s="185"/>
      <c r="I13" s="3"/>
      <c r="J13" s="3"/>
      <c r="K13" s="3"/>
      <c r="L13" s="4"/>
      <c r="M13" s="4"/>
      <c r="W13" s="133">
        <v>42753</v>
      </c>
      <c r="X13" s="10">
        <v>68</v>
      </c>
      <c r="Y13" s="10">
        <v>68</v>
      </c>
      <c r="Z13" s="10">
        <v>66.349999999999994</v>
      </c>
      <c r="AA13" s="10">
        <v>66.849999999999994</v>
      </c>
      <c r="AB13" s="95">
        <v>19014500</v>
      </c>
      <c r="AC13" s="10">
        <v>66.849999999999994</v>
      </c>
      <c r="AD13" s="2">
        <f t="shared" si="1"/>
        <v>1.6500000000000057</v>
      </c>
      <c r="AE13" s="138">
        <f t="shared" si="2"/>
        <v>-5.7654355793628431E-2</v>
      </c>
    </row>
    <row r="14" spans="1:31" x14ac:dyDescent="0.25">
      <c r="B14" s="509"/>
      <c r="C14" s="4"/>
      <c r="D14" s="3"/>
      <c r="E14" s="3"/>
      <c r="F14" s="3"/>
      <c r="G14" s="509"/>
      <c r="H14" s="185"/>
      <c r="I14" s="3"/>
      <c r="J14" s="3"/>
      <c r="K14" s="3"/>
      <c r="L14" s="4"/>
      <c r="M14" s="4"/>
      <c r="W14" s="133">
        <v>42752</v>
      </c>
      <c r="X14" s="10">
        <v>70.760000000000005</v>
      </c>
      <c r="Y14" s="10">
        <v>72.08</v>
      </c>
      <c r="Z14" s="10">
        <v>70.63</v>
      </c>
      <c r="AA14" s="10">
        <v>70.94</v>
      </c>
      <c r="AB14" s="95">
        <v>5424700</v>
      </c>
      <c r="AC14" s="10">
        <v>70.94</v>
      </c>
      <c r="AD14" s="2">
        <f t="shared" si="1"/>
        <v>1.4500000000000028</v>
      </c>
      <c r="AE14" s="138">
        <f t="shared" si="2"/>
        <v>1.0685282803818197E-2</v>
      </c>
    </row>
    <row r="15" spans="1:31" x14ac:dyDescent="0.25">
      <c r="B15" s="509"/>
      <c r="C15" s="4"/>
      <c r="D15" s="3"/>
      <c r="E15" s="3"/>
      <c r="F15" s="3"/>
      <c r="G15" s="509"/>
      <c r="H15" s="185"/>
      <c r="I15" s="3"/>
      <c r="J15" s="3"/>
      <c r="K15" s="3"/>
      <c r="L15" s="4"/>
      <c r="M15" s="4"/>
      <c r="W15" s="133">
        <v>42748</v>
      </c>
      <c r="X15" s="10">
        <v>71.069999999999993</v>
      </c>
      <c r="Y15" s="10">
        <v>71.38</v>
      </c>
      <c r="Z15" s="10">
        <v>70.03</v>
      </c>
      <c r="AA15" s="10">
        <v>70.19</v>
      </c>
      <c r="AB15" s="95">
        <v>5332300</v>
      </c>
      <c r="AC15" s="10">
        <v>70.19</v>
      </c>
      <c r="AD15" s="2">
        <f t="shared" si="1"/>
        <v>1.3499999999999943</v>
      </c>
      <c r="AE15" s="138">
        <f t="shared" si="2"/>
        <v>-1.4877192982456156E-2</v>
      </c>
    </row>
    <row r="16" spans="1:31" x14ac:dyDescent="0.25">
      <c r="G16" s="30"/>
      <c r="H16" s="72"/>
      <c r="W16" s="133">
        <v>42747</v>
      </c>
      <c r="X16" s="10">
        <v>71.430000000000007</v>
      </c>
      <c r="Y16" s="10">
        <v>71.709999999999994</v>
      </c>
      <c r="Z16" s="10">
        <v>70.790000000000006</v>
      </c>
      <c r="AA16" s="10">
        <v>71.25</v>
      </c>
      <c r="AB16" s="95">
        <v>4161400</v>
      </c>
      <c r="AC16" s="10">
        <v>71.25</v>
      </c>
      <c r="AD16" s="2">
        <f t="shared" si="1"/>
        <v>0.91999999999998749</v>
      </c>
      <c r="AE16" s="138">
        <f t="shared" si="2"/>
        <v>-5.0272308336823945E-3</v>
      </c>
    </row>
    <row r="17" spans="1:31" x14ac:dyDescent="0.25">
      <c r="G17" s="30"/>
      <c r="W17" s="133">
        <v>42746</v>
      </c>
      <c r="X17" s="10">
        <v>71.680000000000007</v>
      </c>
      <c r="Y17" s="10">
        <v>71.930000000000007</v>
      </c>
      <c r="Z17" s="10">
        <v>71.33</v>
      </c>
      <c r="AA17" s="10">
        <v>71.61</v>
      </c>
      <c r="AB17" s="95">
        <v>3471200</v>
      </c>
      <c r="AC17" s="10">
        <v>71.61</v>
      </c>
      <c r="AD17" s="2">
        <f t="shared" si="1"/>
        <v>0.60000000000000853</v>
      </c>
      <c r="AE17" s="138">
        <f t="shared" si="2"/>
        <v>2.5199496010079869E-3</v>
      </c>
    </row>
    <row r="18" spans="1:31" x14ac:dyDescent="0.25">
      <c r="A18" s="32" t="s">
        <v>81</v>
      </c>
      <c r="B18" s="511"/>
      <c r="C18" s="14">
        <f>SUM(C2:C14)</f>
        <v>30</v>
      </c>
      <c r="D18" s="18"/>
      <c r="E18" s="18"/>
      <c r="F18" s="18">
        <f>SUM(F2:F14)</f>
        <v>1940.4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0</v>
      </c>
      <c r="W18" s="133">
        <v>42745</v>
      </c>
      <c r="X18" s="10">
        <v>71.38</v>
      </c>
      <c r="Y18" s="10">
        <v>72.010000000000005</v>
      </c>
      <c r="Z18" s="10">
        <v>71.010000000000005</v>
      </c>
      <c r="AA18" s="10">
        <v>71.430000000000007</v>
      </c>
      <c r="AB18" s="95">
        <v>4678000</v>
      </c>
      <c r="AC18" s="10">
        <v>71.430000000000007</v>
      </c>
      <c r="AD18" s="2">
        <f t="shared" si="1"/>
        <v>1</v>
      </c>
      <c r="AE18" s="138">
        <f t="shared" si="2"/>
        <v>0</v>
      </c>
    </row>
    <row r="19" spans="1:31" ht="15.75" thickBot="1" x14ac:dyDescent="0.3">
      <c r="A19" s="356" t="s">
        <v>198</v>
      </c>
      <c r="B19" s="512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 t="shared" ref="M19" si="3">SumByColor($A$19,M2:M17)</f>
        <v>0</v>
      </c>
      <c r="W19" s="133">
        <v>42744</v>
      </c>
      <c r="X19" s="10">
        <v>71.55</v>
      </c>
      <c r="Y19" s="10">
        <v>71.87</v>
      </c>
      <c r="Z19" s="10">
        <v>71.36</v>
      </c>
      <c r="AA19" s="10">
        <v>71.430000000000007</v>
      </c>
      <c r="AB19" s="95">
        <v>3807100</v>
      </c>
      <c r="AC19" s="10">
        <v>71.430000000000007</v>
      </c>
      <c r="AD19" s="2">
        <f t="shared" si="1"/>
        <v>0.51000000000000512</v>
      </c>
      <c r="AE19" s="138">
        <f t="shared" si="2"/>
        <v>-1.399776035833078E-4</v>
      </c>
    </row>
    <row r="20" spans="1:31" x14ac:dyDescent="0.25">
      <c r="W20" s="133">
        <v>42741</v>
      </c>
      <c r="X20" s="10">
        <v>71.98</v>
      </c>
      <c r="Y20" s="10">
        <v>72.23</v>
      </c>
      <c r="Z20" s="10">
        <v>71.180000000000007</v>
      </c>
      <c r="AA20" s="10">
        <v>71.44</v>
      </c>
      <c r="AB20" s="95">
        <v>5230000</v>
      </c>
      <c r="AC20" s="10">
        <v>71.44</v>
      </c>
      <c r="AD20" s="2">
        <f t="shared" si="1"/>
        <v>1.0499999999999972</v>
      </c>
      <c r="AE20" s="138">
        <f t="shared" si="2"/>
        <v>-1.5435501653803807E-2</v>
      </c>
    </row>
    <row r="21" spans="1:31" x14ac:dyDescent="0.25">
      <c r="W21" s="133">
        <v>42740</v>
      </c>
      <c r="X21" s="10">
        <v>72.33</v>
      </c>
      <c r="Y21" s="10">
        <v>72.72</v>
      </c>
      <c r="Z21" s="10">
        <v>70.849999999999994</v>
      </c>
      <c r="AA21" s="10">
        <v>72.56</v>
      </c>
      <c r="AB21" s="95">
        <v>7086000</v>
      </c>
      <c r="AC21" s="10">
        <v>72.56</v>
      </c>
      <c r="AD21" s="2">
        <f t="shared" si="1"/>
        <v>1.8700000000000045</v>
      </c>
      <c r="AE21" s="138">
        <f t="shared" si="2"/>
        <v>-1.6935374610486331E-2</v>
      </c>
    </row>
    <row r="22" spans="1:31" x14ac:dyDescent="0.25">
      <c r="W22" s="133">
        <v>42739</v>
      </c>
      <c r="X22" s="10">
        <v>73.099999999999994</v>
      </c>
      <c r="Y22" s="10">
        <v>74.239999999999995</v>
      </c>
      <c r="Z22" s="10">
        <v>73.099999999999994</v>
      </c>
      <c r="AA22" s="10">
        <v>73.81</v>
      </c>
      <c r="AB22" s="95">
        <v>5277000</v>
      </c>
      <c r="AC22" s="10">
        <v>73.81</v>
      </c>
      <c r="AD22" s="2">
        <f t="shared" si="1"/>
        <v>1.1400000000000006</v>
      </c>
      <c r="AE22" s="138">
        <f t="shared" si="2"/>
        <v>1.4570446735395315E-2</v>
      </c>
    </row>
    <row r="23" spans="1:31" x14ac:dyDescent="0.25">
      <c r="B23" s="513" t="s">
        <v>114</v>
      </c>
      <c r="C23" s="191" t="s">
        <v>147</v>
      </c>
      <c r="D23" s="192" t="s">
        <v>146</v>
      </c>
      <c r="E23" s="194" t="s">
        <v>148</v>
      </c>
      <c r="F23" s="194" t="s">
        <v>65</v>
      </c>
      <c r="G23" s="229" t="s">
        <v>152</v>
      </c>
      <c r="H23" s="229" t="s">
        <v>88</v>
      </c>
      <c r="I23" s="229" t="s">
        <v>155</v>
      </c>
      <c r="W23" s="133">
        <v>42738</v>
      </c>
      <c r="X23" s="10">
        <v>72.66</v>
      </c>
      <c r="Y23" s="10">
        <v>72.89</v>
      </c>
      <c r="Z23" s="10">
        <v>71.989999999999995</v>
      </c>
      <c r="AA23" s="10">
        <v>72.75</v>
      </c>
      <c r="AB23" s="95">
        <v>3885600</v>
      </c>
      <c r="AC23" s="10">
        <v>72.75</v>
      </c>
      <c r="AD23" s="2">
        <f t="shared" si="1"/>
        <v>0.90000000000000568</v>
      </c>
      <c r="AE23" s="138">
        <f t="shared" si="2"/>
        <v>7.1992246988785702E-3</v>
      </c>
    </row>
    <row r="24" spans="1:31" x14ac:dyDescent="0.25">
      <c r="B24" s="157">
        <v>42755</v>
      </c>
      <c r="C24" s="10">
        <v>30</v>
      </c>
      <c r="D24" s="40">
        <v>64.680000000000007</v>
      </c>
      <c r="E24" s="40">
        <v>64.099999999999994</v>
      </c>
      <c r="F24" s="40">
        <f>C24*(E24-D24)</f>
        <v>-17.400000000000375</v>
      </c>
      <c r="G24" s="10">
        <f t="shared" ref="G24" si="4">D24*C24</f>
        <v>1940.4</v>
      </c>
      <c r="H24" s="162">
        <f t="shared" ref="H24" si="5">(E24-D24)/D24</f>
        <v>-8.9672232529377314E-3</v>
      </c>
      <c r="I24" s="40"/>
      <c r="W24" s="133">
        <v>42734</v>
      </c>
      <c r="X24" s="10">
        <v>72.709999999999994</v>
      </c>
      <c r="Y24" s="10">
        <v>72.930000000000007</v>
      </c>
      <c r="Z24" s="10">
        <v>71.88</v>
      </c>
      <c r="AA24" s="10">
        <v>72.23</v>
      </c>
      <c r="AB24" s="95">
        <v>3030400</v>
      </c>
      <c r="AC24" s="10">
        <v>72.23</v>
      </c>
      <c r="AD24" s="2">
        <f t="shared" si="1"/>
        <v>1.0500000000000114</v>
      </c>
      <c r="AE24" s="138">
        <f t="shared" si="2"/>
        <v>-5.3704213715229931E-3</v>
      </c>
    </row>
    <row r="25" spans="1:31" x14ac:dyDescent="0.25">
      <c r="B25" s="157">
        <v>42760</v>
      </c>
      <c r="C25" s="10">
        <v>30</v>
      </c>
      <c r="D25" s="40">
        <v>64.680000000000007</v>
      </c>
      <c r="E25" s="40">
        <v>65</v>
      </c>
      <c r="F25" s="40">
        <f>C25*(E25-D25)</f>
        <v>9.5999999999997954</v>
      </c>
      <c r="G25" s="10">
        <f t="shared" ref="G25" si="6">D25*C25</f>
        <v>1940.4</v>
      </c>
      <c r="H25" s="162">
        <f t="shared" ref="H25" si="7">(E25-D25)/D25</f>
        <v>4.947433518861984E-3</v>
      </c>
      <c r="I25" s="40"/>
      <c r="W25" s="133">
        <v>42733</v>
      </c>
      <c r="X25" s="10">
        <v>72.78</v>
      </c>
      <c r="Y25" s="10">
        <v>73.17</v>
      </c>
      <c r="Z25" s="10">
        <v>72.430000000000007</v>
      </c>
      <c r="AA25" s="10">
        <v>72.62</v>
      </c>
      <c r="AB25" s="95">
        <v>2795300</v>
      </c>
      <c r="AC25" s="10">
        <v>72.62</v>
      </c>
      <c r="AD25" s="2">
        <f t="shared" si="1"/>
        <v>0.73999999999999488</v>
      </c>
      <c r="AE25" s="138">
        <f t="shared" si="2"/>
        <v>-2.883427159137586E-3</v>
      </c>
    </row>
    <row r="26" spans="1:31" x14ac:dyDescent="0.25">
      <c r="B26" s="157"/>
      <c r="C26" s="10"/>
      <c r="D26" s="40"/>
      <c r="E26" s="40"/>
      <c r="F26" s="40"/>
      <c r="G26" s="10"/>
      <c r="H26" s="10"/>
      <c r="I26" s="40"/>
      <c r="W26" s="133">
        <v>42732</v>
      </c>
      <c r="X26" s="10">
        <v>73.75</v>
      </c>
      <c r="Y26" s="10">
        <v>73.98</v>
      </c>
      <c r="Z26" s="10">
        <v>72.75</v>
      </c>
      <c r="AA26" s="10">
        <v>72.83</v>
      </c>
      <c r="AB26" s="95">
        <v>2615300</v>
      </c>
      <c r="AC26" s="10">
        <v>72.83</v>
      </c>
      <c r="AD26" s="2">
        <f t="shared" si="1"/>
        <v>1.230000000000004</v>
      </c>
      <c r="AE26" s="138">
        <f t="shared" si="2"/>
        <v>-1.1804613297150657E-2</v>
      </c>
    </row>
    <row r="27" spans="1:31" x14ac:dyDescent="0.25">
      <c r="B27" s="157"/>
      <c r="C27" s="10"/>
      <c r="D27" s="40"/>
      <c r="E27" s="40"/>
      <c r="F27" s="40"/>
      <c r="G27" s="10"/>
      <c r="H27" s="10"/>
      <c r="I27" s="40"/>
      <c r="W27" s="133">
        <v>42731</v>
      </c>
      <c r="X27" s="10">
        <v>73.83</v>
      </c>
      <c r="Y27" s="10">
        <v>74.23</v>
      </c>
      <c r="Z27" s="10">
        <v>73.56</v>
      </c>
      <c r="AA27" s="10">
        <v>73.7</v>
      </c>
      <c r="AB27" s="95">
        <v>2199800</v>
      </c>
      <c r="AC27" s="10">
        <v>73.7</v>
      </c>
      <c r="AD27" s="2">
        <f t="shared" si="1"/>
        <v>0.67000000000000171</v>
      </c>
      <c r="AE27" s="138">
        <f t="shared" si="2"/>
        <v>2.7210884353741083E-3</v>
      </c>
    </row>
    <row r="28" spans="1:31" x14ac:dyDescent="0.25">
      <c r="B28" s="157"/>
      <c r="C28" s="10"/>
      <c r="D28" s="40"/>
      <c r="E28" s="40"/>
      <c r="F28" s="40"/>
      <c r="G28" s="10"/>
      <c r="H28" s="10"/>
      <c r="I28" s="40"/>
      <c r="W28" s="133">
        <v>42727</v>
      </c>
      <c r="X28" s="10">
        <v>73.98</v>
      </c>
      <c r="Y28" s="10">
        <v>74.48</v>
      </c>
      <c r="Z28" s="10">
        <v>73.290000000000006</v>
      </c>
      <c r="AA28" s="10">
        <v>73.5</v>
      </c>
      <c r="AB28" s="95">
        <v>3329300</v>
      </c>
      <c r="AC28" s="10">
        <v>73.5</v>
      </c>
      <c r="AD28" s="2">
        <f t="shared" si="1"/>
        <v>1.1899999999999977</v>
      </c>
      <c r="AE28" s="138">
        <f t="shared" si="2"/>
        <v>-3.2546786004881145E-3</v>
      </c>
    </row>
    <row r="29" spans="1:31" x14ac:dyDescent="0.25">
      <c r="B29" s="157"/>
      <c r="C29" s="10"/>
      <c r="D29" s="40"/>
      <c r="E29" s="40"/>
      <c r="F29" s="40"/>
      <c r="G29" s="10"/>
      <c r="H29" s="10"/>
      <c r="I29" s="40"/>
      <c r="W29" s="133">
        <v>42726</v>
      </c>
      <c r="X29" s="10">
        <v>76.849999999999994</v>
      </c>
      <c r="Y29" s="10">
        <v>77</v>
      </c>
      <c r="Z29" s="10">
        <v>73.41</v>
      </c>
      <c r="AA29" s="10">
        <v>73.739999999999995</v>
      </c>
      <c r="AB29" s="95">
        <v>8416800</v>
      </c>
      <c r="AC29" s="10">
        <v>73.739999999999995</v>
      </c>
      <c r="AD29" s="2">
        <f t="shared" si="1"/>
        <v>3.5900000000000034</v>
      </c>
      <c r="AE29" s="138">
        <f t="shared" si="2"/>
        <v>-4.395176973940107E-2</v>
      </c>
    </row>
    <row r="30" spans="1:31" x14ac:dyDescent="0.25">
      <c r="B30" s="157"/>
      <c r="C30" s="10"/>
      <c r="D30" s="40"/>
      <c r="E30" s="40"/>
      <c r="F30" s="40"/>
      <c r="G30" s="10"/>
      <c r="H30" s="10"/>
      <c r="I30" s="40"/>
      <c r="W30" s="133">
        <v>42725</v>
      </c>
      <c r="X30" s="10">
        <v>77.37</v>
      </c>
      <c r="Y30" s="10">
        <v>77.87</v>
      </c>
      <c r="Z30" s="10">
        <v>77.12</v>
      </c>
      <c r="AA30" s="10">
        <v>77.13</v>
      </c>
      <c r="AB30" s="95">
        <v>2132900</v>
      </c>
      <c r="AC30" s="10">
        <v>77.13</v>
      </c>
      <c r="AD30" s="2">
        <f t="shared" si="1"/>
        <v>0.75</v>
      </c>
      <c r="AE30" s="138">
        <f t="shared" si="2"/>
        <v>-6.6967160334837628E-3</v>
      </c>
    </row>
    <row r="31" spans="1:31" x14ac:dyDescent="0.25">
      <c r="B31" s="157"/>
      <c r="C31" s="10"/>
      <c r="D31" s="40"/>
      <c r="E31" s="40"/>
      <c r="F31" s="40"/>
      <c r="G31" s="10"/>
      <c r="H31" s="10"/>
      <c r="I31" s="40"/>
      <c r="W31" s="133">
        <v>42724</v>
      </c>
      <c r="X31" s="10">
        <v>77.349999999999994</v>
      </c>
      <c r="Y31" s="10">
        <v>78</v>
      </c>
      <c r="Z31" s="10">
        <v>77.260000000000005</v>
      </c>
      <c r="AA31" s="10">
        <v>77.650000000000006</v>
      </c>
      <c r="AB31" s="95">
        <v>3483500</v>
      </c>
      <c r="AC31" s="10">
        <v>77.650000000000006</v>
      </c>
      <c r="AD31" s="2">
        <f t="shared" si="1"/>
        <v>0.73999999999999488</v>
      </c>
      <c r="AE31" s="138">
        <f t="shared" si="2"/>
        <v>7.917964693665569E-3</v>
      </c>
    </row>
    <row r="32" spans="1:31" x14ac:dyDescent="0.25">
      <c r="B32" s="157"/>
      <c r="C32" s="10"/>
      <c r="D32" s="40"/>
      <c r="E32" s="40"/>
      <c r="F32" s="40"/>
      <c r="G32" s="10"/>
      <c r="H32" s="10"/>
      <c r="I32" s="40"/>
      <c r="W32" s="133">
        <v>42723</v>
      </c>
      <c r="X32" s="10">
        <v>76.58</v>
      </c>
      <c r="Y32" s="10">
        <v>77.64</v>
      </c>
      <c r="Z32" s="10">
        <v>76.52</v>
      </c>
      <c r="AA32" s="10">
        <v>77.040000000000006</v>
      </c>
      <c r="AB32" s="95">
        <v>2820900</v>
      </c>
      <c r="AC32" s="10">
        <v>77.040000000000006</v>
      </c>
      <c r="AD32" s="2">
        <f t="shared" si="1"/>
        <v>1.1200000000000045</v>
      </c>
      <c r="AE32" s="138">
        <f t="shared" si="2"/>
        <v>3.7785016286646655E-3</v>
      </c>
    </row>
    <row r="33" spans="15:31" x14ac:dyDescent="0.25">
      <c r="W33" s="133">
        <v>42720</v>
      </c>
      <c r="X33" s="10">
        <v>77.040000000000006</v>
      </c>
      <c r="Y33" s="10">
        <v>78.37</v>
      </c>
      <c r="Z33" s="10">
        <v>76.47</v>
      </c>
      <c r="AA33" s="10">
        <v>76.75</v>
      </c>
      <c r="AB33" s="95">
        <v>8105800</v>
      </c>
      <c r="AC33" s="10">
        <v>76.75</v>
      </c>
      <c r="AD33" s="2">
        <f t="shared" si="1"/>
        <v>1.9000000000000057</v>
      </c>
      <c r="AE33" s="138">
        <f t="shared" si="2"/>
        <v>-2.9877890361132975E-3</v>
      </c>
    </row>
    <row r="34" spans="15:31" x14ac:dyDescent="0.25">
      <c r="W34" s="133">
        <v>42719</v>
      </c>
      <c r="X34" s="10">
        <v>77.14</v>
      </c>
      <c r="Y34" s="10">
        <v>77.69</v>
      </c>
      <c r="Z34" s="10">
        <v>76.790000000000006</v>
      </c>
      <c r="AA34" s="10">
        <v>76.98</v>
      </c>
      <c r="AB34" s="95">
        <v>3909900</v>
      </c>
      <c r="AC34" s="10">
        <v>76.98</v>
      </c>
      <c r="AD34" s="2">
        <f t="shared" si="1"/>
        <v>0.89999999999999147</v>
      </c>
      <c r="AE34" s="138">
        <f t="shared" si="2"/>
        <v>-2.7205596579866764E-3</v>
      </c>
    </row>
    <row r="35" spans="15:31" x14ac:dyDescent="0.25">
      <c r="W35" s="133">
        <v>42718</v>
      </c>
      <c r="X35" s="10">
        <v>77.45</v>
      </c>
      <c r="Y35" s="10">
        <v>77.849999999999994</v>
      </c>
      <c r="Z35" s="10">
        <v>76.849999999999994</v>
      </c>
      <c r="AA35" s="10">
        <v>77.19</v>
      </c>
      <c r="AB35" s="95">
        <v>5972800</v>
      </c>
      <c r="AC35" s="10">
        <v>77.19</v>
      </c>
      <c r="AD35" s="2">
        <f t="shared" si="1"/>
        <v>1</v>
      </c>
      <c r="AE35" s="138">
        <f t="shared" si="2"/>
        <v>-6.1799922750097602E-3</v>
      </c>
    </row>
    <row r="36" spans="15:31" x14ac:dyDescent="0.25">
      <c r="W36" s="133">
        <v>42717</v>
      </c>
      <c r="X36" s="10">
        <v>77</v>
      </c>
      <c r="Y36" s="10">
        <v>78.06</v>
      </c>
      <c r="Z36" s="10">
        <v>76.489999999999995</v>
      </c>
      <c r="AA36" s="10">
        <v>77.67</v>
      </c>
      <c r="AB36" s="95">
        <v>4866700</v>
      </c>
      <c r="AC36" s="10">
        <v>77.67</v>
      </c>
      <c r="AD36" s="2">
        <f t="shared" si="1"/>
        <v>1.5700000000000074</v>
      </c>
      <c r="AE36" s="138">
        <f t="shared" si="2"/>
        <v>1.2118842845973532E-2</v>
      </c>
    </row>
    <row r="37" spans="15:31" x14ac:dyDescent="0.25">
      <c r="W37" s="133">
        <v>42716</v>
      </c>
      <c r="X37" s="10">
        <v>76.98</v>
      </c>
      <c r="Y37" s="10">
        <v>77.430000000000007</v>
      </c>
      <c r="Z37" s="10">
        <v>76.349999999999994</v>
      </c>
      <c r="AA37" s="10">
        <v>76.739999999999995</v>
      </c>
      <c r="AB37" s="95">
        <v>4444700</v>
      </c>
      <c r="AC37" s="10">
        <v>76.739999999999995</v>
      </c>
      <c r="AD37" s="2">
        <f t="shared" si="1"/>
        <v>1.0800000000000125</v>
      </c>
      <c r="AE37" s="138">
        <f t="shared" si="2"/>
        <v>-8.3990179609769733E-3</v>
      </c>
    </row>
    <row r="38" spans="15:31" x14ac:dyDescent="0.25">
      <c r="W38" s="133">
        <v>42713</v>
      </c>
      <c r="X38" s="10">
        <v>77.44</v>
      </c>
      <c r="Y38" s="10">
        <v>77.69</v>
      </c>
      <c r="Z38" s="10">
        <v>76.88</v>
      </c>
      <c r="AA38" s="10">
        <v>77.39</v>
      </c>
      <c r="AB38" s="95">
        <v>4018600</v>
      </c>
      <c r="AC38" s="10">
        <v>77.39</v>
      </c>
      <c r="AD38" s="2">
        <f t="shared" si="1"/>
        <v>0.81000000000000227</v>
      </c>
      <c r="AE38" s="138">
        <f t="shared" si="2"/>
        <v>-5.7810894141829827E-3</v>
      </c>
    </row>
    <row r="39" spans="15:31" x14ac:dyDescent="0.25">
      <c r="W39" s="133">
        <v>42712</v>
      </c>
      <c r="X39" s="10">
        <v>77.349999999999994</v>
      </c>
      <c r="Y39" s="10">
        <v>78.42</v>
      </c>
      <c r="Z39" s="10">
        <v>77.16</v>
      </c>
      <c r="AA39" s="10">
        <v>77.84</v>
      </c>
      <c r="AB39" s="95">
        <v>5049100</v>
      </c>
      <c r="AC39" s="10">
        <v>77.84</v>
      </c>
      <c r="AD39" s="2">
        <f t="shared" si="1"/>
        <v>1.2600000000000051</v>
      </c>
      <c r="AE39" s="138">
        <f t="shared" si="2"/>
        <v>1.1303105105885392E-2</v>
      </c>
    </row>
    <row r="40" spans="15:31" ht="20.25" thickBot="1" x14ac:dyDescent="0.35">
      <c r="O40" s="638" t="s">
        <v>78</v>
      </c>
      <c r="P40" s="638"/>
      <c r="W40" s="133">
        <v>42711</v>
      </c>
      <c r="X40" s="10">
        <v>76.790000000000006</v>
      </c>
      <c r="Y40" s="10">
        <v>77.180000000000007</v>
      </c>
      <c r="Z40" s="10">
        <v>76.099999999999994</v>
      </c>
      <c r="AA40" s="10">
        <v>76.97</v>
      </c>
      <c r="AB40" s="95">
        <v>6752800</v>
      </c>
      <c r="AC40" s="10">
        <v>76.97</v>
      </c>
      <c r="AD40" s="2">
        <f t="shared" si="1"/>
        <v>1.0800000000000125</v>
      </c>
      <c r="AE40" s="138">
        <f t="shared" si="2"/>
        <v>2.6051843167904654E-3</v>
      </c>
    </row>
    <row r="41" spans="15:31" ht="15.75" thickTop="1" x14ac:dyDescent="0.25">
      <c r="O41" s="83">
        <v>1.1000000000000001</v>
      </c>
      <c r="P41" s="83">
        <f>O41*$Q$4</f>
        <v>70.125</v>
      </c>
      <c r="Q41" s="2"/>
      <c r="W41" s="133">
        <v>42710</v>
      </c>
      <c r="X41" s="10">
        <v>76.91</v>
      </c>
      <c r="Y41" s="10">
        <v>77.08</v>
      </c>
      <c r="Z41" s="10">
        <v>76.05</v>
      </c>
      <c r="AA41" s="10">
        <v>76.77</v>
      </c>
      <c r="AB41" s="95">
        <v>7675100</v>
      </c>
      <c r="AC41" s="10">
        <v>76.77</v>
      </c>
      <c r="AD41" s="2">
        <f t="shared" si="1"/>
        <v>1.0300000000000011</v>
      </c>
      <c r="AE41" s="138">
        <f t="shared" si="2"/>
        <v>-2.7279812938426629E-3</v>
      </c>
    </row>
    <row r="42" spans="15:31" ht="20.25" thickBot="1" x14ac:dyDescent="0.35">
      <c r="O42" s="83">
        <v>1.0900000000000001</v>
      </c>
      <c r="P42" s="83">
        <f t="shared" ref="P42:P61" si="8">O42*$Q$4</f>
        <v>69.487500000000011</v>
      </c>
      <c r="Q42" s="2"/>
      <c r="T42" s="91" t="s">
        <v>113</v>
      </c>
      <c r="W42" s="133">
        <v>42709</v>
      </c>
      <c r="X42" s="10">
        <v>78.010000000000005</v>
      </c>
      <c r="Y42" s="10">
        <v>78.08</v>
      </c>
      <c r="Z42" s="10">
        <v>76.8</v>
      </c>
      <c r="AA42" s="10">
        <v>76.98</v>
      </c>
      <c r="AB42" s="95">
        <v>7128800</v>
      </c>
      <c r="AC42" s="10">
        <v>76.98</v>
      </c>
      <c r="AD42" s="2">
        <f t="shared" si="1"/>
        <v>1.2800000000000011</v>
      </c>
      <c r="AE42" s="138">
        <f t="shared" si="2"/>
        <v>-1.2317167051578037E-2</v>
      </c>
    </row>
    <row r="43" spans="15:31" ht="15.75" thickTop="1" x14ac:dyDescent="0.25">
      <c r="O43" s="83">
        <v>1.08</v>
      </c>
      <c r="P43" s="83">
        <f t="shared" si="8"/>
        <v>68.850000000000009</v>
      </c>
      <c r="Q43" s="2"/>
      <c r="T43" s="128" t="s">
        <v>98</v>
      </c>
      <c r="U43" s="129">
        <v>63.67</v>
      </c>
      <c r="W43" s="133">
        <v>42706</v>
      </c>
      <c r="X43" s="10">
        <v>77.239999999999995</v>
      </c>
      <c r="Y43" s="10">
        <v>78.400000000000006</v>
      </c>
      <c r="Z43" s="10">
        <v>76.83</v>
      </c>
      <c r="AA43" s="10">
        <v>77.94</v>
      </c>
      <c r="AB43" s="95">
        <v>7517300</v>
      </c>
      <c r="AC43" s="10">
        <v>77.94</v>
      </c>
      <c r="AD43" s="2">
        <f t="shared" si="1"/>
        <v>1.5700000000000074</v>
      </c>
      <c r="AE43" s="138">
        <f t="shared" si="2"/>
        <v>1.5420200462605838E-3</v>
      </c>
    </row>
    <row r="44" spans="15:31" x14ac:dyDescent="0.25">
      <c r="O44" s="83">
        <v>1.07</v>
      </c>
      <c r="P44" s="83">
        <f t="shared" si="8"/>
        <v>68.212500000000006</v>
      </c>
      <c r="Q44" s="2"/>
      <c r="T44" s="93" t="s">
        <v>99</v>
      </c>
      <c r="U44" s="130">
        <v>63.91</v>
      </c>
      <c r="W44" s="133">
        <v>42705</v>
      </c>
      <c r="X44" s="10">
        <v>76.86</v>
      </c>
      <c r="Y44" s="10">
        <v>78.58</v>
      </c>
      <c r="Z44" s="10">
        <v>76.59</v>
      </c>
      <c r="AA44" s="10">
        <v>77.819999999999993</v>
      </c>
      <c r="AB44" s="95">
        <v>6643400</v>
      </c>
      <c r="AC44" s="10">
        <v>77.819999999999993</v>
      </c>
      <c r="AD44" s="2">
        <f t="shared" si="1"/>
        <v>1.9899999999999949</v>
      </c>
      <c r="AE44" s="138">
        <f t="shared" si="2"/>
        <v>7.5090626618332657E-3</v>
      </c>
    </row>
    <row r="45" spans="15:31" x14ac:dyDescent="0.25">
      <c r="O45" s="83">
        <v>1.06</v>
      </c>
      <c r="P45" s="83">
        <f t="shared" si="8"/>
        <v>67.575000000000003</v>
      </c>
      <c r="Q45" s="2"/>
      <c r="T45" s="93" t="s">
        <v>100</v>
      </c>
      <c r="U45" s="130" t="s">
        <v>129</v>
      </c>
      <c r="W45" s="133">
        <v>42704</v>
      </c>
      <c r="X45" s="10">
        <v>77.73</v>
      </c>
      <c r="Y45" s="10">
        <v>78.040000000000006</v>
      </c>
      <c r="Z45" s="10">
        <v>77.06</v>
      </c>
      <c r="AA45" s="10">
        <v>77.239999999999995</v>
      </c>
      <c r="AB45" s="95">
        <v>5674000</v>
      </c>
      <c r="AC45" s="10">
        <v>77.239999999999995</v>
      </c>
      <c r="AD45" s="2">
        <f t="shared" si="1"/>
        <v>0.98000000000000398</v>
      </c>
      <c r="AE45" s="138">
        <f t="shared" si="2"/>
        <v>-1.4921566126769537E-2</v>
      </c>
    </row>
    <row r="46" spans="15:31" x14ac:dyDescent="0.25">
      <c r="O46" s="83">
        <v>1.05</v>
      </c>
      <c r="P46" s="83">
        <f t="shared" si="8"/>
        <v>66.9375</v>
      </c>
      <c r="Q46" s="2"/>
      <c r="T46" s="93" t="s">
        <v>101</v>
      </c>
      <c r="U46" s="130" t="s">
        <v>129</v>
      </c>
      <c r="W46" s="133">
        <v>42703</v>
      </c>
      <c r="X46" s="10">
        <v>78</v>
      </c>
      <c r="Y46" s="10">
        <v>78.69</v>
      </c>
      <c r="Z46" s="10">
        <v>77.75</v>
      </c>
      <c r="AA46" s="10">
        <v>78.41</v>
      </c>
      <c r="AB46" s="95">
        <v>4578000</v>
      </c>
      <c r="AC46" s="10">
        <v>78.41</v>
      </c>
      <c r="AD46" s="2">
        <f t="shared" si="1"/>
        <v>0.93999999999999773</v>
      </c>
      <c r="AE46" s="138">
        <f t="shared" si="2"/>
        <v>8.8780236747296737E-3</v>
      </c>
    </row>
    <row r="47" spans="15:31" x14ac:dyDescent="0.25">
      <c r="O47" s="83">
        <v>1.04</v>
      </c>
      <c r="P47" s="83">
        <f t="shared" si="8"/>
        <v>66.3</v>
      </c>
      <c r="Q47" s="2"/>
      <c r="T47" s="93" t="s">
        <v>102</v>
      </c>
      <c r="U47" s="130">
        <v>73.849999999999994</v>
      </c>
      <c r="W47" s="133">
        <v>42702</v>
      </c>
      <c r="X47" s="10">
        <v>78.37</v>
      </c>
      <c r="Y47" s="10">
        <v>78.94</v>
      </c>
      <c r="Z47" s="10">
        <v>77.5</v>
      </c>
      <c r="AA47" s="10">
        <v>77.72</v>
      </c>
      <c r="AB47" s="95">
        <v>5400400</v>
      </c>
      <c r="AC47" s="10">
        <v>77.72</v>
      </c>
      <c r="AD47" s="2">
        <f t="shared" si="1"/>
        <v>1.4399999999999977</v>
      </c>
      <c r="AE47" s="138">
        <f t="shared" si="2"/>
        <v>-1.132171479455546E-2</v>
      </c>
    </row>
    <row r="48" spans="15:31" x14ac:dyDescent="0.25">
      <c r="O48" s="83">
        <v>1.03</v>
      </c>
      <c r="P48" s="83">
        <f t="shared" si="8"/>
        <v>65.662500000000009</v>
      </c>
      <c r="Q48" s="2"/>
      <c r="T48" s="93" t="s">
        <v>103</v>
      </c>
      <c r="U48" s="130">
        <v>0.58471499999999998</v>
      </c>
      <c r="W48" s="133">
        <v>42699</v>
      </c>
      <c r="X48" s="10">
        <v>78.849999999999994</v>
      </c>
      <c r="Y48" s="10">
        <v>79.33</v>
      </c>
      <c r="Z48" s="10">
        <v>78.42</v>
      </c>
      <c r="AA48" s="10">
        <v>78.61</v>
      </c>
      <c r="AB48" s="95">
        <v>2538900</v>
      </c>
      <c r="AC48" s="10">
        <v>78.61</v>
      </c>
      <c r="AD48" s="2">
        <f t="shared" si="1"/>
        <v>0.90999999999999659</v>
      </c>
      <c r="AE48" s="138">
        <f t="shared" si="2"/>
        <v>1.6564729867480921E-3</v>
      </c>
    </row>
    <row r="49" spans="15:31" x14ac:dyDescent="0.25">
      <c r="O49" s="83">
        <v>1.02</v>
      </c>
      <c r="P49" s="83">
        <f t="shared" si="8"/>
        <v>65.025000000000006</v>
      </c>
      <c r="Q49" s="2"/>
      <c r="T49" s="93" t="s">
        <v>104</v>
      </c>
      <c r="U49" s="130" t="s">
        <v>429</v>
      </c>
      <c r="W49" s="133">
        <v>42697</v>
      </c>
      <c r="X49" s="10">
        <v>77.930000000000007</v>
      </c>
      <c r="Y49" s="10">
        <v>78.959999999999994</v>
      </c>
      <c r="Z49" s="10">
        <v>77.58</v>
      </c>
      <c r="AA49" s="10">
        <v>78.48</v>
      </c>
      <c r="AB49" s="95">
        <v>6768400</v>
      </c>
      <c r="AC49" s="10">
        <v>78.48</v>
      </c>
      <c r="AD49" s="2">
        <f t="shared" si="1"/>
        <v>1.3799999999999955</v>
      </c>
      <c r="AE49" s="138">
        <f t="shared" si="2"/>
        <v>7.8335687684603084E-3</v>
      </c>
    </row>
    <row r="50" spans="15:31" x14ac:dyDescent="0.25">
      <c r="O50" s="83">
        <v>1.01</v>
      </c>
      <c r="P50" s="83">
        <f t="shared" si="8"/>
        <v>64.387500000000003</v>
      </c>
      <c r="Q50" s="2"/>
      <c r="T50" s="93"/>
      <c r="U50" s="130"/>
      <c r="W50" s="133">
        <v>42696</v>
      </c>
      <c r="X50" s="10">
        <v>76.89</v>
      </c>
      <c r="Y50" s="10">
        <v>78.13</v>
      </c>
      <c r="Z50" s="10">
        <v>76.86</v>
      </c>
      <c r="AA50" s="10">
        <v>77.87</v>
      </c>
      <c r="AB50" s="95">
        <v>5796100</v>
      </c>
      <c r="AC50" s="10">
        <v>77.87</v>
      </c>
      <c r="AD50" s="2">
        <f t="shared" si="1"/>
        <v>1.269999999999996</v>
      </c>
      <c r="AE50" s="138">
        <f t="shared" si="2"/>
        <v>1.7775454188994955E-2</v>
      </c>
    </row>
    <row r="51" spans="15:31" x14ac:dyDescent="0.25">
      <c r="O51" s="83">
        <v>1</v>
      </c>
      <c r="P51" s="83">
        <f t="shared" si="8"/>
        <v>63.75</v>
      </c>
      <c r="Q51" s="2"/>
      <c r="T51" s="93" t="s">
        <v>105</v>
      </c>
      <c r="U51" s="130" t="s">
        <v>629</v>
      </c>
      <c r="W51" s="133">
        <v>42695</v>
      </c>
      <c r="X51" s="10">
        <v>76.12</v>
      </c>
      <c r="Y51" s="10">
        <v>76.81</v>
      </c>
      <c r="Z51" s="10">
        <v>76</v>
      </c>
      <c r="AA51" s="10">
        <v>76.510000000000005</v>
      </c>
      <c r="AB51" s="95">
        <v>4455300</v>
      </c>
      <c r="AC51" s="10">
        <v>76.510000000000005</v>
      </c>
      <c r="AD51" s="2">
        <f t="shared" si="1"/>
        <v>0.81000000000000227</v>
      </c>
      <c r="AE51" s="138">
        <f t="shared" si="2"/>
        <v>4.200026250164246E-3</v>
      </c>
    </row>
    <row r="52" spans="15:31" x14ac:dyDescent="0.25">
      <c r="O52" s="83">
        <v>0.99</v>
      </c>
      <c r="P52" s="83">
        <f t="shared" si="8"/>
        <v>63.112499999999997</v>
      </c>
      <c r="Q52" s="2"/>
      <c r="T52" s="93" t="s">
        <v>106</v>
      </c>
      <c r="U52" s="130" t="s">
        <v>483</v>
      </c>
      <c r="W52" s="133">
        <v>42692</v>
      </c>
      <c r="X52" s="10">
        <v>75.900000000000006</v>
      </c>
      <c r="Y52" s="10">
        <v>76.39</v>
      </c>
      <c r="Z52" s="10">
        <v>75.69</v>
      </c>
      <c r="AA52" s="10">
        <v>76.19</v>
      </c>
      <c r="AB52" s="95">
        <v>5719700</v>
      </c>
      <c r="AC52" s="10">
        <v>76.19</v>
      </c>
      <c r="AD52" s="2">
        <f t="shared" si="1"/>
        <v>0.70000000000000284</v>
      </c>
      <c r="AE52" s="138">
        <f t="shared" si="2"/>
        <v>7.8812557467489164E-4</v>
      </c>
    </row>
    <row r="53" spans="15:31" x14ac:dyDescent="0.25">
      <c r="O53" s="83">
        <v>0.98</v>
      </c>
      <c r="P53" s="83">
        <f t="shared" si="8"/>
        <v>62.475000000000001</v>
      </c>
      <c r="Q53" s="2"/>
      <c r="T53" s="93" t="s">
        <v>107</v>
      </c>
      <c r="U53" s="131">
        <v>5518350</v>
      </c>
      <c r="W53" s="133">
        <v>42691</v>
      </c>
      <c r="X53" s="10">
        <v>76.180000000000007</v>
      </c>
      <c r="Y53" s="10">
        <v>76.430000000000007</v>
      </c>
      <c r="Z53" s="10">
        <v>75.400000000000006</v>
      </c>
      <c r="AA53" s="10">
        <v>76.13</v>
      </c>
      <c r="AB53" s="95">
        <v>8040700</v>
      </c>
      <c r="AC53" s="10">
        <v>76.13</v>
      </c>
      <c r="AD53" s="2">
        <f t="shared" si="1"/>
        <v>1.0300000000000011</v>
      </c>
      <c r="AE53" s="138">
        <f t="shared" si="2"/>
        <v>1.3152702880441236E-3</v>
      </c>
    </row>
    <row r="54" spans="15:31" x14ac:dyDescent="0.25">
      <c r="O54" s="83">
        <v>0.97</v>
      </c>
      <c r="P54" s="83">
        <f t="shared" si="8"/>
        <v>61.837499999999999</v>
      </c>
      <c r="T54" s="93" t="s">
        <v>110</v>
      </c>
      <c r="U54" s="131">
        <v>6132310</v>
      </c>
      <c r="W54" s="133">
        <v>42690</v>
      </c>
      <c r="X54" s="10">
        <v>77.5</v>
      </c>
      <c r="Y54" s="10">
        <v>78.3</v>
      </c>
      <c r="Z54" s="10">
        <v>75.56</v>
      </c>
      <c r="AA54" s="10">
        <v>76.03</v>
      </c>
      <c r="AB54" s="95">
        <v>21918700</v>
      </c>
      <c r="AC54" s="10">
        <v>76.03</v>
      </c>
      <c r="AD54" s="2">
        <f t="shared" si="1"/>
        <v>2.7399999999999949</v>
      </c>
      <c r="AE54" s="138">
        <f t="shared" si="2"/>
        <v>6.4249720044792902E-2</v>
      </c>
    </row>
    <row r="55" spans="15:31" x14ac:dyDescent="0.25">
      <c r="O55" s="83">
        <v>0.96</v>
      </c>
      <c r="P55" s="83">
        <f t="shared" si="8"/>
        <v>61.199999999999996</v>
      </c>
      <c r="T55" s="93" t="s">
        <v>108</v>
      </c>
      <c r="U55" s="130" t="s">
        <v>630</v>
      </c>
      <c r="W55" s="133">
        <v>42689</v>
      </c>
      <c r="X55" s="10">
        <v>72.31</v>
      </c>
      <c r="Y55" s="10">
        <v>72.37</v>
      </c>
      <c r="Z55" s="10">
        <v>71.17</v>
      </c>
      <c r="AA55" s="10">
        <v>71.44</v>
      </c>
      <c r="AB55" s="95">
        <v>7708300</v>
      </c>
      <c r="AC55" s="10">
        <v>71.44</v>
      </c>
      <c r="AD55" s="2">
        <f t="shared" si="1"/>
        <v>1.2000000000000028</v>
      </c>
      <c r="AE55" s="138">
        <f t="shared" si="2"/>
        <v>-1.0115006235277835E-2</v>
      </c>
    </row>
    <row r="56" spans="15:31" x14ac:dyDescent="0.25">
      <c r="O56" s="83">
        <v>0.95</v>
      </c>
      <c r="P56" s="83">
        <f t="shared" si="8"/>
        <v>60.5625</v>
      </c>
      <c r="T56" s="93" t="s">
        <v>111</v>
      </c>
      <c r="U56" s="130">
        <v>11.33</v>
      </c>
      <c r="W56" s="133">
        <v>42688</v>
      </c>
      <c r="X56" s="10">
        <v>71.069999999999993</v>
      </c>
      <c r="Y56" s="10">
        <v>72.88</v>
      </c>
      <c r="Z56" s="10">
        <v>70.849999999999994</v>
      </c>
      <c r="AA56" s="10">
        <v>72.17</v>
      </c>
      <c r="AB56" s="95">
        <v>7455400</v>
      </c>
      <c r="AC56" s="10">
        <v>72.17</v>
      </c>
      <c r="AD56" s="2">
        <f t="shared" si="1"/>
        <v>2.0300000000000011</v>
      </c>
      <c r="AE56" s="138" t="e">
        <f t="shared" si="2"/>
        <v>#DIV/0!</v>
      </c>
    </row>
    <row r="57" spans="15:31" x14ac:dyDescent="0.25">
      <c r="O57" s="83">
        <v>0.94</v>
      </c>
      <c r="P57" s="83">
        <f t="shared" si="8"/>
        <v>59.924999999999997</v>
      </c>
      <c r="T57" s="93" t="s">
        <v>112</v>
      </c>
      <c r="U57" s="130">
        <v>5.62</v>
      </c>
      <c r="W57" s="133">
        <v>42688</v>
      </c>
      <c r="X57" s="10" t="s">
        <v>430</v>
      </c>
      <c r="Y57" s="10"/>
      <c r="Z57" s="10"/>
      <c r="AA57" s="10"/>
      <c r="AB57" s="95"/>
      <c r="AC57" s="10"/>
      <c r="AD57" s="2">
        <f t="shared" si="1"/>
        <v>0</v>
      </c>
      <c r="AE57" s="138">
        <f t="shared" si="2"/>
        <v>-1</v>
      </c>
    </row>
    <row r="58" spans="15:31" x14ac:dyDescent="0.25">
      <c r="O58" s="83">
        <v>0.93</v>
      </c>
      <c r="P58" s="83">
        <f t="shared" si="8"/>
        <v>59.287500000000001</v>
      </c>
      <c r="T58" s="93" t="s">
        <v>109</v>
      </c>
      <c r="U58" s="130" t="s">
        <v>516</v>
      </c>
      <c r="W58" s="133">
        <v>42685</v>
      </c>
      <c r="X58" s="10">
        <v>70.430000000000007</v>
      </c>
      <c r="Y58" s="10">
        <v>71.540000000000006</v>
      </c>
      <c r="Z58" s="10">
        <v>70.2</v>
      </c>
      <c r="AA58" s="10">
        <v>71.349999999999994</v>
      </c>
      <c r="AB58" s="95">
        <v>5330600</v>
      </c>
      <c r="AC58" s="10">
        <v>70.75</v>
      </c>
      <c r="AD58" s="2">
        <f t="shared" si="1"/>
        <v>1.3400000000000034</v>
      </c>
      <c r="AE58" s="138">
        <f t="shared" si="2"/>
        <v>1.1436740528949274E-2</v>
      </c>
    </row>
    <row r="59" spans="15:31" x14ac:dyDescent="0.25">
      <c r="O59" s="83">
        <v>0.92</v>
      </c>
      <c r="P59" s="83">
        <f t="shared" si="8"/>
        <v>58.650000000000006</v>
      </c>
      <c r="W59" s="133">
        <v>42684</v>
      </c>
      <c r="X59" s="10">
        <v>69.67</v>
      </c>
      <c r="Y59" s="10">
        <v>72.2</v>
      </c>
      <c r="Z59" s="10">
        <v>69.39</v>
      </c>
      <c r="AA59" s="10">
        <v>70.540000000000006</v>
      </c>
      <c r="AB59" s="95">
        <v>9639100</v>
      </c>
      <c r="AC59" s="10">
        <v>69.95</v>
      </c>
      <c r="AD59" s="2">
        <f t="shared" si="1"/>
        <v>2.8100000000000023</v>
      </c>
      <c r="AE59" s="138">
        <f t="shared" si="2"/>
        <v>2.5208852410962823E-2</v>
      </c>
    </row>
    <row r="60" spans="15:31" x14ac:dyDescent="0.25">
      <c r="O60" s="83">
        <v>0.91</v>
      </c>
      <c r="P60" s="83">
        <f t="shared" si="8"/>
        <v>58.012500000000003</v>
      </c>
      <c r="W60" s="133">
        <v>42683</v>
      </c>
      <c r="X60" s="10">
        <v>66.290000000000006</v>
      </c>
      <c r="Y60" s="10">
        <v>69.25</v>
      </c>
      <c r="Z60" s="10">
        <v>66.010000000000005</v>
      </c>
      <c r="AA60" s="10">
        <v>68.81</v>
      </c>
      <c r="AB60" s="95">
        <v>9570700</v>
      </c>
      <c r="AC60" s="10">
        <v>68.23</v>
      </c>
      <c r="AD60" s="2">
        <f t="shared" si="1"/>
        <v>3.2399999999999949</v>
      </c>
      <c r="AE60" s="138">
        <f t="shared" si="2"/>
        <v>2.616934877425181E-2</v>
      </c>
    </row>
    <row r="61" spans="15:31" x14ac:dyDescent="0.25">
      <c r="O61" s="83">
        <v>0.9</v>
      </c>
      <c r="P61" s="83">
        <f t="shared" si="8"/>
        <v>57.375</v>
      </c>
      <c r="W61" s="133">
        <v>42682</v>
      </c>
      <c r="X61" s="10">
        <v>67.36</v>
      </c>
      <c r="Y61" s="10">
        <v>67.739999999999995</v>
      </c>
      <c r="Z61" s="10">
        <v>66.650000000000006</v>
      </c>
      <c r="AA61" s="10">
        <v>67.05</v>
      </c>
      <c r="AB61" s="95">
        <v>5097500</v>
      </c>
      <c r="AC61" s="10">
        <v>66.489999999999995</v>
      </c>
      <c r="AD61" s="2">
        <f t="shared" si="1"/>
        <v>1.0899999999999892</v>
      </c>
      <c r="AE61" s="138">
        <f t="shared" si="2"/>
        <v>-7.0191158900836381E-3</v>
      </c>
    </row>
    <row r="62" spans="15:31" x14ac:dyDescent="0.25">
      <c r="W62" s="133">
        <v>42681</v>
      </c>
      <c r="X62" s="10">
        <v>67.22</v>
      </c>
      <c r="Y62" s="10">
        <v>67.569999999999993</v>
      </c>
      <c r="Z62" s="10">
        <v>67.03</v>
      </c>
      <c r="AA62" s="10">
        <v>67.53</v>
      </c>
      <c r="AB62" s="95">
        <v>4777700</v>
      </c>
      <c r="AC62" s="10">
        <v>66.959999999999994</v>
      </c>
      <c r="AD62" s="2">
        <f t="shared" si="1"/>
        <v>0.53999999999999204</v>
      </c>
      <c r="AE62" s="138">
        <f t="shared" si="2"/>
        <v>1.5006821282401051E-2</v>
      </c>
    </row>
    <row r="63" spans="15:31" x14ac:dyDescent="0.25">
      <c r="W63" s="133">
        <v>42678</v>
      </c>
      <c r="X63" s="10">
        <v>66.72</v>
      </c>
      <c r="Y63" s="10">
        <v>67.31</v>
      </c>
      <c r="Z63" s="10">
        <v>66.52</v>
      </c>
      <c r="AA63" s="10">
        <v>66.53</v>
      </c>
      <c r="AB63" s="95">
        <v>3937300</v>
      </c>
      <c r="AC63" s="10">
        <v>65.97</v>
      </c>
      <c r="AD63" s="2">
        <f t="shared" si="1"/>
        <v>0.79000000000000625</v>
      </c>
      <c r="AE63" s="138">
        <f t="shared" si="2"/>
        <v>-2.1176826501285717E-3</v>
      </c>
    </row>
    <row r="64" spans="15:31" x14ac:dyDescent="0.25">
      <c r="W64" s="133">
        <v>42677</v>
      </c>
      <c r="X64" s="10">
        <v>68.540000000000006</v>
      </c>
      <c r="Y64" s="10">
        <v>68.59</v>
      </c>
      <c r="Z64" s="10">
        <v>66.55</v>
      </c>
      <c r="AA64" s="10">
        <v>66.67</v>
      </c>
      <c r="AB64" s="95">
        <v>5068400</v>
      </c>
      <c r="AC64" s="10">
        <v>66.11</v>
      </c>
      <c r="AD64" s="2">
        <f t="shared" si="1"/>
        <v>2.0400000000000063</v>
      </c>
      <c r="AE64" s="138">
        <f t="shared" si="2"/>
        <v>-2.3341704830846521E-2</v>
      </c>
    </row>
    <row r="65" spans="23:31" x14ac:dyDescent="0.25">
      <c r="W65" s="133">
        <v>42676</v>
      </c>
      <c r="X65" s="10">
        <v>67.72</v>
      </c>
      <c r="Y65" s="10">
        <v>68.489999999999995</v>
      </c>
      <c r="Z65" s="10">
        <v>67.349999999999994</v>
      </c>
      <c r="AA65" s="10">
        <v>68.260000000000005</v>
      </c>
      <c r="AB65" s="95">
        <v>3970600</v>
      </c>
      <c r="AC65" s="10">
        <v>67.69</v>
      </c>
      <c r="AD65" s="2">
        <f t="shared" si="1"/>
        <v>1.1400000000000006</v>
      </c>
      <c r="AE65" s="138">
        <f t="shared" si="2"/>
        <v>7.1417943758369518E-3</v>
      </c>
    </row>
    <row r="66" spans="23:31" x14ac:dyDescent="0.25">
      <c r="W66" s="133">
        <v>42675</v>
      </c>
      <c r="X66" s="10">
        <v>68.66</v>
      </c>
      <c r="Y66" s="10">
        <v>68.83</v>
      </c>
      <c r="Z66" s="10">
        <v>67.400000000000006</v>
      </c>
      <c r="AA66" s="10">
        <v>67.78</v>
      </c>
      <c r="AB66" s="95">
        <v>4019500</v>
      </c>
      <c r="AC66" s="10">
        <v>67.209999999999994</v>
      </c>
      <c r="AD66" s="2">
        <f t="shared" si="1"/>
        <v>1.4299999999999926</v>
      </c>
      <c r="AE66" s="138">
        <f t="shared" si="2"/>
        <v>-1.3793103448276001E-2</v>
      </c>
    </row>
    <row r="67" spans="23:31" x14ac:dyDescent="0.25">
      <c r="W67" s="133">
        <v>42674</v>
      </c>
      <c r="X67" s="10">
        <v>68.78</v>
      </c>
      <c r="Y67" s="10">
        <v>69.25</v>
      </c>
      <c r="Z67" s="10">
        <v>68.510000000000005</v>
      </c>
      <c r="AA67" s="10">
        <v>68.73</v>
      </c>
      <c r="AB67" s="95">
        <v>3349500</v>
      </c>
      <c r="AC67" s="10">
        <v>68.150000000000006</v>
      </c>
      <c r="AD67" s="2">
        <f>Y67-Z67</f>
        <v>0.73999999999999488</v>
      </c>
      <c r="AE67" s="138" t="e">
        <f>AC67/#REF!-1</f>
        <v>#REF!</v>
      </c>
    </row>
    <row r="68" spans="23:31" x14ac:dyDescent="0.25">
      <c r="W68" s="133">
        <v>42671</v>
      </c>
      <c r="X68" s="10">
        <v>67.72</v>
      </c>
      <c r="Y68" s="10">
        <v>69.25</v>
      </c>
      <c r="Z68" s="10">
        <v>67.72</v>
      </c>
      <c r="AA68" s="10">
        <v>68.83</v>
      </c>
      <c r="AB68" s="95">
        <v>4114500</v>
      </c>
      <c r="AC68" s="10">
        <v>68.25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{74DF0154-7BD9-4083-A24D-A840A22F872B}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Q7">
    <cfRule type="expression" dxfId="295" priority="19">
      <formula>Q7&gt;0</formula>
    </cfRule>
    <cfRule type="expression" dxfId="294" priority="20">
      <formula>Q7&lt;0</formula>
    </cfRule>
  </conditionalFormatting>
  <conditionalFormatting sqref="Q8">
    <cfRule type="expression" dxfId="293" priority="17">
      <formula>Q8&gt;0</formula>
    </cfRule>
    <cfRule type="expression" dxfId="292" priority="18">
      <formula>Q8&lt;0</formula>
    </cfRule>
  </conditionalFormatting>
  <conditionalFormatting sqref="F24:F25">
    <cfRule type="expression" dxfId="291" priority="1">
      <formula>F24&gt;0</formula>
    </cfRule>
    <cfRule type="expression" dxfId="290" priority="2">
      <formula>F24&lt;0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4DF0154-7BD9-4083-A24D-A840A22F872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O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18.5703125" customWidth="1"/>
    <col min="21" max="21" width="35.42578125" customWidth="1"/>
    <col min="22" max="22" width="21.28515625" customWidth="1"/>
    <col min="23" max="23" width="11.28515625" customWidth="1"/>
    <col min="24" max="24" width="9" customWidth="1"/>
    <col min="25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1" x14ac:dyDescent="0.25">
      <c r="A2" s="6" t="s">
        <v>176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3"/>
      <c r="O2" s="11" t="s">
        <v>57</v>
      </c>
      <c r="Q2" s="72">
        <f>C18-H18</f>
        <v>0</v>
      </c>
      <c r="T2" t="s">
        <v>83</v>
      </c>
      <c r="U2" t="s">
        <v>84</v>
      </c>
      <c r="W2" s="133">
        <v>42768</v>
      </c>
      <c r="X2" s="10">
        <v>47.42</v>
      </c>
      <c r="Y2" s="10">
        <v>47.97</v>
      </c>
      <c r="Z2" s="10">
        <v>47.09</v>
      </c>
      <c r="AA2" s="10">
        <v>47.81</v>
      </c>
      <c r="AB2" s="95">
        <v>4518400</v>
      </c>
      <c r="AC2" s="10">
        <v>47.81</v>
      </c>
      <c r="AD2" s="2">
        <f>Y2-Z2</f>
        <v>0.87999999999999545</v>
      </c>
      <c r="AE2" s="138">
        <f>AC2/AC3-1</f>
        <v>7.5869336143308264E-3</v>
      </c>
    </row>
    <row r="3" spans="1:4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46.89</v>
      </c>
      <c r="T3" s="1">
        <v>42312</v>
      </c>
      <c r="U3" t="s">
        <v>149</v>
      </c>
      <c r="W3" s="133">
        <v>42767</v>
      </c>
      <c r="X3" s="10">
        <v>47.3</v>
      </c>
      <c r="Y3" s="10">
        <v>47.58</v>
      </c>
      <c r="Z3" s="10">
        <v>46.91</v>
      </c>
      <c r="AA3" s="10">
        <v>47.45</v>
      </c>
      <c r="AB3" s="95">
        <v>3928000</v>
      </c>
      <c r="AC3" s="10">
        <v>47.45</v>
      </c>
      <c r="AD3" s="2">
        <f t="shared" ref="AD3:AD66" si="0">Y3-Z3</f>
        <v>0.67000000000000171</v>
      </c>
      <c r="AE3" s="138">
        <f t="shared" ref="AE3:AE66" si="1">AC3/AC4-1</f>
        <v>2.5353898161843968E-3</v>
      </c>
      <c r="AL3" s="234"/>
      <c r="AO3" s="234"/>
    </row>
    <row r="4" spans="1:41" x14ac:dyDescent="0.25">
      <c r="B4" s="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201">
        <v>46.89</v>
      </c>
      <c r="R4" s="505">
        <v>-1.9199999999999998E-2</v>
      </c>
      <c r="W4" s="133">
        <v>42766</v>
      </c>
      <c r="X4" s="10">
        <v>46.02</v>
      </c>
      <c r="Y4" s="10">
        <v>47.34</v>
      </c>
      <c r="Z4" s="10">
        <v>45.95</v>
      </c>
      <c r="AA4" s="10">
        <v>47.33</v>
      </c>
      <c r="AB4" s="95">
        <v>3916000</v>
      </c>
      <c r="AC4" s="10">
        <v>47.33</v>
      </c>
      <c r="AD4" s="2">
        <f t="shared" si="0"/>
        <v>1.3900000000000006</v>
      </c>
      <c r="AE4" s="138">
        <f t="shared" si="1"/>
        <v>2.2687986171132213E-2</v>
      </c>
    </row>
    <row r="5" spans="1:41" x14ac:dyDescent="0.25">
      <c r="B5" s="4"/>
      <c r="C5" s="4"/>
      <c r="D5" s="3"/>
      <c r="E5" s="3"/>
      <c r="F5" s="3"/>
      <c r="G5" s="4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42765</v>
      </c>
      <c r="X5" s="10">
        <v>46.1</v>
      </c>
      <c r="Y5" s="10">
        <v>46.3</v>
      </c>
      <c r="Z5" s="10">
        <v>45.52</v>
      </c>
      <c r="AA5" s="10">
        <v>46.28</v>
      </c>
      <c r="AB5" s="95">
        <v>3925400</v>
      </c>
      <c r="AC5" s="10">
        <v>46.28</v>
      </c>
      <c r="AD5" s="2">
        <f t="shared" si="0"/>
        <v>0.77999999999999403</v>
      </c>
      <c r="AE5" s="138">
        <f t="shared" si="1"/>
        <v>3.2516800346844565E-3</v>
      </c>
    </row>
    <row r="6" spans="1:41" x14ac:dyDescent="0.25">
      <c r="B6" s="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42762</v>
      </c>
      <c r="X6" s="10">
        <v>46.26</v>
      </c>
      <c r="Y6" s="10">
        <v>46.33</v>
      </c>
      <c r="Z6" s="10">
        <v>45.68</v>
      </c>
      <c r="AA6" s="10">
        <v>46.13</v>
      </c>
      <c r="AB6" s="95">
        <v>4259800</v>
      </c>
      <c r="AC6" s="10">
        <v>46.13</v>
      </c>
      <c r="AD6" s="2">
        <f t="shared" si="0"/>
        <v>0.64999999999999858</v>
      </c>
      <c r="AE6" s="138">
        <f t="shared" si="1"/>
        <v>-4.746494066882434E-3</v>
      </c>
    </row>
    <row r="7" spans="1:41" x14ac:dyDescent="0.25">
      <c r="B7" s="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181</v>
      </c>
      <c r="Q7" s="2">
        <f>Q10+Q8</f>
        <v>75.019999999999982</v>
      </c>
      <c r="R7">
        <v>0</v>
      </c>
      <c r="W7" s="133">
        <v>42761</v>
      </c>
      <c r="X7" s="10">
        <v>46.86</v>
      </c>
      <c r="Y7" s="10">
        <v>47</v>
      </c>
      <c r="Z7" s="10">
        <v>46.18</v>
      </c>
      <c r="AA7" s="10">
        <v>46.35</v>
      </c>
      <c r="AB7" s="95">
        <v>3665300</v>
      </c>
      <c r="AC7" s="10">
        <v>46.35</v>
      </c>
      <c r="AD7" s="2">
        <f t="shared" si="0"/>
        <v>0.82000000000000028</v>
      </c>
      <c r="AE7" s="138">
        <f t="shared" si="1"/>
        <v>-1.2148337595907943E-2</v>
      </c>
    </row>
    <row r="8" spans="1:41" x14ac:dyDescent="0.25">
      <c r="O8" s="11" t="s">
        <v>184</v>
      </c>
      <c r="P8" s="34"/>
      <c r="Q8" s="2">
        <f>K18+M18-F18+Q2*Q4</f>
        <v>0</v>
      </c>
      <c r="W8" s="133">
        <v>42760</v>
      </c>
      <c r="X8" s="10">
        <v>47.36</v>
      </c>
      <c r="Y8" s="10">
        <v>47.54</v>
      </c>
      <c r="Z8" s="10">
        <v>46.75</v>
      </c>
      <c r="AA8" s="10">
        <v>46.92</v>
      </c>
      <c r="AB8" s="95">
        <v>5378600</v>
      </c>
      <c r="AC8" s="10">
        <v>46.92</v>
      </c>
      <c r="AD8" s="2">
        <f t="shared" si="0"/>
        <v>0.78999999999999915</v>
      </c>
      <c r="AE8" s="138">
        <f t="shared" si="1"/>
        <v>-5.510809665112304E-3</v>
      </c>
    </row>
    <row r="9" spans="1:41" x14ac:dyDescent="0.25">
      <c r="O9" s="11" t="s">
        <v>214</v>
      </c>
      <c r="Q9" s="138">
        <f>IF(Q2=0, 0, Q8/Q6)</f>
        <v>0</v>
      </c>
      <c r="W9" s="133">
        <v>42759</v>
      </c>
      <c r="X9" s="10">
        <v>46.57</v>
      </c>
      <c r="Y9" s="10">
        <v>47.57</v>
      </c>
      <c r="Z9" s="10">
        <v>46.42</v>
      </c>
      <c r="AA9" s="10">
        <v>47.18</v>
      </c>
      <c r="AB9" s="95">
        <v>3762500</v>
      </c>
      <c r="AC9" s="10">
        <v>47.18</v>
      </c>
      <c r="AD9" s="2">
        <f t="shared" si="0"/>
        <v>1.1499999999999986</v>
      </c>
      <c r="AE9" s="138">
        <f t="shared" si="1"/>
        <v>1.6372253339077991E-2</v>
      </c>
    </row>
    <row r="10" spans="1:41" x14ac:dyDescent="0.25">
      <c r="O10" s="11" t="s">
        <v>213</v>
      </c>
      <c r="P10" s="34"/>
      <c r="Q10" s="2">
        <f>M36</f>
        <v>75.019999999999982</v>
      </c>
      <c r="W10" s="133">
        <v>42758</v>
      </c>
      <c r="X10" s="10">
        <v>45.91</v>
      </c>
      <c r="Y10" s="10">
        <v>46.57</v>
      </c>
      <c r="Z10" s="10">
        <v>45.75</v>
      </c>
      <c r="AA10" s="10">
        <v>46.42</v>
      </c>
      <c r="AB10" s="95">
        <v>3588600</v>
      </c>
      <c r="AC10" s="10">
        <v>46.42</v>
      </c>
      <c r="AD10" s="2">
        <f t="shared" si="0"/>
        <v>0.82000000000000028</v>
      </c>
      <c r="AE10" s="138">
        <f t="shared" si="1"/>
        <v>7.3784722222223209E-3</v>
      </c>
    </row>
    <row r="11" spans="1:41" x14ac:dyDescent="0.25">
      <c r="O11" s="11" t="s">
        <v>178</v>
      </c>
      <c r="P11" s="34"/>
      <c r="Q11" s="138">
        <f>IF(U58="N/A (N/A)", 0, VALUE(TRIM(CLEAN(MID(U58, FIND("(", U58)+1, 5)))))</f>
        <v>1.61E-2</v>
      </c>
      <c r="W11" s="133">
        <v>42755</v>
      </c>
      <c r="X11" s="10">
        <v>46.29</v>
      </c>
      <c r="Y11" s="10">
        <v>46.72</v>
      </c>
      <c r="Z11" s="10">
        <v>45.88</v>
      </c>
      <c r="AA11" s="10">
        <v>46.08</v>
      </c>
      <c r="AB11" s="95">
        <v>3226700</v>
      </c>
      <c r="AC11" s="10">
        <v>46.08</v>
      </c>
      <c r="AD11" s="2">
        <f t="shared" si="0"/>
        <v>0.83999999999999631</v>
      </c>
      <c r="AE11" s="138">
        <f t="shared" si="1"/>
        <v>2.3928649118991618E-3</v>
      </c>
    </row>
    <row r="12" spans="1:41" x14ac:dyDescent="0.25">
      <c r="W12" s="133">
        <v>42754</v>
      </c>
      <c r="X12" s="10">
        <v>47.59</v>
      </c>
      <c r="Y12" s="10">
        <v>47.65</v>
      </c>
      <c r="Z12" s="10">
        <v>45.82</v>
      </c>
      <c r="AA12" s="10">
        <v>45.97</v>
      </c>
      <c r="AB12" s="95">
        <v>4074900</v>
      </c>
      <c r="AC12" s="10">
        <v>45.97</v>
      </c>
      <c r="AD12" s="2">
        <f t="shared" si="0"/>
        <v>1.8299999999999983</v>
      </c>
      <c r="AE12" s="138">
        <f t="shared" si="1"/>
        <v>-3.3228180862250212E-2</v>
      </c>
    </row>
    <row r="13" spans="1:41" x14ac:dyDescent="0.25">
      <c r="W13" s="133">
        <v>42753</v>
      </c>
      <c r="X13" s="10">
        <v>47.71</v>
      </c>
      <c r="Y13" s="10">
        <v>47.75</v>
      </c>
      <c r="Z13" s="10">
        <v>47.05</v>
      </c>
      <c r="AA13" s="10">
        <v>47.55</v>
      </c>
      <c r="AB13" s="95">
        <v>2855100</v>
      </c>
      <c r="AC13" s="10">
        <v>47.55</v>
      </c>
      <c r="AD13" s="2">
        <f t="shared" si="0"/>
        <v>0.70000000000000284</v>
      </c>
      <c r="AE13" s="138">
        <f t="shared" si="1"/>
        <v>-3.3535946342486689E-3</v>
      </c>
    </row>
    <row r="14" spans="1:41" x14ac:dyDescent="0.25">
      <c r="W14" s="133">
        <v>42752</v>
      </c>
      <c r="X14" s="10">
        <v>46.75</v>
      </c>
      <c r="Y14" s="10">
        <v>47.72</v>
      </c>
      <c r="Z14" s="10">
        <v>46.6</v>
      </c>
      <c r="AA14" s="10">
        <v>47.71</v>
      </c>
      <c r="AB14" s="95">
        <v>3270200</v>
      </c>
      <c r="AC14" s="10">
        <v>47.71</v>
      </c>
      <c r="AD14" s="2">
        <f t="shared" si="0"/>
        <v>1.1199999999999974</v>
      </c>
      <c r="AE14" s="138">
        <f t="shared" si="1"/>
        <v>1.5106382978723465E-2</v>
      </c>
    </row>
    <row r="15" spans="1:41" x14ac:dyDescent="0.25">
      <c r="W15" s="133">
        <v>42748</v>
      </c>
      <c r="X15" s="10">
        <v>47.02</v>
      </c>
      <c r="Y15" s="10">
        <v>47.4</v>
      </c>
      <c r="Z15" s="10">
        <v>46.74</v>
      </c>
      <c r="AA15" s="10">
        <v>47</v>
      </c>
      <c r="AB15" s="95">
        <v>3649300</v>
      </c>
      <c r="AC15" s="10">
        <v>47</v>
      </c>
      <c r="AD15" s="2">
        <f t="shared" si="0"/>
        <v>0.65999999999999659</v>
      </c>
      <c r="AE15" s="138">
        <f t="shared" si="1"/>
        <v>-2.5466893039048921E-3</v>
      </c>
    </row>
    <row r="16" spans="1:41" x14ac:dyDescent="0.25">
      <c r="W16" s="133">
        <v>42747</v>
      </c>
      <c r="X16" s="10">
        <v>46.65</v>
      </c>
      <c r="Y16" s="10">
        <v>47.32</v>
      </c>
      <c r="Z16" s="10">
        <v>46.55</v>
      </c>
      <c r="AA16" s="10">
        <v>47.12</v>
      </c>
      <c r="AB16" s="95">
        <v>3148500</v>
      </c>
      <c r="AC16" s="10">
        <v>47.12</v>
      </c>
      <c r="AD16" s="2">
        <f t="shared" si="0"/>
        <v>0.77000000000000313</v>
      </c>
      <c r="AE16" s="138">
        <f t="shared" si="1"/>
        <v>5.1194539249146409E-3</v>
      </c>
    </row>
    <row r="17" spans="1:31" x14ac:dyDescent="0.25">
      <c r="W17" s="133">
        <v>42746</v>
      </c>
      <c r="X17" s="10">
        <v>46.85</v>
      </c>
      <c r="Y17" s="10">
        <v>47.02</v>
      </c>
      <c r="Z17" s="10">
        <v>46.61</v>
      </c>
      <c r="AA17" s="10">
        <v>46.88</v>
      </c>
      <c r="AB17" s="95">
        <v>4391900</v>
      </c>
      <c r="AC17" s="10">
        <v>46.88</v>
      </c>
      <c r="AD17" s="2">
        <f t="shared" si="0"/>
        <v>0.41000000000000369</v>
      </c>
      <c r="AE17" s="138">
        <f t="shared" si="1"/>
        <v>-1.9161166702149623E-3</v>
      </c>
    </row>
    <row r="18" spans="1:31" x14ac:dyDescent="0.25">
      <c r="A18" s="36" t="s">
        <v>81</v>
      </c>
      <c r="B18" s="37"/>
      <c r="C18" s="37">
        <f>SUM(C2:C17)</f>
        <v>0</v>
      </c>
      <c r="D18" s="38"/>
      <c r="E18" s="38"/>
      <c r="F18" s="38">
        <f>SUM(F2:F17)</f>
        <v>0</v>
      </c>
      <c r="G18" s="37"/>
      <c r="H18" s="183">
        <f>SUM(H2:H17)</f>
        <v>0</v>
      </c>
      <c r="I18" s="38"/>
      <c r="J18" s="38"/>
      <c r="K18" s="38">
        <f>SUM(K2:K17)</f>
        <v>0</v>
      </c>
      <c r="L18" s="38"/>
      <c r="M18" s="38">
        <f>SUM(M2:M3)</f>
        <v>0</v>
      </c>
      <c r="W18" s="133">
        <v>42745</v>
      </c>
      <c r="X18" s="10">
        <v>47.09</v>
      </c>
      <c r="Y18" s="10">
        <v>47.2</v>
      </c>
      <c r="Z18" s="10">
        <v>46.73</v>
      </c>
      <c r="AA18" s="10">
        <v>46.97</v>
      </c>
      <c r="AB18" s="95">
        <v>4216400</v>
      </c>
      <c r="AC18" s="10">
        <v>46.97</v>
      </c>
      <c r="AD18" s="2">
        <f t="shared" si="0"/>
        <v>0.47000000000000597</v>
      </c>
      <c r="AE18" s="138">
        <f t="shared" si="1"/>
        <v>6.3911376224967675E-4</v>
      </c>
    </row>
    <row r="19" spans="1:31" x14ac:dyDescent="0.25">
      <c r="G19" s="2"/>
      <c r="W19" s="133">
        <v>42744</v>
      </c>
      <c r="X19" s="10">
        <v>46.67</v>
      </c>
      <c r="Y19" s="10">
        <v>47.13</v>
      </c>
      <c r="Z19" s="10">
        <v>46.53</v>
      </c>
      <c r="AA19" s="10">
        <v>46.94</v>
      </c>
      <c r="AB19" s="95">
        <v>3543600</v>
      </c>
      <c r="AC19" s="10">
        <v>46.94</v>
      </c>
      <c r="AD19" s="2">
        <f t="shared" si="0"/>
        <v>0.60000000000000142</v>
      </c>
      <c r="AE19" s="138">
        <f t="shared" si="1"/>
        <v>1.7072129748185727E-3</v>
      </c>
    </row>
    <row r="20" spans="1:31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5" t="s">
        <v>65</v>
      </c>
      <c r="G20" s="229" t="s">
        <v>152</v>
      </c>
      <c r="H20" s="195" t="s">
        <v>88</v>
      </c>
      <c r="I20" s="195" t="s">
        <v>155</v>
      </c>
      <c r="W20" s="133">
        <v>42741</v>
      </c>
      <c r="X20" s="10">
        <v>46.64</v>
      </c>
      <c r="Y20" s="10">
        <v>47.03</v>
      </c>
      <c r="Z20" s="10">
        <v>46.19</v>
      </c>
      <c r="AA20" s="10">
        <v>46.86</v>
      </c>
      <c r="AB20" s="95">
        <v>3605100</v>
      </c>
      <c r="AC20" s="10">
        <v>46.86</v>
      </c>
      <c r="AD20" s="2">
        <f t="shared" si="0"/>
        <v>0.84000000000000341</v>
      </c>
      <c r="AE20" s="138">
        <f t="shared" si="1"/>
        <v>3.8560411311054921E-3</v>
      </c>
    </row>
    <row r="21" spans="1:31" x14ac:dyDescent="0.25">
      <c r="B21" s="193">
        <v>42376</v>
      </c>
      <c r="C21" s="10">
        <v>60</v>
      </c>
      <c r="D21" s="40">
        <v>41.01</v>
      </c>
      <c r="E21" s="40">
        <v>40.33</v>
      </c>
      <c r="F21" s="40">
        <f>C21*(E21-D21)</f>
        <v>-40.799999999999983</v>
      </c>
      <c r="G21" s="40">
        <f>D21*C21</f>
        <v>2460.6</v>
      </c>
      <c r="H21" s="231">
        <f>(E21-D21)/D21</f>
        <v>-1.6581321628871E-2</v>
      </c>
      <c r="I21" s="231"/>
      <c r="W21" s="133">
        <v>42740</v>
      </c>
      <c r="X21" s="10">
        <v>46.25</v>
      </c>
      <c r="Y21" s="10">
        <v>46.76</v>
      </c>
      <c r="Z21" s="10">
        <v>46.11</v>
      </c>
      <c r="AA21" s="10">
        <v>46.68</v>
      </c>
      <c r="AB21" s="95">
        <v>3151100</v>
      </c>
      <c r="AC21" s="10">
        <v>46.68</v>
      </c>
      <c r="AD21" s="2">
        <f t="shared" si="0"/>
        <v>0.64999999999999858</v>
      </c>
      <c r="AE21" s="138">
        <f t="shared" si="1"/>
        <v>3.6551279294776418E-3</v>
      </c>
    </row>
    <row r="22" spans="1:31" x14ac:dyDescent="0.25">
      <c r="B22" s="193">
        <v>42403</v>
      </c>
      <c r="C22" s="10">
        <v>80</v>
      </c>
      <c r="D22" s="40">
        <v>39.630000000000003</v>
      </c>
      <c r="E22" s="40">
        <v>36.229999999999997</v>
      </c>
      <c r="F22" s="40">
        <f>C22*(E22-D22)</f>
        <v>-272.00000000000045</v>
      </c>
      <c r="G22" s="40">
        <f>D22*C22</f>
        <v>3170.4</v>
      </c>
      <c r="H22" s="231">
        <f>(E22-D22)/D22</f>
        <v>-8.5793590714105611E-2</v>
      </c>
      <c r="I22" s="231"/>
      <c r="W22" s="133">
        <v>42739</v>
      </c>
      <c r="X22" s="10">
        <v>45</v>
      </c>
      <c r="Y22" s="10">
        <v>46.61</v>
      </c>
      <c r="Z22" s="10">
        <v>44.98</v>
      </c>
      <c r="AA22" s="10">
        <v>46.51</v>
      </c>
      <c r="AB22" s="95">
        <v>5465300</v>
      </c>
      <c r="AC22" s="10">
        <v>46.51</v>
      </c>
      <c r="AD22" s="2">
        <f t="shared" si="0"/>
        <v>1.6300000000000026</v>
      </c>
      <c r="AE22" s="138">
        <f t="shared" si="1"/>
        <v>3.5396260017809267E-2</v>
      </c>
    </row>
    <row r="23" spans="1:31" x14ac:dyDescent="0.25">
      <c r="B23" s="193">
        <v>42421</v>
      </c>
      <c r="C23" s="10">
        <v>80</v>
      </c>
      <c r="D23" s="40">
        <v>39.630000000000003</v>
      </c>
      <c r="E23" s="40">
        <v>37.46</v>
      </c>
      <c r="F23" s="40">
        <f>C23*(E23-D23)</f>
        <v>-173.60000000000014</v>
      </c>
      <c r="G23" s="40">
        <f>D23*C23</f>
        <v>3170.4</v>
      </c>
      <c r="H23" s="231">
        <f>(E23-D23)/D23</f>
        <v>-5.4756497602826179E-2</v>
      </c>
      <c r="I23" s="231"/>
      <c r="W23" s="133">
        <v>42738</v>
      </c>
      <c r="X23" s="10">
        <v>45</v>
      </c>
      <c r="Y23" s="10">
        <v>45.55</v>
      </c>
      <c r="Z23" s="10">
        <v>44.75</v>
      </c>
      <c r="AA23" s="10">
        <v>44.92</v>
      </c>
      <c r="AB23" s="95">
        <v>3827600</v>
      </c>
      <c r="AC23" s="10">
        <v>44.92</v>
      </c>
      <c r="AD23" s="2">
        <f t="shared" si="0"/>
        <v>0.79999999999999716</v>
      </c>
      <c r="AE23" s="138">
        <f t="shared" si="1"/>
        <v>6.0470324748040927E-3</v>
      </c>
    </row>
    <row r="24" spans="1:31" x14ac:dyDescent="0.25">
      <c r="B24" s="193">
        <v>42426</v>
      </c>
      <c r="C24" s="10">
        <v>60</v>
      </c>
      <c r="D24" s="40">
        <v>40.03</v>
      </c>
      <c r="E24" s="40">
        <v>38.450000000000003</v>
      </c>
      <c r="F24" s="40">
        <f t="shared" ref="F24:F30" si="2">C24*(E24-D24)</f>
        <v>-94.799999999999898</v>
      </c>
      <c r="G24" s="40">
        <f t="shared" ref="G24:G30" si="3">D24*C24</f>
        <v>2401.8000000000002</v>
      </c>
      <c r="H24" s="231">
        <f t="shared" ref="H24:H30" si="4">(E24-D24)/D24</f>
        <v>-3.9470397202098384E-2</v>
      </c>
      <c r="I24" s="231"/>
      <c r="W24" s="133">
        <v>42734</v>
      </c>
      <c r="X24" s="10">
        <v>45.43</v>
      </c>
      <c r="Y24" s="10">
        <v>45.43</v>
      </c>
      <c r="Z24" s="10">
        <v>44.5</v>
      </c>
      <c r="AA24" s="10">
        <v>44.65</v>
      </c>
      <c r="AB24" s="95">
        <v>2047000</v>
      </c>
      <c r="AC24" s="10">
        <v>44.65</v>
      </c>
      <c r="AD24" s="2">
        <f t="shared" si="0"/>
        <v>0.92999999999999972</v>
      </c>
      <c r="AE24" s="138">
        <f t="shared" si="1"/>
        <v>-1.4348785871964642E-2</v>
      </c>
    </row>
    <row r="25" spans="1:31" x14ac:dyDescent="0.25">
      <c r="B25" s="193">
        <v>42426</v>
      </c>
      <c r="C25" s="10">
        <v>30</v>
      </c>
      <c r="D25" s="40">
        <v>41.31</v>
      </c>
      <c r="E25" s="40">
        <v>38.44</v>
      </c>
      <c r="F25" s="40">
        <f t="shared" si="2"/>
        <v>-86.100000000000136</v>
      </c>
      <c r="G25" s="40">
        <f t="shared" si="3"/>
        <v>1239.3000000000002</v>
      </c>
      <c r="H25" s="232">
        <f t="shared" si="4"/>
        <v>-6.9474703461631676E-2</v>
      </c>
      <c r="I25" s="232"/>
      <c r="W25" s="133">
        <v>42733</v>
      </c>
      <c r="X25" s="10">
        <v>45.31</v>
      </c>
      <c r="Y25" s="10">
        <v>45.49</v>
      </c>
      <c r="Z25" s="10">
        <v>44.98</v>
      </c>
      <c r="AA25" s="10">
        <v>45.3</v>
      </c>
      <c r="AB25" s="95">
        <v>1560600</v>
      </c>
      <c r="AC25" s="10">
        <v>45.3</v>
      </c>
      <c r="AD25" s="2">
        <f t="shared" si="0"/>
        <v>0.51000000000000512</v>
      </c>
      <c r="AE25" s="138">
        <f t="shared" si="1"/>
        <v>-1.5428697377121159E-3</v>
      </c>
    </row>
    <row r="26" spans="1:31" x14ac:dyDescent="0.25">
      <c r="B26" s="193">
        <v>42430</v>
      </c>
      <c r="C26" s="10">
        <v>30</v>
      </c>
      <c r="D26" s="40">
        <v>41.31</v>
      </c>
      <c r="E26" s="40">
        <v>39.51</v>
      </c>
      <c r="F26" s="40">
        <f t="shared" si="2"/>
        <v>-54.000000000000128</v>
      </c>
      <c r="G26" s="40">
        <f t="shared" si="3"/>
        <v>1239.3000000000002</v>
      </c>
      <c r="H26" s="232">
        <f t="shared" si="4"/>
        <v>-4.3572984749455437E-2</v>
      </c>
      <c r="I26" s="232"/>
      <c r="W26" s="133">
        <v>42732</v>
      </c>
      <c r="X26" s="10">
        <v>45.75</v>
      </c>
      <c r="Y26" s="10">
        <v>45.84</v>
      </c>
      <c r="Z26" s="10">
        <v>45.3</v>
      </c>
      <c r="AA26" s="10">
        <v>45.37</v>
      </c>
      <c r="AB26" s="95">
        <v>1588200</v>
      </c>
      <c r="AC26" s="10">
        <v>45.37</v>
      </c>
      <c r="AD26" s="2">
        <f t="shared" si="0"/>
        <v>0.54000000000000625</v>
      </c>
      <c r="AE26" s="138">
        <f t="shared" si="1"/>
        <v>-2.6379424049242095E-3</v>
      </c>
    </row>
    <row r="27" spans="1:31" x14ac:dyDescent="0.25">
      <c r="B27" s="193">
        <v>42431</v>
      </c>
      <c r="C27" s="10">
        <v>30</v>
      </c>
      <c r="D27" s="40">
        <v>41.305</v>
      </c>
      <c r="E27" s="40">
        <v>40.31</v>
      </c>
      <c r="F27" s="40">
        <f t="shared" si="2"/>
        <v>-29.849999999999923</v>
      </c>
      <c r="G27" s="40">
        <f t="shared" si="3"/>
        <v>1239.1500000000001</v>
      </c>
      <c r="H27" s="232">
        <f t="shared" si="4"/>
        <v>-2.4089093330105251E-2</v>
      </c>
      <c r="I27" s="232"/>
      <c r="W27" s="133">
        <v>42731</v>
      </c>
      <c r="X27" s="10">
        <v>45.55</v>
      </c>
      <c r="Y27" s="10">
        <v>45.62</v>
      </c>
      <c r="Z27" s="10">
        <v>45.26</v>
      </c>
      <c r="AA27" s="10">
        <v>45.49</v>
      </c>
      <c r="AB27" s="95">
        <v>1515200</v>
      </c>
      <c r="AC27" s="10">
        <v>45.49</v>
      </c>
      <c r="AD27" s="2">
        <f t="shared" si="0"/>
        <v>0.35999999999999943</v>
      </c>
      <c r="AE27" s="138">
        <f t="shared" si="1"/>
        <v>2.2031284423882358E-3</v>
      </c>
    </row>
    <row r="28" spans="1:31" x14ac:dyDescent="0.25">
      <c r="B28" s="193">
        <v>42435</v>
      </c>
      <c r="C28" s="10">
        <v>30</v>
      </c>
      <c r="D28" s="40">
        <v>41.305</v>
      </c>
      <c r="E28" s="40">
        <v>40.98</v>
      </c>
      <c r="F28" s="40">
        <f t="shared" si="2"/>
        <v>-9.7500000000000853</v>
      </c>
      <c r="G28" s="40">
        <f t="shared" si="3"/>
        <v>1239.1500000000001</v>
      </c>
      <c r="H28" s="232">
        <f t="shared" si="4"/>
        <v>-7.8682968163661261E-3</v>
      </c>
      <c r="I28" s="232"/>
      <c r="W28" s="133">
        <v>42727</v>
      </c>
      <c r="X28" s="10">
        <v>45.56</v>
      </c>
      <c r="Y28" s="10">
        <v>45.66</v>
      </c>
      <c r="Z28" s="10">
        <v>45.2</v>
      </c>
      <c r="AA28" s="10">
        <v>45.39</v>
      </c>
      <c r="AB28" s="95">
        <v>1808700</v>
      </c>
      <c r="AC28" s="10">
        <v>45.39</v>
      </c>
      <c r="AD28" s="2">
        <f t="shared" si="0"/>
        <v>0.45999999999999375</v>
      </c>
      <c r="AE28" s="138">
        <f t="shared" si="1"/>
        <v>-3.2938076416336726E-3</v>
      </c>
    </row>
    <row r="29" spans="1:31" x14ac:dyDescent="0.25">
      <c r="B29" s="193">
        <v>42436</v>
      </c>
      <c r="C29" s="10">
        <v>30</v>
      </c>
      <c r="D29" s="40">
        <v>41.305</v>
      </c>
      <c r="E29" s="40">
        <v>39.590000000000003</v>
      </c>
      <c r="F29" s="40">
        <f t="shared" si="2"/>
        <v>-51.449999999999889</v>
      </c>
      <c r="G29" s="40">
        <f t="shared" si="3"/>
        <v>1239.1500000000001</v>
      </c>
      <c r="H29" s="232">
        <f t="shared" si="4"/>
        <v>-4.1520397046362338E-2</v>
      </c>
      <c r="I29" s="232"/>
      <c r="W29" s="133">
        <v>42726</v>
      </c>
      <c r="X29" s="10">
        <v>46.15</v>
      </c>
      <c r="Y29" s="10">
        <v>46.36</v>
      </c>
      <c r="Z29" s="10">
        <v>45.51</v>
      </c>
      <c r="AA29" s="10">
        <v>45.54</v>
      </c>
      <c r="AB29" s="95">
        <v>2591900</v>
      </c>
      <c r="AC29" s="10">
        <v>45.54</v>
      </c>
      <c r="AD29" s="2">
        <f t="shared" si="0"/>
        <v>0.85000000000000142</v>
      </c>
      <c r="AE29" s="138">
        <f t="shared" si="1"/>
        <v>-1.3645224171540016E-2</v>
      </c>
    </row>
    <row r="30" spans="1:31" x14ac:dyDescent="0.25">
      <c r="B30" s="193">
        <v>42444</v>
      </c>
      <c r="C30" s="10">
        <v>30</v>
      </c>
      <c r="D30" s="40">
        <v>41.305</v>
      </c>
      <c r="E30" s="40">
        <v>41.37</v>
      </c>
      <c r="F30" s="40">
        <f t="shared" si="2"/>
        <v>1.9499999999999318</v>
      </c>
      <c r="G30" s="40">
        <f t="shared" si="3"/>
        <v>1239.1500000000001</v>
      </c>
      <c r="H30" s="232">
        <f t="shared" si="4"/>
        <v>1.5736593632731564E-3</v>
      </c>
      <c r="I30" s="232"/>
      <c r="W30" s="133">
        <v>42725</v>
      </c>
      <c r="X30" s="10">
        <v>45.89</v>
      </c>
      <c r="Y30" s="10">
        <v>46.47</v>
      </c>
      <c r="Z30" s="10">
        <v>45.81</v>
      </c>
      <c r="AA30" s="10">
        <v>46.17</v>
      </c>
      <c r="AB30" s="95">
        <v>3422100</v>
      </c>
      <c r="AC30" s="10">
        <v>46.17</v>
      </c>
      <c r="AD30" s="2">
        <f t="shared" si="0"/>
        <v>0.65999999999999659</v>
      </c>
      <c r="AE30" s="138">
        <f t="shared" si="1"/>
        <v>1.2278009208506857E-2</v>
      </c>
    </row>
    <row r="31" spans="1:31" x14ac:dyDescent="0.25">
      <c r="B31" s="193">
        <v>42444</v>
      </c>
      <c r="C31" s="10">
        <v>30</v>
      </c>
      <c r="D31" s="40">
        <v>40.47983</v>
      </c>
      <c r="E31" s="40">
        <v>41.37</v>
      </c>
      <c r="F31" s="40">
        <f>C31*(E31-D31)</f>
        <v>26.705099999999931</v>
      </c>
      <c r="G31" s="40">
        <f>D31*C31</f>
        <v>1214.3949</v>
      </c>
      <c r="H31" s="232">
        <f>(E31-D31)/D31</f>
        <v>2.1990457963879731E-2</v>
      </c>
      <c r="I31" s="232" t="s">
        <v>186</v>
      </c>
      <c r="W31" s="133">
        <v>42724</v>
      </c>
      <c r="X31" s="10">
        <v>45.78</v>
      </c>
      <c r="Y31" s="10">
        <v>46.08</v>
      </c>
      <c r="Z31" s="10">
        <v>45.47</v>
      </c>
      <c r="AA31" s="10">
        <v>45.61</v>
      </c>
      <c r="AB31" s="95">
        <v>4513900</v>
      </c>
      <c r="AC31" s="10">
        <v>45.61</v>
      </c>
      <c r="AD31" s="2">
        <f t="shared" si="0"/>
        <v>0.60999999999999943</v>
      </c>
      <c r="AE31" s="138">
        <f t="shared" si="1"/>
        <v>-1.9693654266959015E-3</v>
      </c>
    </row>
    <row r="32" spans="1:31" x14ac:dyDescent="0.25">
      <c r="B32" s="193">
        <v>42447</v>
      </c>
      <c r="C32" s="10">
        <v>0</v>
      </c>
      <c r="D32" s="40"/>
      <c r="E32" s="40"/>
      <c r="F32" s="40">
        <v>75.02</v>
      </c>
      <c r="G32" s="40"/>
      <c r="H32" s="232"/>
      <c r="I32" s="232"/>
      <c r="W32" s="133">
        <v>42723</v>
      </c>
      <c r="X32" s="10">
        <v>46.16</v>
      </c>
      <c r="Y32" s="10">
        <v>46.39</v>
      </c>
      <c r="Z32" s="10">
        <v>45.49</v>
      </c>
      <c r="AA32" s="10">
        <v>45.7</v>
      </c>
      <c r="AB32" s="95">
        <v>3584700</v>
      </c>
      <c r="AC32" s="10">
        <v>45.7</v>
      </c>
      <c r="AD32" s="2">
        <f t="shared" si="0"/>
        <v>0.89999999999999858</v>
      </c>
      <c r="AE32" s="138">
        <f t="shared" si="1"/>
        <v>-1.039411000433077E-2</v>
      </c>
    </row>
    <row r="33" spans="1:31" x14ac:dyDescent="0.25">
      <c r="B33" s="10"/>
      <c r="C33" s="10"/>
      <c r="D33" s="40"/>
      <c r="E33" s="40"/>
      <c r="F33" s="40"/>
      <c r="G33" s="40"/>
      <c r="H33" s="232"/>
      <c r="I33" s="232"/>
      <c r="W33" s="133">
        <v>42720</v>
      </c>
      <c r="X33" s="10">
        <v>46.68</v>
      </c>
      <c r="Y33" s="10">
        <v>46.98</v>
      </c>
      <c r="Z33" s="10">
        <v>45.94</v>
      </c>
      <c r="AA33" s="10">
        <v>46.18</v>
      </c>
      <c r="AB33" s="95">
        <v>6415200</v>
      </c>
      <c r="AC33" s="10">
        <v>46.18</v>
      </c>
      <c r="AD33" s="2">
        <f t="shared" si="0"/>
        <v>1.0399999999999991</v>
      </c>
      <c r="AE33" s="138">
        <f t="shared" si="1"/>
        <v>-1.0711225364181676E-2</v>
      </c>
    </row>
    <row r="34" spans="1:31" x14ac:dyDescent="0.25">
      <c r="B34" s="10"/>
      <c r="C34" s="10"/>
      <c r="D34" s="40"/>
      <c r="E34" s="40"/>
      <c r="F34" s="40"/>
      <c r="G34" s="40"/>
      <c r="H34" s="232"/>
      <c r="I34" s="232"/>
      <c r="W34" s="133">
        <v>42719</v>
      </c>
      <c r="X34" s="10">
        <v>46.54</v>
      </c>
      <c r="Y34" s="10">
        <v>46.83</v>
      </c>
      <c r="Z34" s="10">
        <v>46.02</v>
      </c>
      <c r="AA34" s="10">
        <v>46.68</v>
      </c>
      <c r="AB34" s="95">
        <v>5862000</v>
      </c>
      <c r="AC34" s="10">
        <v>46.68</v>
      </c>
      <c r="AD34" s="2">
        <f t="shared" si="0"/>
        <v>0.80999999999999517</v>
      </c>
      <c r="AE34" s="138">
        <f t="shared" si="1"/>
        <v>8.5763293310470168E-4</v>
      </c>
    </row>
    <row r="35" spans="1:31" x14ac:dyDescent="0.25">
      <c r="W35" s="133">
        <v>42718</v>
      </c>
      <c r="X35" s="10">
        <v>47.36</v>
      </c>
      <c r="Y35" s="10">
        <v>47.62</v>
      </c>
      <c r="Z35" s="10">
        <v>46.56</v>
      </c>
      <c r="AA35" s="10">
        <v>46.64</v>
      </c>
      <c r="AB35" s="95">
        <v>5930500</v>
      </c>
      <c r="AC35" s="10">
        <v>46.64</v>
      </c>
      <c r="AD35" s="2">
        <f t="shared" si="0"/>
        <v>1.0599999999999952</v>
      </c>
      <c r="AE35" s="138">
        <f t="shared" si="1"/>
        <v>-1.3953488372092981E-2</v>
      </c>
    </row>
    <row r="36" spans="1:31" x14ac:dyDescent="0.25">
      <c r="L36" t="s">
        <v>215</v>
      </c>
      <c r="M36" s="2">
        <f>M50+K50-F50</f>
        <v>75.019999999999982</v>
      </c>
      <c r="W36" s="133">
        <v>42717</v>
      </c>
      <c r="X36" s="10">
        <v>47.65</v>
      </c>
      <c r="Y36" s="10">
        <v>48.02</v>
      </c>
      <c r="Z36" s="10">
        <v>47.05</v>
      </c>
      <c r="AA36" s="10">
        <v>47.3</v>
      </c>
      <c r="AB36" s="95">
        <v>6162400</v>
      </c>
      <c r="AC36" s="10">
        <v>47.3</v>
      </c>
      <c r="AD36" s="2">
        <f t="shared" si="0"/>
        <v>0.97000000000000597</v>
      </c>
      <c r="AE36" s="138">
        <f t="shared" si="1"/>
        <v>1.7641996557659301E-2</v>
      </c>
    </row>
    <row r="37" spans="1:31" x14ac:dyDescent="0.25">
      <c r="A37" s="387" t="s">
        <v>1</v>
      </c>
      <c r="B37" s="387" t="s">
        <v>2</v>
      </c>
      <c r="C37" s="387" t="s">
        <v>4</v>
      </c>
      <c r="D37" s="389" t="s">
        <v>5</v>
      </c>
      <c r="E37" s="389" t="s">
        <v>94</v>
      </c>
      <c r="F37" s="389" t="s">
        <v>60</v>
      </c>
      <c r="G37" s="387" t="s">
        <v>3</v>
      </c>
      <c r="H37" s="387" t="s">
        <v>6</v>
      </c>
      <c r="I37" s="389" t="s">
        <v>7</v>
      </c>
      <c r="J37" s="389" t="s">
        <v>95</v>
      </c>
      <c r="K37" s="389" t="s">
        <v>61</v>
      </c>
      <c r="L37" s="387" t="s">
        <v>77</v>
      </c>
      <c r="M37" s="387" t="s">
        <v>38</v>
      </c>
      <c r="W37" s="133">
        <v>42716</v>
      </c>
      <c r="X37" s="10">
        <v>45.75</v>
      </c>
      <c r="Y37" s="10">
        <v>46.49</v>
      </c>
      <c r="Z37" s="10">
        <v>45.29</v>
      </c>
      <c r="AA37" s="10">
        <v>46.48</v>
      </c>
      <c r="AB37" s="95">
        <v>3654100</v>
      </c>
      <c r="AC37" s="10">
        <v>46.48</v>
      </c>
      <c r="AD37" s="2">
        <f t="shared" si="0"/>
        <v>1.2000000000000028</v>
      </c>
      <c r="AE37" s="138">
        <f t="shared" si="1"/>
        <v>2.0865363496595624E-2</v>
      </c>
    </row>
    <row r="38" spans="1:31" x14ac:dyDescent="0.25">
      <c r="A38" s="390" t="s">
        <v>176</v>
      </c>
      <c r="B38" s="380">
        <v>42376</v>
      </c>
      <c r="C38" s="381">
        <v>60</v>
      </c>
      <c r="D38" s="382">
        <v>41.01</v>
      </c>
      <c r="E38" s="382">
        <v>0</v>
      </c>
      <c r="F38" s="382">
        <f>C38*D38</f>
        <v>2460.6</v>
      </c>
      <c r="G38" s="380">
        <v>42426</v>
      </c>
      <c r="H38" s="385">
        <v>20</v>
      </c>
      <c r="I38" s="382">
        <v>38.450000000000003</v>
      </c>
      <c r="J38" s="382">
        <v>0.02</v>
      </c>
      <c r="K38" s="382">
        <f>H38*I38-J38</f>
        <v>768.98</v>
      </c>
      <c r="L38" s="380">
        <v>42444</v>
      </c>
      <c r="M38" s="382">
        <v>15.2</v>
      </c>
      <c r="W38" s="133">
        <v>42713</v>
      </c>
      <c r="X38" s="10">
        <v>45.16</v>
      </c>
      <c r="Y38" s="10">
        <v>45.83</v>
      </c>
      <c r="Z38" s="10">
        <v>45.08</v>
      </c>
      <c r="AA38" s="10">
        <v>45.53</v>
      </c>
      <c r="AB38" s="95">
        <v>5157600</v>
      </c>
      <c r="AC38" s="10">
        <v>45.53</v>
      </c>
      <c r="AD38" s="2">
        <f t="shared" si="0"/>
        <v>0.75</v>
      </c>
      <c r="AE38" s="138">
        <f t="shared" si="1"/>
        <v>7.5237884487719953E-3</v>
      </c>
    </row>
    <row r="39" spans="1:31" x14ac:dyDescent="0.25">
      <c r="A39" s="391" t="s">
        <v>71</v>
      </c>
      <c r="B39" s="380">
        <v>42403</v>
      </c>
      <c r="C39" s="381">
        <v>20</v>
      </c>
      <c r="D39" s="382">
        <v>35.5</v>
      </c>
      <c r="E39" s="382">
        <v>0</v>
      </c>
      <c r="F39" s="382">
        <f>C39*D39</f>
        <v>710</v>
      </c>
      <c r="G39" s="380">
        <v>42426</v>
      </c>
      <c r="H39" s="385">
        <v>30</v>
      </c>
      <c r="I39" s="382">
        <v>38.75</v>
      </c>
      <c r="J39" s="382">
        <v>0.03</v>
      </c>
      <c r="K39" s="382">
        <f>H39*I39-J39</f>
        <v>1162.47</v>
      </c>
      <c r="L39" s="381"/>
      <c r="M39" s="381"/>
      <c r="W39" s="133">
        <v>42712</v>
      </c>
      <c r="X39" s="10">
        <v>45.62</v>
      </c>
      <c r="Y39" s="10">
        <v>45.65</v>
      </c>
      <c r="Z39" s="10">
        <v>44.71</v>
      </c>
      <c r="AA39" s="10">
        <v>45.19</v>
      </c>
      <c r="AB39" s="95">
        <v>6359800</v>
      </c>
      <c r="AC39" s="10">
        <v>45.19</v>
      </c>
      <c r="AD39" s="2">
        <f t="shared" si="0"/>
        <v>0.93999999999999773</v>
      </c>
      <c r="AE39" s="138">
        <f t="shared" si="1"/>
        <v>-1.0076670317634151E-2</v>
      </c>
    </row>
    <row r="40" spans="1:31" x14ac:dyDescent="0.25">
      <c r="A40" s="381"/>
      <c r="B40" s="381"/>
      <c r="C40" s="381"/>
      <c r="D40" s="382"/>
      <c r="E40" s="382"/>
      <c r="F40" s="382"/>
      <c r="G40" s="380">
        <v>42447</v>
      </c>
      <c r="H40" s="385">
        <v>30</v>
      </c>
      <c r="I40" s="382">
        <v>43.3</v>
      </c>
      <c r="J40" s="382">
        <v>0.03</v>
      </c>
      <c r="K40" s="382">
        <f>H40*I40-J40</f>
        <v>1298.97</v>
      </c>
      <c r="L40" s="381"/>
      <c r="M40" s="381"/>
      <c r="W40" s="133">
        <v>42711</v>
      </c>
      <c r="X40" s="10">
        <v>45.51</v>
      </c>
      <c r="Y40" s="10">
        <v>45.92</v>
      </c>
      <c r="Z40" s="10">
        <v>44.24</v>
      </c>
      <c r="AA40" s="10">
        <v>45.65</v>
      </c>
      <c r="AB40" s="95">
        <v>5169100</v>
      </c>
      <c r="AC40" s="10">
        <v>45.65</v>
      </c>
      <c r="AD40" s="2">
        <f t="shared" si="0"/>
        <v>1.6799999999999997</v>
      </c>
      <c r="AE40" s="138">
        <f t="shared" si="1"/>
        <v>-6.567425569177221E-4</v>
      </c>
    </row>
    <row r="41" spans="1:31" x14ac:dyDescent="0.25">
      <c r="A41" s="381"/>
      <c r="B41" s="381"/>
      <c r="C41" s="381"/>
      <c r="D41" s="382"/>
      <c r="E41" s="382"/>
      <c r="F41" s="382"/>
      <c r="G41" s="381"/>
      <c r="H41" s="381"/>
      <c r="I41" s="382"/>
      <c r="J41" s="382"/>
      <c r="K41" s="382"/>
      <c r="L41" s="381"/>
      <c r="M41" s="381"/>
      <c r="O41" s="34"/>
      <c r="R41" s="34"/>
      <c r="W41" s="133">
        <v>42710</v>
      </c>
      <c r="X41" s="10">
        <v>45.65</v>
      </c>
      <c r="Y41" s="10">
        <v>45.96</v>
      </c>
      <c r="Z41" s="10">
        <v>45.56</v>
      </c>
      <c r="AA41" s="10">
        <v>45.68</v>
      </c>
      <c r="AB41" s="95">
        <v>2854000</v>
      </c>
      <c r="AC41" s="10">
        <v>45.68</v>
      </c>
      <c r="AD41" s="2">
        <f t="shared" si="0"/>
        <v>0.39999999999999858</v>
      </c>
      <c r="AE41" s="138">
        <f t="shared" si="1"/>
        <v>-4.3763676148800279E-4</v>
      </c>
    </row>
    <row r="42" spans="1:31" ht="20.25" thickBot="1" x14ac:dyDescent="0.35">
      <c r="A42" s="381"/>
      <c r="B42" s="381"/>
      <c r="C42" s="381"/>
      <c r="D42" s="382"/>
      <c r="E42" s="382"/>
      <c r="F42" s="382"/>
      <c r="G42" s="381"/>
      <c r="H42" s="381"/>
      <c r="I42" s="382"/>
      <c r="J42" s="382"/>
      <c r="K42" s="382"/>
      <c r="L42" s="381"/>
      <c r="M42" s="381"/>
      <c r="O42" s="245" t="s">
        <v>78</v>
      </c>
      <c r="P42" s="245"/>
      <c r="Q42" s="34"/>
      <c r="R42" s="34"/>
      <c r="T42" s="91" t="s">
        <v>113</v>
      </c>
      <c r="W42" s="133">
        <v>42709</v>
      </c>
      <c r="X42" s="10">
        <v>45.95</v>
      </c>
      <c r="Y42" s="10">
        <v>46.15</v>
      </c>
      <c r="Z42" s="10">
        <v>45.57</v>
      </c>
      <c r="AA42" s="10">
        <v>45.7</v>
      </c>
      <c r="AB42" s="95">
        <v>3109100</v>
      </c>
      <c r="AC42" s="10">
        <v>45.7</v>
      </c>
      <c r="AD42" s="2">
        <f t="shared" si="0"/>
        <v>0.57999999999999829</v>
      </c>
      <c r="AE42" s="138">
        <f t="shared" si="1"/>
        <v>4.378283712784814E-4</v>
      </c>
    </row>
    <row r="43" spans="1:31" ht="15.75" thickTop="1" x14ac:dyDescent="0.25">
      <c r="A43" s="381"/>
      <c r="B43" s="381"/>
      <c r="C43" s="381"/>
      <c r="D43" s="382"/>
      <c r="E43" s="382"/>
      <c r="F43" s="382"/>
      <c r="G43" s="381"/>
      <c r="H43" s="381"/>
      <c r="I43" s="382"/>
      <c r="J43" s="382"/>
      <c r="K43" s="382"/>
      <c r="L43" s="381"/>
      <c r="M43" s="381"/>
      <c r="O43" s="83">
        <v>1.1000000000000001</v>
      </c>
      <c r="P43" s="83">
        <f>O43*$Q$4</f>
        <v>51.579000000000008</v>
      </c>
      <c r="Q43" s="34"/>
      <c r="R43" s="34"/>
      <c r="T43" s="128" t="s">
        <v>98</v>
      </c>
      <c r="U43" s="98">
        <v>47.45</v>
      </c>
      <c r="W43" s="133">
        <v>42706</v>
      </c>
      <c r="X43" s="10">
        <v>45.44</v>
      </c>
      <c r="Y43" s="10">
        <v>46.08</v>
      </c>
      <c r="Z43" s="10">
        <v>45.37</v>
      </c>
      <c r="AA43" s="10">
        <v>45.68</v>
      </c>
      <c r="AB43" s="95">
        <v>3020700</v>
      </c>
      <c r="AC43" s="10">
        <v>45.68</v>
      </c>
      <c r="AD43" s="2">
        <f t="shared" si="0"/>
        <v>0.71000000000000085</v>
      </c>
      <c r="AE43" s="138">
        <f t="shared" si="1"/>
        <v>5.2816901408450079E-3</v>
      </c>
    </row>
    <row r="44" spans="1:31" x14ac:dyDescent="0.25">
      <c r="A44" s="381"/>
      <c r="B44" s="381"/>
      <c r="C44" s="381"/>
      <c r="D44" s="382"/>
      <c r="E44" s="382"/>
      <c r="F44" s="382"/>
      <c r="G44" s="381"/>
      <c r="H44" s="381"/>
      <c r="I44" s="382"/>
      <c r="J44" s="382"/>
      <c r="K44" s="382"/>
      <c r="L44" s="381"/>
      <c r="M44" s="381"/>
      <c r="O44" s="83">
        <v>1.0900000000000001</v>
      </c>
      <c r="P44" s="83">
        <f t="shared" ref="P44:P63" si="5">O44*$Q$4</f>
        <v>51.110100000000003</v>
      </c>
      <c r="Q44" s="34"/>
      <c r="R44" s="34"/>
      <c r="T44" s="93" t="s">
        <v>99</v>
      </c>
      <c r="U44" s="88">
        <v>47.42</v>
      </c>
      <c r="W44" s="133">
        <v>42705</v>
      </c>
      <c r="X44" s="10">
        <v>46.87</v>
      </c>
      <c r="Y44" s="10">
        <v>46.99</v>
      </c>
      <c r="Z44" s="10">
        <v>45.26</v>
      </c>
      <c r="AA44" s="10">
        <v>45.44</v>
      </c>
      <c r="AB44" s="95">
        <v>5975700</v>
      </c>
      <c r="AC44" s="10">
        <v>45.44</v>
      </c>
      <c r="AD44" s="2">
        <f t="shared" si="0"/>
        <v>1.730000000000004</v>
      </c>
      <c r="AE44" s="138">
        <f t="shared" si="1"/>
        <v>-3.3397149542650495E-2</v>
      </c>
    </row>
    <row r="45" spans="1:31" x14ac:dyDescent="0.25">
      <c r="A45" s="381"/>
      <c r="B45" s="381"/>
      <c r="C45" s="381"/>
      <c r="D45" s="382"/>
      <c r="E45" s="382"/>
      <c r="F45" s="382"/>
      <c r="G45" s="381"/>
      <c r="H45" s="381"/>
      <c r="I45" s="382"/>
      <c r="J45" s="382"/>
      <c r="K45" s="382"/>
      <c r="L45" s="381"/>
      <c r="M45" s="381"/>
      <c r="O45" s="83">
        <v>1.08</v>
      </c>
      <c r="P45" s="83">
        <f t="shared" si="5"/>
        <v>50.641200000000005</v>
      </c>
      <c r="Q45" s="34"/>
      <c r="R45" s="34"/>
      <c r="T45" s="93" t="s">
        <v>100</v>
      </c>
      <c r="U45" s="88" t="s">
        <v>129</v>
      </c>
      <c r="W45" s="133">
        <v>42704</v>
      </c>
      <c r="X45" s="10">
        <v>47.54</v>
      </c>
      <c r="Y45" s="10">
        <v>48.02</v>
      </c>
      <c r="Z45" s="10">
        <v>46.47</v>
      </c>
      <c r="AA45" s="10">
        <v>47.01</v>
      </c>
      <c r="AB45" s="95">
        <v>9100600</v>
      </c>
      <c r="AC45" s="10">
        <v>47.01</v>
      </c>
      <c r="AD45" s="2">
        <f t="shared" si="0"/>
        <v>1.5500000000000043</v>
      </c>
      <c r="AE45" s="138">
        <f t="shared" si="1"/>
        <v>-9.6903307352012025E-3</v>
      </c>
    </row>
    <row r="46" spans="1:31" x14ac:dyDescent="0.25">
      <c r="A46" s="381"/>
      <c r="B46" s="381"/>
      <c r="C46" s="381"/>
      <c r="D46" s="382"/>
      <c r="E46" s="382"/>
      <c r="F46" s="382"/>
      <c r="G46" s="381"/>
      <c r="H46" s="381"/>
      <c r="I46" s="382"/>
      <c r="J46" s="382"/>
      <c r="K46" s="382"/>
      <c r="L46" s="381"/>
      <c r="M46" s="381"/>
      <c r="O46" s="83">
        <v>1.07</v>
      </c>
      <c r="P46" s="83">
        <f t="shared" si="5"/>
        <v>50.172300000000007</v>
      </c>
      <c r="Q46" s="83"/>
      <c r="R46" s="34"/>
      <c r="T46" s="93" t="s">
        <v>101</v>
      </c>
      <c r="U46" s="88" t="s">
        <v>129</v>
      </c>
      <c r="W46" s="133">
        <v>42703</v>
      </c>
      <c r="X46" s="10">
        <v>47.63</v>
      </c>
      <c r="Y46" s="10">
        <v>48.05</v>
      </c>
      <c r="Z46" s="10">
        <v>47.31</v>
      </c>
      <c r="AA46" s="10">
        <v>47.47</v>
      </c>
      <c r="AB46" s="95">
        <v>2614100</v>
      </c>
      <c r="AC46" s="10">
        <v>47.47</v>
      </c>
      <c r="AD46" s="2">
        <f t="shared" si="0"/>
        <v>0.73999999999999488</v>
      </c>
      <c r="AE46" s="138">
        <f t="shared" si="1"/>
        <v>-2.5215381382643898E-3</v>
      </c>
    </row>
    <row r="47" spans="1:31" x14ac:dyDescent="0.25">
      <c r="A47" s="381"/>
      <c r="B47" s="381"/>
      <c r="C47" s="381"/>
      <c r="D47" s="382"/>
      <c r="E47" s="382"/>
      <c r="F47" s="382"/>
      <c r="G47" s="381"/>
      <c r="H47" s="381"/>
      <c r="I47" s="382"/>
      <c r="J47" s="382"/>
      <c r="K47" s="382"/>
      <c r="L47" s="381"/>
      <c r="M47" s="381"/>
      <c r="O47" s="83">
        <v>1.06</v>
      </c>
      <c r="P47" s="83">
        <f t="shared" si="5"/>
        <v>49.703400000000002</v>
      </c>
      <c r="Q47" s="83"/>
      <c r="R47" s="34"/>
      <c r="T47" s="93" t="s">
        <v>102</v>
      </c>
      <c r="U47" s="88">
        <v>57.19</v>
      </c>
      <c r="W47" s="133">
        <v>42702</v>
      </c>
      <c r="X47" s="10">
        <v>48.08</v>
      </c>
      <c r="Y47" s="10">
        <v>48.45</v>
      </c>
      <c r="Z47" s="10">
        <v>47.54</v>
      </c>
      <c r="AA47" s="10">
        <v>47.59</v>
      </c>
      <c r="AB47" s="95">
        <v>3355200</v>
      </c>
      <c r="AC47" s="10">
        <v>47.59</v>
      </c>
      <c r="AD47" s="2">
        <f t="shared" si="0"/>
        <v>0.91000000000000369</v>
      </c>
      <c r="AE47" s="138" t="e">
        <f t="shared" si="1"/>
        <v>#DIV/0!</v>
      </c>
    </row>
    <row r="48" spans="1:31" x14ac:dyDescent="0.25">
      <c r="A48" s="381"/>
      <c r="B48" s="381"/>
      <c r="C48" s="381"/>
      <c r="D48" s="382"/>
      <c r="E48" s="382"/>
      <c r="F48" s="382"/>
      <c r="G48" s="381"/>
      <c r="H48" s="381"/>
      <c r="I48" s="382"/>
      <c r="J48" s="382"/>
      <c r="K48" s="382"/>
      <c r="L48" s="381"/>
      <c r="M48" s="381"/>
      <c r="O48" s="83">
        <v>1.05</v>
      </c>
      <c r="P48" s="83">
        <f t="shared" si="5"/>
        <v>49.234500000000004</v>
      </c>
      <c r="Q48" s="83"/>
      <c r="R48" s="34"/>
      <c r="T48" s="93" t="s">
        <v>103</v>
      </c>
      <c r="U48" s="88">
        <v>1.14598</v>
      </c>
      <c r="W48" s="133">
        <v>42702</v>
      </c>
      <c r="X48" s="10" t="s">
        <v>180</v>
      </c>
      <c r="Y48" s="10"/>
      <c r="Z48" s="10"/>
      <c r="AA48" s="10"/>
      <c r="AB48" s="95"/>
      <c r="AC48" s="10"/>
      <c r="AD48" s="2">
        <f t="shared" si="0"/>
        <v>0</v>
      </c>
      <c r="AE48" s="138">
        <f t="shared" si="1"/>
        <v>-1</v>
      </c>
    </row>
    <row r="49" spans="1:31" x14ac:dyDescent="0.25">
      <c r="A49" s="381"/>
      <c r="B49" s="381"/>
      <c r="C49" s="381"/>
      <c r="D49" s="382"/>
      <c r="E49" s="382"/>
      <c r="F49" s="382"/>
      <c r="G49" s="381"/>
      <c r="H49" s="381"/>
      <c r="I49" s="382"/>
      <c r="J49" s="382"/>
      <c r="K49" s="382"/>
      <c r="L49" s="381"/>
      <c r="M49" s="381"/>
      <c r="O49" s="83">
        <v>1.04</v>
      </c>
      <c r="P49" s="83">
        <f t="shared" si="5"/>
        <v>48.765599999999999</v>
      </c>
      <c r="Q49" s="83"/>
      <c r="R49" s="34"/>
      <c r="T49" s="93" t="s">
        <v>104</v>
      </c>
      <c r="U49" s="88" t="s">
        <v>428</v>
      </c>
      <c r="W49" s="133">
        <v>42699</v>
      </c>
      <c r="X49" s="10">
        <v>48.21</v>
      </c>
      <c r="Y49" s="10">
        <v>48.6</v>
      </c>
      <c r="Z49" s="10">
        <v>48.07</v>
      </c>
      <c r="AA49" s="10">
        <v>48.46</v>
      </c>
      <c r="AB49" s="95">
        <v>1151200</v>
      </c>
      <c r="AC49" s="10">
        <v>48.27</v>
      </c>
      <c r="AD49" s="2">
        <f t="shared" si="0"/>
        <v>0.53000000000000114</v>
      </c>
      <c r="AE49" s="138">
        <f t="shared" si="1"/>
        <v>6.0441850771155714E-3</v>
      </c>
    </row>
    <row r="50" spans="1:31" x14ac:dyDescent="0.25">
      <c r="A50" s="36" t="s">
        <v>81</v>
      </c>
      <c r="B50" s="37"/>
      <c r="C50" s="37">
        <f>SUM(C38:C49)</f>
        <v>80</v>
      </c>
      <c r="D50" s="38"/>
      <c r="E50" s="38"/>
      <c r="F50" s="38">
        <f>SUM(F38:F49)</f>
        <v>3170.6</v>
      </c>
      <c r="G50" s="37"/>
      <c r="H50" s="183">
        <f>SUM(H38:H49)</f>
        <v>80</v>
      </c>
      <c r="I50" s="38"/>
      <c r="J50" s="38"/>
      <c r="K50" s="38">
        <f>SUM(K38:K49)</f>
        <v>3230.42</v>
      </c>
      <c r="L50" s="38"/>
      <c r="M50" s="38">
        <f>SUM(M38:M39)</f>
        <v>15.2</v>
      </c>
      <c r="O50" s="83">
        <v>1.03</v>
      </c>
      <c r="P50" s="83">
        <f t="shared" si="5"/>
        <v>48.296700000000001</v>
      </c>
      <c r="Q50" s="83"/>
      <c r="R50" s="34"/>
      <c r="T50" s="93"/>
      <c r="U50" s="88"/>
      <c r="W50" s="133">
        <v>42697</v>
      </c>
      <c r="X50" s="10">
        <v>48.09</v>
      </c>
      <c r="Y50" s="10">
        <v>48.35</v>
      </c>
      <c r="Z50" s="10">
        <v>47.97</v>
      </c>
      <c r="AA50" s="10">
        <v>48.17</v>
      </c>
      <c r="AB50" s="95">
        <v>2619600</v>
      </c>
      <c r="AC50" s="10">
        <v>47.98</v>
      </c>
      <c r="AD50" s="2">
        <f t="shared" si="0"/>
        <v>0.38000000000000256</v>
      </c>
      <c r="AE50" s="138">
        <f t="shared" si="1"/>
        <v>1.461072844917588E-3</v>
      </c>
    </row>
    <row r="51" spans="1:31" x14ac:dyDescent="0.25">
      <c r="G51" s="2"/>
      <c r="O51" s="83">
        <v>1.02</v>
      </c>
      <c r="P51" s="83">
        <f t="shared" si="5"/>
        <v>47.827800000000003</v>
      </c>
      <c r="Q51" s="83"/>
      <c r="R51" s="34"/>
      <c r="T51" s="93" t="s">
        <v>105</v>
      </c>
      <c r="U51" s="88" t="s">
        <v>631</v>
      </c>
      <c r="W51" s="133">
        <v>42696</v>
      </c>
      <c r="X51" s="10">
        <v>47.76</v>
      </c>
      <c r="Y51" s="10">
        <v>48.4</v>
      </c>
      <c r="Z51" s="10">
        <v>47.76</v>
      </c>
      <c r="AA51" s="10">
        <v>48.1</v>
      </c>
      <c r="AB51" s="95">
        <v>3347300</v>
      </c>
      <c r="AC51" s="10">
        <v>47.91</v>
      </c>
      <c r="AD51" s="2">
        <f t="shared" si="0"/>
        <v>0.64000000000000057</v>
      </c>
      <c r="AE51" s="138">
        <f t="shared" si="1"/>
        <v>1.1186154495567591E-2</v>
      </c>
    </row>
    <row r="52" spans="1:31" x14ac:dyDescent="0.25">
      <c r="O52" s="83">
        <v>1.01</v>
      </c>
      <c r="P52" s="83">
        <f t="shared" si="5"/>
        <v>47.358899999999998</v>
      </c>
      <c r="Q52" s="83"/>
      <c r="R52" s="34"/>
      <c r="T52" s="93" t="s">
        <v>106</v>
      </c>
      <c r="U52" s="88" t="s">
        <v>272</v>
      </c>
      <c r="W52" s="133">
        <v>42695</v>
      </c>
      <c r="X52" s="10">
        <v>46.88</v>
      </c>
      <c r="Y52" s="10">
        <v>47.61</v>
      </c>
      <c r="Z52" s="10">
        <v>46.84</v>
      </c>
      <c r="AA52" s="10">
        <v>47.57</v>
      </c>
      <c r="AB52" s="95">
        <v>2827900</v>
      </c>
      <c r="AC52" s="10">
        <v>47.38</v>
      </c>
      <c r="AD52" s="2">
        <f t="shared" si="0"/>
        <v>0.76999999999999602</v>
      </c>
      <c r="AE52" s="138">
        <f t="shared" si="1"/>
        <v>1.7611683848797188E-2</v>
      </c>
    </row>
    <row r="53" spans="1:31" x14ac:dyDescent="0.25">
      <c r="O53" s="83">
        <v>1</v>
      </c>
      <c r="P53" s="83">
        <f t="shared" si="5"/>
        <v>46.89</v>
      </c>
      <c r="Q53" s="83"/>
      <c r="R53" s="34"/>
      <c r="T53" s="93" t="s">
        <v>107</v>
      </c>
      <c r="U53" s="90">
        <v>4524776</v>
      </c>
      <c r="W53" s="133">
        <v>42692</v>
      </c>
      <c r="X53" s="10">
        <v>47.56</v>
      </c>
      <c r="Y53" s="10">
        <v>47.75</v>
      </c>
      <c r="Z53" s="10">
        <v>46.51</v>
      </c>
      <c r="AA53" s="10">
        <v>46.74</v>
      </c>
      <c r="AB53" s="95">
        <v>2975300</v>
      </c>
      <c r="AC53" s="10">
        <v>46.56</v>
      </c>
      <c r="AD53" s="2">
        <f t="shared" si="0"/>
        <v>1.240000000000002</v>
      </c>
      <c r="AE53" s="138">
        <f t="shared" si="1"/>
        <v>-1.7099430018999273E-2</v>
      </c>
    </row>
    <row r="54" spans="1:31" x14ac:dyDescent="0.25">
      <c r="O54" s="83">
        <v>0.99</v>
      </c>
      <c r="P54" s="83">
        <f t="shared" si="5"/>
        <v>46.421100000000003</v>
      </c>
      <c r="Q54" s="83"/>
      <c r="R54" s="34"/>
      <c r="T54" s="93" t="s">
        <v>110</v>
      </c>
      <c r="U54" s="90">
        <v>4139700</v>
      </c>
      <c r="W54" s="133">
        <v>42691</v>
      </c>
      <c r="X54" s="10">
        <v>47.1</v>
      </c>
      <c r="Y54" s="10">
        <v>47.71</v>
      </c>
      <c r="Z54" s="10">
        <v>46.78</v>
      </c>
      <c r="AA54" s="10">
        <v>47.56</v>
      </c>
      <c r="AB54" s="95">
        <v>3926700</v>
      </c>
      <c r="AC54" s="10">
        <v>47.37</v>
      </c>
      <c r="AD54" s="2">
        <f t="shared" si="0"/>
        <v>0.92999999999999972</v>
      </c>
      <c r="AE54" s="138">
        <f t="shared" si="1"/>
        <v>1.3262032085561426E-2</v>
      </c>
    </row>
    <row r="55" spans="1:31" x14ac:dyDescent="0.25">
      <c r="O55" s="83">
        <v>0.98</v>
      </c>
      <c r="P55" s="83">
        <f t="shared" si="5"/>
        <v>45.952199999999998</v>
      </c>
      <c r="Q55" s="83"/>
      <c r="T55" s="93" t="s">
        <v>108</v>
      </c>
      <c r="U55" s="88" t="s">
        <v>632</v>
      </c>
      <c r="W55" s="133">
        <v>42690</v>
      </c>
      <c r="X55" s="10">
        <v>46.99</v>
      </c>
      <c r="Y55" s="10">
        <v>47.21</v>
      </c>
      <c r="Z55" s="10">
        <v>46.66</v>
      </c>
      <c r="AA55" s="10">
        <v>46.93</v>
      </c>
      <c r="AB55" s="95">
        <v>3884100</v>
      </c>
      <c r="AC55" s="10">
        <v>46.75</v>
      </c>
      <c r="AD55" s="2">
        <f t="shared" si="0"/>
        <v>0.55000000000000426</v>
      </c>
      <c r="AE55" s="138">
        <f t="shared" si="1"/>
        <v>-2.5602730957968722E-3</v>
      </c>
    </row>
    <row r="56" spans="1:31" x14ac:dyDescent="0.25">
      <c r="O56" s="83">
        <v>0.97</v>
      </c>
      <c r="P56" s="83">
        <f t="shared" si="5"/>
        <v>45.4833</v>
      </c>
      <c r="Q56" s="83"/>
      <c r="T56" s="93" t="s">
        <v>111</v>
      </c>
      <c r="U56" s="88">
        <v>46.6</v>
      </c>
      <c r="W56" s="133">
        <v>42689</v>
      </c>
      <c r="X56" s="10">
        <v>46.72</v>
      </c>
      <c r="Y56" s="10">
        <v>47.57</v>
      </c>
      <c r="Z56" s="10">
        <v>46.57</v>
      </c>
      <c r="AA56" s="10">
        <v>47.05</v>
      </c>
      <c r="AB56" s="95">
        <v>6100700</v>
      </c>
      <c r="AC56" s="10">
        <v>46.87</v>
      </c>
      <c r="AD56" s="2">
        <f t="shared" si="0"/>
        <v>1</v>
      </c>
      <c r="AE56" s="138">
        <f t="shared" si="1"/>
        <v>1.1655514785236409E-2</v>
      </c>
    </row>
    <row r="57" spans="1:31" x14ac:dyDescent="0.25">
      <c r="O57" s="83">
        <v>0.96</v>
      </c>
      <c r="P57" s="83">
        <f t="shared" si="5"/>
        <v>45.014400000000002</v>
      </c>
      <c r="Q57" s="83"/>
      <c r="T57" s="93" t="s">
        <v>112</v>
      </c>
      <c r="U57" s="88">
        <v>1.03</v>
      </c>
      <c r="W57" s="133">
        <v>42688</v>
      </c>
      <c r="X57" s="10">
        <v>47.6</v>
      </c>
      <c r="Y57" s="10">
        <v>47.78</v>
      </c>
      <c r="Z57" s="10">
        <v>45.95</v>
      </c>
      <c r="AA57" s="10">
        <v>46.51</v>
      </c>
      <c r="AB57" s="95">
        <v>6925700</v>
      </c>
      <c r="AC57" s="10">
        <v>46.33</v>
      </c>
      <c r="AD57" s="2">
        <f t="shared" si="0"/>
        <v>1.8299999999999983</v>
      </c>
      <c r="AE57" s="138">
        <f t="shared" si="1"/>
        <v>-1.9678374947101118E-2</v>
      </c>
    </row>
    <row r="58" spans="1:31" x14ac:dyDescent="0.25">
      <c r="O58" s="83">
        <v>0.95</v>
      </c>
      <c r="P58" s="83">
        <f t="shared" si="5"/>
        <v>44.545499999999997</v>
      </c>
      <c r="Q58" s="83"/>
      <c r="T58" s="93" t="s">
        <v>109</v>
      </c>
      <c r="U58" s="88" t="s">
        <v>633</v>
      </c>
      <c r="W58" s="133">
        <v>42685</v>
      </c>
      <c r="X58" s="10">
        <v>47.52</v>
      </c>
      <c r="Y58" s="10">
        <v>48.33</v>
      </c>
      <c r="Z58" s="10">
        <v>47.24</v>
      </c>
      <c r="AA58" s="10">
        <v>47.45</v>
      </c>
      <c r="AB58" s="95">
        <v>7718600</v>
      </c>
      <c r="AC58" s="10">
        <v>47.26</v>
      </c>
      <c r="AD58" s="2">
        <f t="shared" si="0"/>
        <v>1.0899999999999963</v>
      </c>
      <c r="AE58" s="138">
        <f t="shared" si="1"/>
        <v>-4.4238466399831866E-3</v>
      </c>
    </row>
    <row r="59" spans="1:31" x14ac:dyDescent="0.25">
      <c r="O59" s="83">
        <v>0.94</v>
      </c>
      <c r="P59" s="83">
        <f t="shared" si="5"/>
        <v>44.076599999999999</v>
      </c>
      <c r="Q59" s="83"/>
      <c r="W59" s="133">
        <v>42684</v>
      </c>
      <c r="X59" s="10">
        <v>49.99</v>
      </c>
      <c r="Y59" s="10">
        <v>50.31</v>
      </c>
      <c r="Z59" s="10">
        <v>47.43</v>
      </c>
      <c r="AA59" s="10">
        <v>47.66</v>
      </c>
      <c r="AB59" s="95">
        <v>8381800</v>
      </c>
      <c r="AC59" s="10">
        <v>47.47</v>
      </c>
      <c r="AD59" s="2">
        <f t="shared" si="0"/>
        <v>2.8800000000000026</v>
      </c>
      <c r="AE59" s="138">
        <f t="shared" si="1"/>
        <v>-3.9263307022869842E-2</v>
      </c>
    </row>
    <row r="60" spans="1:31" x14ac:dyDescent="0.25">
      <c r="O60" s="83">
        <v>0.93</v>
      </c>
      <c r="P60" s="83">
        <f t="shared" si="5"/>
        <v>43.607700000000001</v>
      </c>
      <c r="Q60" s="83"/>
      <c r="W60" s="133">
        <v>42683</v>
      </c>
      <c r="X60" s="10">
        <v>49.24</v>
      </c>
      <c r="Y60" s="10">
        <v>50.26</v>
      </c>
      <c r="Z60" s="10">
        <v>49</v>
      </c>
      <c r="AA60" s="10">
        <v>49.6</v>
      </c>
      <c r="AB60" s="95">
        <v>5966500</v>
      </c>
      <c r="AC60" s="10">
        <v>49.41</v>
      </c>
      <c r="AD60" s="2">
        <f t="shared" si="0"/>
        <v>1.259999999999998</v>
      </c>
      <c r="AE60" s="138">
        <f t="shared" si="1"/>
        <v>-1.5933081059549936E-2</v>
      </c>
    </row>
    <row r="61" spans="1:31" x14ac:dyDescent="0.25">
      <c r="O61" s="83">
        <v>0.92</v>
      </c>
      <c r="P61" s="83">
        <f t="shared" si="5"/>
        <v>43.138800000000003</v>
      </c>
      <c r="Q61" s="83"/>
      <c r="W61" s="133">
        <v>42682</v>
      </c>
      <c r="X61" s="10">
        <v>49.72</v>
      </c>
      <c r="Y61" s="10">
        <v>50.7</v>
      </c>
      <c r="Z61" s="10">
        <v>49.46</v>
      </c>
      <c r="AA61" s="10">
        <v>50.41</v>
      </c>
      <c r="AB61" s="95">
        <v>4206200</v>
      </c>
      <c r="AC61" s="10">
        <v>50.21</v>
      </c>
      <c r="AD61" s="2">
        <f t="shared" si="0"/>
        <v>1.240000000000002</v>
      </c>
      <c r="AE61" s="138">
        <f t="shared" si="1"/>
        <v>2.532162548499084E-2</v>
      </c>
    </row>
    <row r="62" spans="1:31" x14ac:dyDescent="0.25">
      <c r="O62" s="83">
        <v>0.91</v>
      </c>
      <c r="P62" s="83">
        <f t="shared" si="5"/>
        <v>42.669900000000005</v>
      </c>
      <c r="Q62" s="83"/>
      <c r="W62" s="133">
        <v>42681</v>
      </c>
      <c r="X62" s="10">
        <v>48.2</v>
      </c>
      <c r="Y62" s="10">
        <v>49.25</v>
      </c>
      <c r="Z62" s="10">
        <v>48.2</v>
      </c>
      <c r="AA62" s="10">
        <v>49.16</v>
      </c>
      <c r="AB62" s="95">
        <v>3923300</v>
      </c>
      <c r="AC62" s="10">
        <v>48.97</v>
      </c>
      <c r="AD62" s="2">
        <f t="shared" si="0"/>
        <v>1.0499999999999972</v>
      </c>
      <c r="AE62" s="138">
        <f t="shared" si="1"/>
        <v>3.4213305174234376E-2</v>
      </c>
    </row>
    <row r="63" spans="1:31" x14ac:dyDescent="0.25">
      <c r="O63" s="83">
        <v>0.9</v>
      </c>
      <c r="P63" s="83">
        <f t="shared" si="5"/>
        <v>42.201000000000001</v>
      </c>
      <c r="Q63" s="83"/>
      <c r="W63" s="133">
        <v>42678</v>
      </c>
      <c r="X63" s="10">
        <v>47.65</v>
      </c>
      <c r="Y63" s="10">
        <v>48.09</v>
      </c>
      <c r="Z63" s="10">
        <v>47.47</v>
      </c>
      <c r="AA63" s="10">
        <v>47.54</v>
      </c>
      <c r="AB63" s="95">
        <v>3917700</v>
      </c>
      <c r="AC63" s="10">
        <v>47.35</v>
      </c>
      <c r="AD63" s="2">
        <f t="shared" si="0"/>
        <v>0.62000000000000455</v>
      </c>
      <c r="AE63" s="138">
        <f t="shared" si="1"/>
        <v>-1.476170392239573E-3</v>
      </c>
    </row>
    <row r="64" spans="1:31" x14ac:dyDescent="0.25">
      <c r="O64" s="34"/>
      <c r="W64" s="133">
        <v>42677</v>
      </c>
      <c r="X64" s="10">
        <v>47.78</v>
      </c>
      <c r="Y64" s="10">
        <v>48.06</v>
      </c>
      <c r="Z64" s="10">
        <v>47.4</v>
      </c>
      <c r="AA64" s="10">
        <v>47.61</v>
      </c>
      <c r="AB64" s="95">
        <v>4203500</v>
      </c>
      <c r="AC64" s="10">
        <v>47.42</v>
      </c>
      <c r="AD64" s="2">
        <f t="shared" si="0"/>
        <v>0.66000000000000369</v>
      </c>
      <c r="AE64" s="138">
        <f t="shared" si="1"/>
        <v>-8.4281500210703353E-4</v>
      </c>
    </row>
    <row r="65" spans="15:31" x14ac:dyDescent="0.25">
      <c r="W65" s="133">
        <v>42676</v>
      </c>
      <c r="X65" s="10">
        <v>48.16</v>
      </c>
      <c r="Y65" s="10">
        <v>48.23</v>
      </c>
      <c r="Z65" s="10">
        <v>47.65</v>
      </c>
      <c r="AA65" s="10">
        <v>47.65</v>
      </c>
      <c r="AB65" s="95">
        <v>4623700</v>
      </c>
      <c r="AC65" s="10">
        <v>47.46</v>
      </c>
      <c r="AD65" s="2">
        <f t="shared" si="0"/>
        <v>0.57999999999999829</v>
      </c>
      <c r="AE65" s="138">
        <f t="shared" si="1"/>
        <v>-1.0631644777986171E-2</v>
      </c>
    </row>
    <row r="66" spans="15:31" x14ac:dyDescent="0.25">
      <c r="W66" s="133">
        <v>42675</v>
      </c>
      <c r="X66" s="10">
        <v>48.56</v>
      </c>
      <c r="Y66" s="10">
        <v>49.44</v>
      </c>
      <c r="Z66" s="10">
        <v>47.63</v>
      </c>
      <c r="AA66" s="10">
        <v>48.16</v>
      </c>
      <c r="AB66" s="95">
        <v>6953500</v>
      </c>
      <c r="AC66" s="10">
        <v>47.97</v>
      </c>
      <c r="AD66" s="2">
        <f t="shared" si="0"/>
        <v>1.8099999999999952</v>
      </c>
      <c r="AE66" s="138">
        <f t="shared" si="1"/>
        <v>2.927033242734689E-3</v>
      </c>
    </row>
    <row r="67" spans="15:31" x14ac:dyDescent="0.25">
      <c r="W67" s="133">
        <v>42674</v>
      </c>
      <c r="X67" s="10">
        <v>49.68</v>
      </c>
      <c r="Y67" s="10">
        <v>49.89</v>
      </c>
      <c r="Z67" s="10">
        <v>47.86</v>
      </c>
      <c r="AA67" s="10">
        <v>48.02</v>
      </c>
      <c r="AB67" s="95">
        <v>7580600</v>
      </c>
      <c r="AC67" s="10">
        <v>47.83</v>
      </c>
      <c r="AD67" s="2">
        <f>Y67-Z67</f>
        <v>2.0300000000000011</v>
      </c>
      <c r="AE67" s="138">
        <f>AC67/AC68-1</f>
        <v>-2.8043080674659659E-2</v>
      </c>
    </row>
    <row r="68" spans="15:31" x14ac:dyDescent="0.25">
      <c r="W68" s="133">
        <v>42671</v>
      </c>
      <c r="X68" s="10">
        <v>49.06</v>
      </c>
      <c r="Y68" s="10">
        <v>50.32</v>
      </c>
      <c r="Z68" s="10">
        <v>48.75</v>
      </c>
      <c r="AA68" s="10">
        <v>49.4</v>
      </c>
      <c r="AB68" s="95">
        <v>10896400</v>
      </c>
      <c r="AC68" s="10">
        <v>49.21</v>
      </c>
      <c r="AD68" s="2">
        <f>Y68-Z68</f>
        <v>1.5700000000000003</v>
      </c>
      <c r="AE68" s="138" t="e">
        <f>AC68/AC69-1</f>
        <v>#DIV/0!</v>
      </c>
    </row>
    <row r="69" spans="15:31" x14ac:dyDescent="0.25">
      <c r="O69" s="34"/>
      <c r="W69" s="284" t="s">
        <v>121</v>
      </c>
      <c r="AB69" s="235"/>
    </row>
  </sheetData>
  <conditionalFormatting sqref="O43:O63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{43CFCAD7-5A4C-4B80-89A7-A82935D46E0B}</x14:id>
        </ext>
      </extLst>
    </cfRule>
  </conditionalFormatting>
  <conditionalFormatting sqref="AE1:AE68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289" priority="33">
      <formula>F25&gt;0</formula>
    </cfRule>
    <cfRule type="expression" dxfId="288" priority="34">
      <formula>F25&lt;0</formula>
    </cfRule>
  </conditionalFormatting>
  <conditionalFormatting sqref="H25:H27">
    <cfRule type="expression" dxfId="287" priority="31">
      <formula>H25&gt;0</formula>
    </cfRule>
    <cfRule type="expression" dxfId="286" priority="32">
      <formula>H25&lt;0</formula>
    </cfRule>
  </conditionalFormatting>
  <conditionalFormatting sqref="H28">
    <cfRule type="expression" dxfId="285" priority="29">
      <formula>H28&gt;0</formula>
    </cfRule>
    <cfRule type="expression" dxfId="284" priority="30">
      <formula>H28&lt;0</formula>
    </cfRule>
  </conditionalFormatting>
  <conditionalFormatting sqref="H29">
    <cfRule type="expression" dxfId="283" priority="27">
      <formula>H29&gt;0</formula>
    </cfRule>
    <cfRule type="expression" dxfId="282" priority="28">
      <formula>H29&lt;0</formula>
    </cfRule>
  </conditionalFormatting>
  <conditionalFormatting sqref="H30:H34">
    <cfRule type="expression" dxfId="281" priority="25">
      <formula>H30&gt;0</formula>
    </cfRule>
    <cfRule type="expression" dxfId="280" priority="26">
      <formula>H30&lt;0</formula>
    </cfRule>
  </conditionalFormatting>
  <conditionalFormatting sqref="F21:F24">
    <cfRule type="expression" dxfId="279" priority="23">
      <formula>F21&gt;0</formula>
    </cfRule>
    <cfRule type="expression" dxfId="278" priority="24">
      <formula>F21&lt;0</formula>
    </cfRule>
  </conditionalFormatting>
  <conditionalFormatting sqref="H21:H24">
    <cfRule type="expression" dxfId="277" priority="21">
      <formula>H21&gt;0</formula>
    </cfRule>
    <cfRule type="expression" dxfId="276" priority="22">
      <formula>H21&lt;0</formula>
    </cfRule>
  </conditionalFormatting>
  <conditionalFormatting sqref="F30:F31">
    <cfRule type="expression" dxfId="275" priority="17">
      <formula>F30&gt;0</formula>
    </cfRule>
    <cfRule type="expression" dxfId="274" priority="18">
      <formula>F30&lt;0</formula>
    </cfRule>
  </conditionalFormatting>
  <conditionalFormatting sqref="I25:I27">
    <cfRule type="expression" dxfId="273" priority="15">
      <formula>I25&gt;0</formula>
    </cfRule>
    <cfRule type="expression" dxfId="272" priority="16">
      <formula>I25&lt;0</formula>
    </cfRule>
  </conditionalFormatting>
  <conditionalFormatting sqref="I28">
    <cfRule type="expression" dxfId="271" priority="13">
      <formula>I28&gt;0</formula>
    </cfRule>
    <cfRule type="expression" dxfId="270" priority="14">
      <formula>I28&lt;0</formula>
    </cfRule>
  </conditionalFormatting>
  <conditionalFormatting sqref="I29">
    <cfRule type="expression" dxfId="269" priority="11">
      <formula>I29&gt;0</formula>
    </cfRule>
    <cfRule type="expression" dxfId="268" priority="12">
      <formula>I29&lt;0</formula>
    </cfRule>
  </conditionalFormatting>
  <conditionalFormatting sqref="I30:I34">
    <cfRule type="expression" dxfId="267" priority="9">
      <formula>I30&gt;0</formula>
    </cfRule>
    <cfRule type="expression" dxfId="266" priority="10">
      <formula>I30&lt;0</formula>
    </cfRule>
  </conditionalFormatting>
  <conditionalFormatting sqref="I21:I24">
    <cfRule type="expression" dxfId="265" priority="7">
      <formula>I21&gt;0</formula>
    </cfRule>
    <cfRule type="expression" dxfId="264" priority="8">
      <formula>I21&lt;0</formula>
    </cfRule>
  </conditionalFormatting>
  <conditionalFormatting sqref="F32">
    <cfRule type="expression" dxfId="263" priority="5">
      <formula>F32&gt;0</formula>
    </cfRule>
    <cfRule type="expression" dxfId="262" priority="6">
      <formula>F32&lt;0</formula>
    </cfRule>
  </conditionalFormatting>
  <conditionalFormatting sqref="Q8">
    <cfRule type="expression" dxfId="261" priority="1">
      <formula>Q8&gt;0</formula>
    </cfRule>
    <cfRule type="expression" dxfId="260" priority="2">
      <formula>Q8&lt;0</formula>
    </cfRule>
  </conditionalFormatting>
  <conditionalFormatting sqref="Q7">
    <cfRule type="expression" dxfId="259" priority="3">
      <formula>Q7&gt;0</formula>
    </cfRule>
    <cfRule type="expression" dxfId="258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3CFCAD7-5A4C-4B80-89A7-A82935D46E0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  <c r="AI1" s="11" t="s">
        <v>156</v>
      </c>
      <c r="AJ1" s="11" t="s">
        <v>157</v>
      </c>
      <c r="AK1" s="11" t="s">
        <v>158</v>
      </c>
      <c r="AL1" s="11" t="s">
        <v>159</v>
      </c>
      <c r="AO1" s="11" t="s">
        <v>160</v>
      </c>
      <c r="AP1" s="11" t="s">
        <v>59</v>
      </c>
      <c r="AQ1" s="11" t="s">
        <v>162</v>
      </c>
    </row>
    <row r="2" spans="1:43" x14ac:dyDescent="0.25">
      <c r="A2" s="6" t="s">
        <v>24</v>
      </c>
      <c r="B2" s="74"/>
      <c r="C2" s="4"/>
      <c r="D2" s="3"/>
      <c r="E2" s="3"/>
      <c r="F2" s="3"/>
      <c r="G2" s="74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3">
        <v>42768</v>
      </c>
      <c r="X2" s="10">
        <v>41.12</v>
      </c>
      <c r="Y2" s="10">
        <v>41.56</v>
      </c>
      <c r="Z2" s="10">
        <v>40.880000000000003</v>
      </c>
      <c r="AA2" s="10">
        <v>40.89</v>
      </c>
      <c r="AB2" s="95">
        <v>2177400</v>
      </c>
      <c r="AC2" s="10">
        <v>40.89</v>
      </c>
      <c r="AD2" s="2">
        <f>Y2-Z2</f>
        <v>0.67999999999999972</v>
      </c>
      <c r="AE2" s="138">
        <f>AC2/AC3-1</f>
        <v>-1.0885341074020394E-2</v>
      </c>
      <c r="AP2" t="s">
        <v>161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4"/>
      <c r="M3" s="4"/>
      <c r="O3" s="11" t="s">
        <v>58</v>
      </c>
      <c r="Q3" s="80">
        <f>IF(Q2=0, Q4, (F18-K18)/Q2)</f>
        <v>41.02</v>
      </c>
      <c r="T3" s="1">
        <v>42312</v>
      </c>
      <c r="U3" t="s">
        <v>149</v>
      </c>
      <c r="W3" s="133">
        <v>42767</v>
      </c>
      <c r="X3" s="10">
        <v>42.18</v>
      </c>
      <c r="Y3" s="10">
        <v>42.32</v>
      </c>
      <c r="Z3" s="10">
        <v>41.2</v>
      </c>
      <c r="AA3" s="10">
        <v>41.34</v>
      </c>
      <c r="AB3" s="95">
        <v>2425900</v>
      </c>
      <c r="AC3" s="10">
        <v>41.34</v>
      </c>
      <c r="AD3" s="2">
        <f t="shared" ref="AD3:AD66" si="0">Y3-Z3</f>
        <v>1.1199999999999974</v>
      </c>
      <c r="AE3" s="138">
        <f t="shared" ref="AE3:AE66" si="1">AC3/AC4-1</f>
        <v>-3.4337771548703544E-2</v>
      </c>
      <c r="AI3" t="s">
        <v>163</v>
      </c>
      <c r="AJ3">
        <v>50</v>
      </c>
      <c r="AK3">
        <v>41.2</v>
      </c>
      <c r="AL3" s="234">
        <v>2060</v>
      </c>
      <c r="AO3" s="234">
        <v>2126</v>
      </c>
      <c r="AP3">
        <v>66</v>
      </c>
      <c r="AQ3">
        <v>3.2</v>
      </c>
    </row>
    <row r="4" spans="1:43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41.02</v>
      </c>
      <c r="R4" s="505">
        <v>3.2000000000000002E-3</v>
      </c>
      <c r="W4" s="133">
        <v>42766</v>
      </c>
      <c r="X4" s="10">
        <v>41.55</v>
      </c>
      <c r="Y4" s="10">
        <v>42.82</v>
      </c>
      <c r="Z4" s="10">
        <v>41.21</v>
      </c>
      <c r="AA4" s="10">
        <v>42.81</v>
      </c>
      <c r="AB4" s="95">
        <v>2580300</v>
      </c>
      <c r="AC4" s="10">
        <v>42.81</v>
      </c>
      <c r="AD4" s="2">
        <f t="shared" si="0"/>
        <v>1.6099999999999994</v>
      </c>
      <c r="AE4" s="138">
        <f t="shared" si="1"/>
        <v>2.4407753050969205E-2</v>
      </c>
    </row>
    <row r="5" spans="1:43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42765</v>
      </c>
      <c r="X5" s="10">
        <v>41.58</v>
      </c>
      <c r="Y5" s="10">
        <v>41.88</v>
      </c>
      <c r="Z5" s="10">
        <v>41.19</v>
      </c>
      <c r="AA5" s="10">
        <v>41.79</v>
      </c>
      <c r="AB5" s="95">
        <v>1240200</v>
      </c>
      <c r="AC5" s="10">
        <v>41.79</v>
      </c>
      <c r="AD5" s="2">
        <f t="shared" si="0"/>
        <v>0.69000000000000483</v>
      </c>
      <c r="AE5" s="138">
        <f t="shared" si="1"/>
        <v>6.2605345533348622E-3</v>
      </c>
    </row>
    <row r="6" spans="1:43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42762</v>
      </c>
      <c r="X6" s="10">
        <v>42.12</v>
      </c>
      <c r="Y6" s="10">
        <v>42.31</v>
      </c>
      <c r="Z6" s="10">
        <v>41.4</v>
      </c>
      <c r="AA6" s="10">
        <v>41.53</v>
      </c>
      <c r="AB6" s="95">
        <v>1220500</v>
      </c>
      <c r="AC6" s="10">
        <v>41.53</v>
      </c>
      <c r="AD6" s="2">
        <f t="shared" si="0"/>
        <v>0.91000000000000369</v>
      </c>
      <c r="AE6" s="138">
        <f t="shared" si="1"/>
        <v>-1.2601046124583903E-2</v>
      </c>
    </row>
    <row r="7" spans="1:43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M7" s="4"/>
      <c r="O7" s="11" t="s">
        <v>181</v>
      </c>
      <c r="Q7" s="2">
        <f>Q10+Q8</f>
        <v>745.43999999999505</v>
      </c>
      <c r="R7">
        <v>0</v>
      </c>
      <c r="W7" s="133">
        <v>42761</v>
      </c>
      <c r="X7" s="10">
        <v>42.98</v>
      </c>
      <c r="Y7" s="10">
        <v>43.07</v>
      </c>
      <c r="Z7" s="10">
        <v>41.91</v>
      </c>
      <c r="AA7" s="10">
        <v>42.06</v>
      </c>
      <c r="AB7" s="95">
        <v>1899900</v>
      </c>
      <c r="AC7" s="10">
        <v>42.06</v>
      </c>
      <c r="AD7" s="2">
        <f t="shared" si="0"/>
        <v>1.1600000000000037</v>
      </c>
      <c r="AE7" s="138">
        <f t="shared" si="1"/>
        <v>-1.7289719626168099E-2</v>
      </c>
    </row>
    <row r="8" spans="1:43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M8" s="4"/>
      <c r="O8" s="11" t="s">
        <v>184</v>
      </c>
      <c r="P8" s="34"/>
      <c r="Q8" s="2">
        <f>K18+M18-F18+Q2*Q4</f>
        <v>0</v>
      </c>
      <c r="W8" s="133">
        <v>42760</v>
      </c>
      <c r="X8" s="10">
        <v>43.68</v>
      </c>
      <c r="Y8" s="10">
        <v>43.73</v>
      </c>
      <c r="Z8" s="10">
        <v>42.77</v>
      </c>
      <c r="AA8" s="10">
        <v>42.8</v>
      </c>
      <c r="AB8" s="95">
        <v>1670400</v>
      </c>
      <c r="AC8" s="10">
        <v>42.8</v>
      </c>
      <c r="AD8" s="2">
        <f t="shared" si="0"/>
        <v>0.95999999999999375</v>
      </c>
      <c r="AE8" s="138">
        <f t="shared" si="1"/>
        <v>-1.3824884792626779E-2</v>
      </c>
    </row>
    <row r="9" spans="1:43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M9" s="4"/>
      <c r="O9" s="11" t="s">
        <v>214</v>
      </c>
      <c r="Q9" s="138">
        <f>IF(Q2=0, 0, Q8/Q6)</f>
        <v>0</v>
      </c>
      <c r="W9" s="133">
        <v>42759</v>
      </c>
      <c r="X9" s="10">
        <v>42.7</v>
      </c>
      <c r="Y9" s="10">
        <v>43.43</v>
      </c>
      <c r="Z9" s="10">
        <v>42.36</v>
      </c>
      <c r="AA9" s="10">
        <v>43.4</v>
      </c>
      <c r="AB9" s="95">
        <v>2404600</v>
      </c>
      <c r="AC9" s="10">
        <v>43.4</v>
      </c>
      <c r="AD9" s="2">
        <f t="shared" si="0"/>
        <v>1.0700000000000003</v>
      </c>
      <c r="AE9" s="138">
        <f t="shared" si="1"/>
        <v>1.9736842105263053E-2</v>
      </c>
    </row>
    <row r="10" spans="1:43" x14ac:dyDescent="0.25">
      <c r="B10" s="74"/>
      <c r="C10" s="4"/>
      <c r="D10" s="3"/>
      <c r="E10" s="3"/>
      <c r="F10" s="3"/>
      <c r="G10" s="74"/>
      <c r="H10" s="185"/>
      <c r="I10" s="3"/>
      <c r="J10" s="3"/>
      <c r="K10" s="3"/>
      <c r="L10" s="4"/>
      <c r="M10" s="4"/>
      <c r="O10" s="11" t="s">
        <v>213</v>
      </c>
      <c r="P10" s="34"/>
      <c r="Q10" s="2">
        <f>M35</f>
        <v>745.43999999999505</v>
      </c>
      <c r="W10" s="133">
        <v>42758</v>
      </c>
      <c r="X10" s="10">
        <v>42.21</v>
      </c>
      <c r="Y10" s="10">
        <v>42.96</v>
      </c>
      <c r="Z10" s="10">
        <v>42.01</v>
      </c>
      <c r="AA10" s="10">
        <v>42.56</v>
      </c>
      <c r="AB10" s="95">
        <v>1412700</v>
      </c>
      <c r="AC10" s="10">
        <v>42.56</v>
      </c>
      <c r="AD10" s="2">
        <f t="shared" si="0"/>
        <v>0.95000000000000284</v>
      </c>
      <c r="AE10" s="138">
        <f t="shared" si="1"/>
        <v>2.3551577955722713E-3</v>
      </c>
    </row>
    <row r="11" spans="1:43" x14ac:dyDescent="0.25">
      <c r="B11" s="74"/>
      <c r="C11" s="4"/>
      <c r="D11" s="3"/>
      <c r="E11" s="3"/>
      <c r="F11" s="3"/>
      <c r="G11" s="74"/>
      <c r="H11" s="185"/>
      <c r="I11" s="3"/>
      <c r="J11" s="3"/>
      <c r="K11" s="3"/>
      <c r="L11" s="4"/>
      <c r="M11" s="4"/>
      <c r="O11" s="11" t="s">
        <v>178</v>
      </c>
      <c r="P11" s="34"/>
      <c r="Q11" s="138">
        <f>IF(U58="N/A (N/A)", 0, VALUE(TRIM(CLEAN(MID(U58, FIND("(", U58)+1, 5)))))</f>
        <v>0</v>
      </c>
      <c r="W11" s="133">
        <v>42755</v>
      </c>
      <c r="X11" s="10">
        <v>42.23</v>
      </c>
      <c r="Y11" s="10">
        <v>42.61</v>
      </c>
      <c r="Z11" s="10">
        <v>41.65</v>
      </c>
      <c r="AA11" s="10">
        <v>42.46</v>
      </c>
      <c r="AB11" s="95">
        <v>2363100</v>
      </c>
      <c r="AC11" s="10">
        <v>42.46</v>
      </c>
      <c r="AD11" s="2">
        <f t="shared" si="0"/>
        <v>0.96000000000000085</v>
      </c>
      <c r="AE11" s="138">
        <f t="shared" si="1"/>
        <v>1.023078753271478E-2</v>
      </c>
    </row>
    <row r="12" spans="1:43" x14ac:dyDescent="0.25">
      <c r="B12" s="74"/>
      <c r="C12" s="4"/>
      <c r="D12" s="3"/>
      <c r="E12" s="3"/>
      <c r="F12" s="3"/>
      <c r="G12" s="74"/>
      <c r="H12" s="185"/>
      <c r="I12" s="3"/>
      <c r="J12" s="3"/>
      <c r="K12" s="3"/>
      <c r="L12" s="4"/>
      <c r="M12" s="4"/>
      <c r="W12" s="133">
        <v>42754</v>
      </c>
      <c r="X12" s="10">
        <v>43.15</v>
      </c>
      <c r="Y12" s="10">
        <v>43.47</v>
      </c>
      <c r="Z12" s="10">
        <v>42.02</v>
      </c>
      <c r="AA12" s="10">
        <v>42.03</v>
      </c>
      <c r="AB12" s="95">
        <v>1935200</v>
      </c>
      <c r="AC12" s="10">
        <v>42.03</v>
      </c>
      <c r="AD12" s="2">
        <f t="shared" si="0"/>
        <v>1.4499999999999957</v>
      </c>
      <c r="AE12" s="138">
        <f t="shared" si="1"/>
        <v>-2.7758501040943684E-2</v>
      </c>
    </row>
    <row r="13" spans="1:43" x14ac:dyDescent="0.25">
      <c r="B13" s="7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3">
        <v>42753</v>
      </c>
      <c r="X13" s="10">
        <v>43.85</v>
      </c>
      <c r="Y13" s="10">
        <v>43.85</v>
      </c>
      <c r="Z13" s="10">
        <v>42.31</v>
      </c>
      <c r="AA13" s="10">
        <v>43.23</v>
      </c>
      <c r="AB13" s="95">
        <v>2159000</v>
      </c>
      <c r="AC13" s="10">
        <v>43.23</v>
      </c>
      <c r="AD13" s="2">
        <f t="shared" si="0"/>
        <v>1.5399999999999991</v>
      </c>
      <c r="AE13" s="138">
        <f t="shared" si="1"/>
        <v>-7.5757575757576801E-3</v>
      </c>
    </row>
    <row r="14" spans="1:43" x14ac:dyDescent="0.25">
      <c r="B14" s="74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3">
        <v>42752</v>
      </c>
      <c r="X14" s="10">
        <v>42.33</v>
      </c>
      <c r="Y14" s="10">
        <v>44.25</v>
      </c>
      <c r="Z14" s="10">
        <v>42.26</v>
      </c>
      <c r="AA14" s="10">
        <v>43.56</v>
      </c>
      <c r="AB14" s="95">
        <v>2291800</v>
      </c>
      <c r="AC14" s="10">
        <v>43.56</v>
      </c>
      <c r="AD14" s="2">
        <f t="shared" si="0"/>
        <v>1.990000000000002</v>
      </c>
      <c r="AE14" s="138">
        <f t="shared" si="1"/>
        <v>2.7600849256900206E-2</v>
      </c>
    </row>
    <row r="15" spans="1:43" x14ac:dyDescent="0.25">
      <c r="W15" s="133">
        <v>42748</v>
      </c>
      <c r="X15" s="10">
        <v>42.69</v>
      </c>
      <c r="Y15" s="10">
        <v>43.18</v>
      </c>
      <c r="Z15" s="10">
        <v>42.29</v>
      </c>
      <c r="AA15" s="10">
        <v>42.39</v>
      </c>
      <c r="AB15" s="95">
        <v>1359100</v>
      </c>
      <c r="AC15" s="10">
        <v>42.39</v>
      </c>
      <c r="AD15" s="2">
        <f t="shared" si="0"/>
        <v>0.89000000000000057</v>
      </c>
      <c r="AE15" s="138">
        <f t="shared" si="1"/>
        <v>-6.096131301289498E-3</v>
      </c>
    </row>
    <row r="16" spans="1:43" x14ac:dyDescent="0.25">
      <c r="W16" s="133">
        <v>42747</v>
      </c>
      <c r="X16" s="10">
        <v>42.67</v>
      </c>
      <c r="Y16" s="10">
        <v>43.2</v>
      </c>
      <c r="Z16" s="10">
        <v>42.51</v>
      </c>
      <c r="AA16" s="10">
        <v>42.65</v>
      </c>
      <c r="AB16" s="95">
        <v>1332900</v>
      </c>
      <c r="AC16" s="10">
        <v>42.65</v>
      </c>
      <c r="AD16" s="2">
        <f t="shared" si="0"/>
        <v>0.69000000000000483</v>
      </c>
      <c r="AE16" s="138">
        <f t="shared" si="1"/>
        <v>-5.1317937951947945E-3</v>
      </c>
    </row>
    <row r="17" spans="1:31" x14ac:dyDescent="0.25">
      <c r="B17" s="1"/>
      <c r="C17" s="4"/>
      <c r="W17" s="133">
        <v>42746</v>
      </c>
      <c r="X17" s="10">
        <v>43.72</v>
      </c>
      <c r="Y17" s="10">
        <v>43.72</v>
      </c>
      <c r="Z17" s="10">
        <v>42.75</v>
      </c>
      <c r="AA17" s="10">
        <v>42.87</v>
      </c>
      <c r="AB17" s="95">
        <v>2081700</v>
      </c>
      <c r="AC17" s="10">
        <v>42.87</v>
      </c>
      <c r="AD17" s="2">
        <f t="shared" si="0"/>
        <v>0.96999999999999886</v>
      </c>
      <c r="AE17" s="138">
        <f t="shared" si="1"/>
        <v>-1.1756569847856224E-2</v>
      </c>
    </row>
    <row r="18" spans="1:31" x14ac:dyDescent="0.25">
      <c r="A18" s="36" t="s">
        <v>81</v>
      </c>
      <c r="B18" s="37"/>
      <c r="C18" s="37">
        <f>SUM(C2:C17)</f>
        <v>0</v>
      </c>
      <c r="D18" s="38"/>
      <c r="E18" s="38"/>
      <c r="F18" s="38">
        <f>SUM(F2:F14)</f>
        <v>0</v>
      </c>
      <c r="G18" s="38"/>
      <c r="H18" s="38">
        <f>SUM(H2:H14)</f>
        <v>0</v>
      </c>
      <c r="I18" s="38"/>
      <c r="J18" s="38"/>
      <c r="K18" s="38">
        <f>SUM(K2:K17)</f>
        <v>0</v>
      </c>
      <c r="L18" s="37"/>
      <c r="M18" s="37"/>
      <c r="W18" s="133">
        <v>42745</v>
      </c>
      <c r="X18" s="10">
        <v>42.04</v>
      </c>
      <c r="Y18" s="10">
        <v>43.88</v>
      </c>
      <c r="Z18" s="10">
        <v>42.04</v>
      </c>
      <c r="AA18" s="10">
        <v>43.38</v>
      </c>
      <c r="AB18" s="95">
        <v>2952300</v>
      </c>
      <c r="AC18" s="10">
        <v>43.38</v>
      </c>
      <c r="AD18" s="2">
        <f t="shared" si="0"/>
        <v>1.8400000000000034</v>
      </c>
      <c r="AE18" s="138">
        <f t="shared" si="1"/>
        <v>3.1874405328258915E-2</v>
      </c>
    </row>
    <row r="19" spans="1:31" x14ac:dyDescent="0.25">
      <c r="G19" s="2"/>
      <c r="W19" s="133">
        <v>42744</v>
      </c>
      <c r="X19" s="10">
        <v>42.44</v>
      </c>
      <c r="Y19" s="10">
        <v>42.56</v>
      </c>
      <c r="Z19" s="10">
        <v>41.85</v>
      </c>
      <c r="AA19" s="10">
        <v>42.04</v>
      </c>
      <c r="AB19" s="95">
        <v>2137700</v>
      </c>
      <c r="AC19" s="10">
        <v>42.04</v>
      </c>
      <c r="AD19" s="2">
        <f t="shared" si="0"/>
        <v>0.71000000000000085</v>
      </c>
      <c r="AE19" s="138">
        <f t="shared" si="1"/>
        <v>-1.0124793972215662E-2</v>
      </c>
    </row>
    <row r="20" spans="1:31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5" t="s">
        <v>65</v>
      </c>
      <c r="G20" s="229" t="s">
        <v>152</v>
      </c>
      <c r="H20" s="195" t="s">
        <v>88</v>
      </c>
      <c r="W20" s="133">
        <v>42741</v>
      </c>
      <c r="X20" s="10">
        <v>42.18</v>
      </c>
      <c r="Y20" s="10">
        <v>42.76</v>
      </c>
      <c r="Z20" s="10">
        <v>42.12</v>
      </c>
      <c r="AA20" s="10">
        <v>42.47</v>
      </c>
      <c r="AB20" s="95">
        <v>2562300</v>
      </c>
      <c r="AC20" s="10">
        <v>42.47</v>
      </c>
      <c r="AD20" s="2">
        <f t="shared" si="0"/>
        <v>0.64000000000000057</v>
      </c>
      <c r="AE20" s="138">
        <f t="shared" si="1"/>
        <v>8.7885985748217266E-3</v>
      </c>
    </row>
    <row r="21" spans="1:31" x14ac:dyDescent="0.25">
      <c r="B21" s="193">
        <v>42304</v>
      </c>
      <c r="C21" s="10">
        <v>240</v>
      </c>
      <c r="D21" s="40">
        <v>41.84</v>
      </c>
      <c r="E21" s="40">
        <v>38.68</v>
      </c>
      <c r="F21" s="40">
        <f>C21*(E21-D21)</f>
        <v>-758.40000000000089</v>
      </c>
      <c r="G21" s="40">
        <f>D21*C21</f>
        <v>10041.6</v>
      </c>
      <c r="H21" s="231">
        <f>(E21-D21)/D21</f>
        <v>-7.5525812619502947E-2</v>
      </c>
      <c r="W21" s="133">
        <v>42740</v>
      </c>
      <c r="X21" s="10">
        <v>42.65</v>
      </c>
      <c r="Y21" s="10">
        <v>42.71</v>
      </c>
      <c r="Z21" s="10">
        <v>40.81</v>
      </c>
      <c r="AA21" s="10">
        <v>42.1</v>
      </c>
      <c r="AB21" s="95">
        <v>3695900</v>
      </c>
      <c r="AC21" s="10">
        <v>42.1</v>
      </c>
      <c r="AD21" s="2">
        <f t="shared" si="0"/>
        <v>1.8999999999999986</v>
      </c>
      <c r="AE21" s="138">
        <f t="shared" si="1"/>
        <v>-3.2183908045976928E-2</v>
      </c>
    </row>
    <row r="22" spans="1:31" x14ac:dyDescent="0.25">
      <c r="B22" s="193">
        <v>42312</v>
      </c>
      <c r="C22" s="10">
        <v>200</v>
      </c>
      <c r="D22" s="40">
        <v>41.71</v>
      </c>
      <c r="E22" s="40">
        <v>42.57</v>
      </c>
      <c r="F22" s="40">
        <f t="shared" ref="F22:F31" si="2">C22*(E22-D22)</f>
        <v>171.99999999999989</v>
      </c>
      <c r="G22" s="40">
        <f t="shared" ref="G22:G32" si="3">D22*C22</f>
        <v>8342</v>
      </c>
      <c r="H22" s="231">
        <f t="shared" ref="H22:H31" si="4">(E22-D22)/D22</f>
        <v>2.0618556701030914E-2</v>
      </c>
      <c r="W22" s="133">
        <v>42739</v>
      </c>
      <c r="X22" s="10">
        <v>43.2</v>
      </c>
      <c r="Y22" s="10">
        <v>43.93</v>
      </c>
      <c r="Z22" s="10">
        <v>43.2</v>
      </c>
      <c r="AA22" s="10">
        <v>43.5</v>
      </c>
      <c r="AB22" s="95">
        <v>2141200</v>
      </c>
      <c r="AC22" s="10">
        <v>43.5</v>
      </c>
      <c r="AD22" s="2">
        <f t="shared" si="0"/>
        <v>0.72999999999999687</v>
      </c>
      <c r="AE22" s="138">
        <f t="shared" si="1"/>
        <v>9.7493036211699913E-3</v>
      </c>
    </row>
    <row r="23" spans="1:31" x14ac:dyDescent="0.25">
      <c r="B23" s="193">
        <v>42313</v>
      </c>
      <c r="C23" s="10">
        <v>160</v>
      </c>
      <c r="D23" s="40">
        <v>41.21</v>
      </c>
      <c r="E23" s="40">
        <v>43.49</v>
      </c>
      <c r="F23" s="40">
        <f t="shared" si="2"/>
        <v>364.80000000000018</v>
      </c>
      <c r="G23" s="40">
        <f t="shared" si="3"/>
        <v>6593.6</v>
      </c>
      <c r="H23" s="231">
        <f t="shared" si="4"/>
        <v>5.5326377092938632E-2</v>
      </c>
      <c r="W23" s="133">
        <v>42738</v>
      </c>
      <c r="X23" s="10">
        <v>42.78</v>
      </c>
      <c r="Y23" s="10">
        <v>43.45</v>
      </c>
      <c r="Z23" s="10">
        <v>42.1</v>
      </c>
      <c r="AA23" s="10">
        <v>43.08</v>
      </c>
      <c r="AB23" s="95">
        <v>1929500</v>
      </c>
      <c r="AC23" s="10">
        <v>43.08</v>
      </c>
      <c r="AD23" s="2">
        <f t="shared" si="0"/>
        <v>1.3500000000000014</v>
      </c>
      <c r="AE23" s="138">
        <f t="shared" si="1"/>
        <v>2.32666356444855E-3</v>
      </c>
    </row>
    <row r="24" spans="1:31" x14ac:dyDescent="0.25">
      <c r="B24" s="193">
        <v>42314</v>
      </c>
      <c r="C24" s="10">
        <v>150</v>
      </c>
      <c r="D24" s="40">
        <v>41.04</v>
      </c>
      <c r="E24" s="40">
        <v>43.48</v>
      </c>
      <c r="F24" s="40">
        <f t="shared" si="2"/>
        <v>365.99999999999966</v>
      </c>
      <c r="G24" s="40">
        <f t="shared" si="3"/>
        <v>6156</v>
      </c>
      <c r="H24" s="231">
        <f t="shared" si="4"/>
        <v>5.945419103313835E-2</v>
      </c>
      <c r="W24" s="133">
        <v>42734</v>
      </c>
      <c r="X24" s="10">
        <v>42.78</v>
      </c>
      <c r="Y24" s="10">
        <v>43.2</v>
      </c>
      <c r="Z24" s="10">
        <v>42.67</v>
      </c>
      <c r="AA24" s="10">
        <v>42.98</v>
      </c>
      <c r="AB24" s="95">
        <v>1454800</v>
      </c>
      <c r="AC24" s="10">
        <v>42.98</v>
      </c>
      <c r="AD24" s="2">
        <f t="shared" si="0"/>
        <v>0.53000000000000114</v>
      </c>
      <c r="AE24" s="138">
        <f t="shared" si="1"/>
        <v>3.2679738562089167E-3</v>
      </c>
    </row>
    <row r="25" spans="1:31" x14ac:dyDescent="0.25">
      <c r="B25" s="193">
        <v>42328</v>
      </c>
      <c r="C25" s="10">
        <v>100</v>
      </c>
      <c r="D25" s="40">
        <v>40.72</v>
      </c>
      <c r="E25" s="40">
        <v>41.67</v>
      </c>
      <c r="F25" s="40">
        <f t="shared" si="2"/>
        <v>95.000000000000284</v>
      </c>
      <c r="G25" s="40">
        <f t="shared" si="3"/>
        <v>4072</v>
      </c>
      <c r="H25" s="231">
        <f t="shared" si="4"/>
        <v>2.3330058939096336E-2</v>
      </c>
      <c r="W25" s="133">
        <v>42733</v>
      </c>
      <c r="X25" s="10">
        <v>43.08</v>
      </c>
      <c r="Y25" s="10">
        <v>43.38</v>
      </c>
      <c r="Z25" s="10">
        <v>42.45</v>
      </c>
      <c r="AA25" s="10">
        <v>42.84</v>
      </c>
      <c r="AB25" s="95">
        <v>1232600</v>
      </c>
      <c r="AC25" s="10">
        <v>42.84</v>
      </c>
      <c r="AD25" s="2">
        <f t="shared" si="0"/>
        <v>0.92999999999999972</v>
      </c>
      <c r="AE25" s="138">
        <f t="shared" si="1"/>
        <v>-6.9541029207231819E-3</v>
      </c>
    </row>
    <row r="26" spans="1:31" x14ac:dyDescent="0.25">
      <c r="B26" s="193">
        <v>42328</v>
      </c>
      <c r="C26" s="10">
        <v>150</v>
      </c>
      <c r="D26" s="40">
        <v>40.880000000000003</v>
      </c>
      <c r="E26" s="40">
        <v>41.18</v>
      </c>
      <c r="F26" s="40">
        <f t="shared" si="2"/>
        <v>44.999999999999574</v>
      </c>
      <c r="G26" s="40">
        <f t="shared" si="3"/>
        <v>6132</v>
      </c>
      <c r="H26" s="231">
        <f t="shared" si="4"/>
        <v>7.3385518590997345E-3</v>
      </c>
      <c r="W26" s="133">
        <v>42732</v>
      </c>
      <c r="X26" s="10">
        <v>43.06</v>
      </c>
      <c r="Y26" s="10">
        <v>43.33</v>
      </c>
      <c r="Z26" s="10">
        <v>41.95</v>
      </c>
      <c r="AA26" s="10">
        <v>43.14</v>
      </c>
      <c r="AB26" s="95">
        <v>2247500</v>
      </c>
      <c r="AC26" s="10">
        <v>43.14</v>
      </c>
      <c r="AD26" s="2">
        <f t="shared" si="0"/>
        <v>1.3799999999999955</v>
      </c>
      <c r="AE26" s="138">
        <f t="shared" si="1"/>
        <v>5.1258154706430581E-3</v>
      </c>
    </row>
    <row r="27" spans="1:31" x14ac:dyDescent="0.25">
      <c r="B27" s="193">
        <v>42331</v>
      </c>
      <c r="C27" s="10">
        <v>50</v>
      </c>
      <c r="D27" s="40">
        <v>38.39</v>
      </c>
      <c r="E27" s="40">
        <v>42.22</v>
      </c>
      <c r="F27" s="40">
        <f t="shared" si="2"/>
        <v>191.49999999999991</v>
      </c>
      <c r="G27" s="40">
        <f t="shared" si="3"/>
        <v>1919.5</v>
      </c>
      <c r="H27" s="231">
        <f t="shared" si="4"/>
        <v>9.9765563948944994E-2</v>
      </c>
      <c r="W27" s="133">
        <v>42731</v>
      </c>
      <c r="X27" s="10">
        <v>42.48</v>
      </c>
      <c r="Y27" s="10">
        <v>43.6</v>
      </c>
      <c r="Z27" s="10">
        <v>42.34</v>
      </c>
      <c r="AA27" s="10">
        <v>42.92</v>
      </c>
      <c r="AB27" s="95">
        <v>1204700</v>
      </c>
      <c r="AC27" s="10">
        <v>42.92</v>
      </c>
      <c r="AD27" s="2">
        <f t="shared" si="0"/>
        <v>1.259999999999998</v>
      </c>
      <c r="AE27" s="138">
        <f t="shared" si="1"/>
        <v>1.8674136321195078E-3</v>
      </c>
    </row>
    <row r="28" spans="1:31" x14ac:dyDescent="0.25">
      <c r="B28" s="193">
        <v>42349</v>
      </c>
      <c r="C28" s="10">
        <v>50</v>
      </c>
      <c r="D28" s="40">
        <v>38.39</v>
      </c>
      <c r="E28" s="40">
        <v>40.39</v>
      </c>
      <c r="F28" s="40">
        <f t="shared" si="2"/>
        <v>100</v>
      </c>
      <c r="G28" s="40">
        <f t="shared" si="3"/>
        <v>1919.5</v>
      </c>
      <c r="H28" s="231">
        <f t="shared" si="4"/>
        <v>5.2096900234436049E-2</v>
      </c>
      <c r="W28" s="133">
        <v>42727</v>
      </c>
      <c r="X28" s="10">
        <v>42.81</v>
      </c>
      <c r="Y28" s="10">
        <v>43.56</v>
      </c>
      <c r="Z28" s="10">
        <v>42.59</v>
      </c>
      <c r="AA28" s="10">
        <v>42.84</v>
      </c>
      <c r="AB28" s="95">
        <v>1407700</v>
      </c>
      <c r="AC28" s="10">
        <v>42.84</v>
      </c>
      <c r="AD28" s="2">
        <f t="shared" si="0"/>
        <v>0.96999999999999886</v>
      </c>
      <c r="AE28" s="138">
        <f t="shared" si="1"/>
        <v>2.1052631578948322E-3</v>
      </c>
    </row>
    <row r="29" spans="1:31" x14ac:dyDescent="0.25">
      <c r="B29" s="193">
        <v>42377</v>
      </c>
      <c r="C29" s="10">
        <v>100</v>
      </c>
      <c r="D29" s="40">
        <v>38.119999999999997</v>
      </c>
      <c r="E29" s="40">
        <v>37.79</v>
      </c>
      <c r="F29" s="40">
        <f t="shared" si="2"/>
        <v>-32.999999999999829</v>
      </c>
      <c r="G29" s="40">
        <f t="shared" si="3"/>
        <v>3811.9999999999995</v>
      </c>
      <c r="H29" s="231">
        <f t="shared" si="4"/>
        <v>-8.6568730325288119E-3</v>
      </c>
      <c r="W29" s="133">
        <v>42726</v>
      </c>
      <c r="X29" s="10">
        <v>44.02</v>
      </c>
      <c r="Y29" s="10">
        <v>44.25</v>
      </c>
      <c r="Z29" s="10">
        <v>42.64</v>
      </c>
      <c r="AA29" s="10">
        <v>42.75</v>
      </c>
      <c r="AB29" s="95">
        <v>3058600</v>
      </c>
      <c r="AC29" s="10">
        <v>42.75</v>
      </c>
      <c r="AD29" s="2">
        <f t="shared" si="0"/>
        <v>1.6099999999999994</v>
      </c>
      <c r="AE29" s="138">
        <f t="shared" si="1"/>
        <v>-3.3024202669079461E-2</v>
      </c>
    </row>
    <row r="30" spans="1:31" x14ac:dyDescent="0.25">
      <c r="B30" s="193">
        <v>42398</v>
      </c>
      <c r="C30" s="10">
        <v>50</v>
      </c>
      <c r="D30" s="40">
        <v>36.590000000000003</v>
      </c>
      <c r="E30" s="40">
        <v>39.22</v>
      </c>
      <c r="F30" s="40">
        <f t="shared" si="2"/>
        <v>131.49999999999977</v>
      </c>
      <c r="G30" s="40">
        <f t="shared" si="3"/>
        <v>1829.5000000000002</v>
      </c>
      <c r="H30" s="231">
        <f t="shared" si="4"/>
        <v>7.187756217545764E-2</v>
      </c>
      <c r="W30" s="133">
        <v>42725</v>
      </c>
      <c r="X30" s="10">
        <v>44.37</v>
      </c>
      <c r="Y30" s="10">
        <v>44.4</v>
      </c>
      <c r="Z30" s="10">
        <v>43.55</v>
      </c>
      <c r="AA30" s="10">
        <v>44.21</v>
      </c>
      <c r="AB30" s="95">
        <v>1932200</v>
      </c>
      <c r="AC30" s="10">
        <v>44.21</v>
      </c>
      <c r="AD30" s="2">
        <f t="shared" si="0"/>
        <v>0.85000000000000142</v>
      </c>
      <c r="AE30" s="138">
        <f t="shared" si="1"/>
        <v>-1.1296882060550795E-3</v>
      </c>
    </row>
    <row r="31" spans="1:31" x14ac:dyDescent="0.25">
      <c r="B31" s="193">
        <v>42403</v>
      </c>
      <c r="C31" s="10">
        <v>50</v>
      </c>
      <c r="D31" s="40">
        <v>36.590000000000003</v>
      </c>
      <c r="E31" s="40">
        <v>51.72</v>
      </c>
      <c r="F31" s="40">
        <f t="shared" si="2"/>
        <v>756.49999999999977</v>
      </c>
      <c r="G31" s="40">
        <f t="shared" si="3"/>
        <v>1829.5000000000002</v>
      </c>
      <c r="H31" s="232">
        <f t="shared" si="4"/>
        <v>0.41350095654550406</v>
      </c>
      <c r="W31" s="133">
        <v>42724</v>
      </c>
      <c r="X31" s="10">
        <v>44.94</v>
      </c>
      <c r="Y31" s="10">
        <v>45</v>
      </c>
      <c r="Z31" s="10">
        <v>43.87</v>
      </c>
      <c r="AA31" s="10">
        <v>44.26</v>
      </c>
      <c r="AB31" s="95">
        <v>2391300</v>
      </c>
      <c r="AC31" s="10">
        <v>44.26</v>
      </c>
      <c r="AD31" s="2">
        <f t="shared" si="0"/>
        <v>1.1300000000000026</v>
      </c>
      <c r="AE31" s="138">
        <f t="shared" si="1"/>
        <v>-1.3154960981047958E-2</v>
      </c>
    </row>
    <row r="32" spans="1:31" x14ac:dyDescent="0.25">
      <c r="B32" s="193">
        <v>42408</v>
      </c>
      <c r="C32" s="10">
        <v>50</v>
      </c>
      <c r="D32" s="40">
        <v>0</v>
      </c>
      <c r="E32" s="40">
        <v>0</v>
      </c>
      <c r="F32" s="40">
        <v>745.44</v>
      </c>
      <c r="G32" s="40">
        <f t="shared" si="3"/>
        <v>0</v>
      </c>
      <c r="H32" s="232"/>
      <c r="W32" s="133">
        <v>42723</v>
      </c>
      <c r="X32" s="10">
        <v>45.22</v>
      </c>
      <c r="Y32" s="10">
        <v>45.83</v>
      </c>
      <c r="Z32" s="10">
        <v>44.64</v>
      </c>
      <c r="AA32" s="10">
        <v>44.85</v>
      </c>
      <c r="AB32" s="95">
        <v>2028900</v>
      </c>
      <c r="AC32" s="10">
        <v>44.85</v>
      </c>
      <c r="AD32" s="2">
        <f t="shared" si="0"/>
        <v>1.1899999999999977</v>
      </c>
      <c r="AE32" s="138">
        <f t="shared" si="1"/>
        <v>-7.9628400796284415E-3</v>
      </c>
    </row>
    <row r="33" spans="1:31" x14ac:dyDescent="0.25">
      <c r="B33" s="10"/>
      <c r="C33" s="10"/>
      <c r="D33" s="40"/>
      <c r="E33" s="40"/>
      <c r="F33" s="40"/>
      <c r="G33" s="40"/>
      <c r="H33" s="232"/>
      <c r="W33" s="133">
        <v>42720</v>
      </c>
      <c r="X33" s="10">
        <v>46.13</v>
      </c>
      <c r="Y33" s="10">
        <v>46.43</v>
      </c>
      <c r="Z33" s="10">
        <v>45.04</v>
      </c>
      <c r="AA33" s="10">
        <v>45.21</v>
      </c>
      <c r="AB33" s="95">
        <v>3697500</v>
      </c>
      <c r="AC33" s="10">
        <v>45.21</v>
      </c>
      <c r="AD33" s="2">
        <f t="shared" si="0"/>
        <v>1.3900000000000006</v>
      </c>
      <c r="AE33" s="138">
        <f t="shared" si="1"/>
        <v>-1.7387524451206171E-2</v>
      </c>
    </row>
    <row r="34" spans="1:31" x14ac:dyDescent="0.25">
      <c r="W34" s="133">
        <v>42719</v>
      </c>
      <c r="X34" s="10">
        <v>47.3</v>
      </c>
      <c r="Y34" s="10">
        <v>47.36</v>
      </c>
      <c r="Z34" s="10">
        <v>45.51</v>
      </c>
      <c r="AA34" s="10">
        <v>46.01</v>
      </c>
      <c r="AB34" s="95">
        <v>2902300</v>
      </c>
      <c r="AC34" s="10">
        <v>46.01</v>
      </c>
      <c r="AD34" s="2">
        <f t="shared" si="0"/>
        <v>1.8500000000000014</v>
      </c>
      <c r="AE34" s="138">
        <f t="shared" si="1"/>
        <v>-2.7272727272727226E-2</v>
      </c>
    </row>
    <row r="35" spans="1:31" x14ac:dyDescent="0.25">
      <c r="L35" t="s">
        <v>213</v>
      </c>
      <c r="M35" s="2">
        <f>M51+K51-F51</f>
        <v>745.43999999999505</v>
      </c>
      <c r="W35" s="133">
        <v>42718</v>
      </c>
      <c r="X35" s="10">
        <v>47.85</v>
      </c>
      <c r="Y35" s="10">
        <v>48.95</v>
      </c>
      <c r="Z35" s="10">
        <v>47.21</v>
      </c>
      <c r="AA35" s="10">
        <v>47.3</v>
      </c>
      <c r="AB35" s="95">
        <v>1753200</v>
      </c>
      <c r="AC35" s="10">
        <v>47.3</v>
      </c>
      <c r="AD35" s="2">
        <f t="shared" si="0"/>
        <v>1.740000000000002</v>
      </c>
      <c r="AE35" s="138">
        <f t="shared" si="1"/>
        <v>-1.211361737677541E-2</v>
      </c>
    </row>
    <row r="36" spans="1:31" x14ac:dyDescent="0.25">
      <c r="A36" s="387" t="s">
        <v>1</v>
      </c>
      <c r="B36" s="387" t="s">
        <v>2</v>
      </c>
      <c r="C36" s="387" t="s">
        <v>4</v>
      </c>
      <c r="D36" s="389" t="s">
        <v>5</v>
      </c>
      <c r="E36" s="389" t="s">
        <v>94</v>
      </c>
      <c r="F36" s="389" t="s">
        <v>60</v>
      </c>
      <c r="G36" s="387" t="s">
        <v>3</v>
      </c>
      <c r="H36" s="387" t="s">
        <v>6</v>
      </c>
      <c r="I36" s="389" t="s">
        <v>7</v>
      </c>
      <c r="J36" s="389" t="s">
        <v>95</v>
      </c>
      <c r="K36" s="389" t="s">
        <v>61</v>
      </c>
      <c r="L36" s="387" t="s">
        <v>77</v>
      </c>
      <c r="M36" s="387" t="s">
        <v>38</v>
      </c>
      <c r="W36" s="133">
        <v>42717</v>
      </c>
      <c r="X36" s="10">
        <v>47.93</v>
      </c>
      <c r="Y36" s="10">
        <v>48.44</v>
      </c>
      <c r="Z36" s="10">
        <v>47.55</v>
      </c>
      <c r="AA36" s="10">
        <v>47.88</v>
      </c>
      <c r="AB36" s="95">
        <v>1664200</v>
      </c>
      <c r="AC36" s="10">
        <v>47.88</v>
      </c>
      <c r="AD36" s="2">
        <f t="shared" si="0"/>
        <v>0.89000000000000057</v>
      </c>
      <c r="AE36" s="138">
        <f t="shared" si="1"/>
        <v>2.0889910173393922E-4</v>
      </c>
    </row>
    <row r="37" spans="1:31" x14ac:dyDescent="0.25">
      <c r="A37" s="390" t="s">
        <v>24</v>
      </c>
      <c r="B37" s="380">
        <v>42156</v>
      </c>
      <c r="C37" s="381">
        <v>5</v>
      </c>
      <c r="D37" s="382">
        <v>48.55</v>
      </c>
      <c r="E37" s="382">
        <v>0</v>
      </c>
      <c r="F37" s="382">
        <f>C37*D37</f>
        <v>242.75</v>
      </c>
      <c r="G37" s="380">
        <v>42186</v>
      </c>
      <c r="H37" s="381">
        <v>100</v>
      </c>
      <c r="I37" s="382">
        <v>44.99</v>
      </c>
      <c r="J37" s="382">
        <v>0.08</v>
      </c>
      <c r="K37" s="382">
        <f>H37*I37-J37</f>
        <v>4498.92</v>
      </c>
      <c r="L37" s="381" t="s">
        <v>80</v>
      </c>
      <c r="M37" s="381"/>
      <c r="W37" s="133">
        <v>42716</v>
      </c>
      <c r="X37" s="10">
        <v>49.17</v>
      </c>
      <c r="Y37" s="10">
        <v>49.25</v>
      </c>
      <c r="Z37" s="10">
        <v>47.49</v>
      </c>
      <c r="AA37" s="10">
        <v>47.87</v>
      </c>
      <c r="AB37" s="95">
        <v>2493500</v>
      </c>
      <c r="AC37" s="10">
        <v>47.87</v>
      </c>
      <c r="AD37" s="2">
        <f t="shared" si="0"/>
        <v>1.759999999999998</v>
      </c>
      <c r="AE37" s="138">
        <f t="shared" si="1"/>
        <v>-3.0186385737439259E-2</v>
      </c>
    </row>
    <row r="38" spans="1:31" x14ac:dyDescent="0.25">
      <c r="A38" s="391" t="s">
        <v>71</v>
      </c>
      <c r="B38" s="380">
        <v>42156</v>
      </c>
      <c r="C38" s="381">
        <v>5</v>
      </c>
      <c r="D38" s="382">
        <v>47.01</v>
      </c>
      <c r="E38" s="382">
        <v>0</v>
      </c>
      <c r="F38" s="382">
        <f t="shared" ref="F38:F49" si="5">C38*D38</f>
        <v>235.04999999999998</v>
      </c>
      <c r="G38" s="380">
        <v>42227</v>
      </c>
      <c r="H38" s="381">
        <v>100</v>
      </c>
      <c r="I38" s="382">
        <v>43</v>
      </c>
      <c r="J38" s="382">
        <v>0.08</v>
      </c>
      <c r="K38" s="382">
        <f>H38*I38-J38</f>
        <v>4299.92</v>
      </c>
      <c r="L38" s="381"/>
      <c r="M38" s="381"/>
      <c r="W38" s="133">
        <v>42713</v>
      </c>
      <c r="X38" s="10">
        <v>50.8</v>
      </c>
      <c r="Y38" s="10">
        <v>51.42</v>
      </c>
      <c r="Z38" s="10">
        <v>49.19</v>
      </c>
      <c r="AA38" s="10">
        <v>49.36</v>
      </c>
      <c r="AB38" s="95">
        <v>1868800</v>
      </c>
      <c r="AC38" s="10">
        <v>49.36</v>
      </c>
      <c r="AD38" s="2">
        <f t="shared" si="0"/>
        <v>2.230000000000004</v>
      </c>
      <c r="AE38" s="138">
        <f t="shared" si="1"/>
        <v>-2.4698676150958332E-2</v>
      </c>
    </row>
    <row r="39" spans="1:31" x14ac:dyDescent="0.25">
      <c r="A39" s="381"/>
      <c r="B39" s="380">
        <v>42156</v>
      </c>
      <c r="C39" s="381">
        <v>10</v>
      </c>
      <c r="D39" s="382">
        <v>46.5</v>
      </c>
      <c r="E39" s="382">
        <v>0</v>
      </c>
      <c r="F39" s="382">
        <f t="shared" si="5"/>
        <v>465</v>
      </c>
      <c r="G39" s="380">
        <v>42312</v>
      </c>
      <c r="H39" s="385">
        <v>40</v>
      </c>
      <c r="I39" s="382">
        <v>42.5</v>
      </c>
      <c r="J39" s="382">
        <v>0.03</v>
      </c>
      <c r="K39" s="382">
        <f>H39*I39-J39</f>
        <v>1699.97</v>
      </c>
      <c r="L39" s="381"/>
      <c r="M39" s="381"/>
      <c r="W39" s="133">
        <v>42712</v>
      </c>
      <c r="X39" s="10">
        <v>49.11</v>
      </c>
      <c r="Y39" s="10">
        <v>51.06</v>
      </c>
      <c r="Z39" s="10">
        <v>48.99</v>
      </c>
      <c r="AA39" s="10">
        <v>50.61</v>
      </c>
      <c r="AB39" s="95">
        <v>3628700</v>
      </c>
      <c r="AC39" s="10">
        <v>50.61</v>
      </c>
      <c r="AD39" s="2">
        <f t="shared" si="0"/>
        <v>2.0700000000000003</v>
      </c>
      <c r="AE39" s="138">
        <f t="shared" si="1"/>
        <v>3.4757718258024983E-2</v>
      </c>
    </row>
    <row r="40" spans="1:31" x14ac:dyDescent="0.25">
      <c r="A40" s="381"/>
      <c r="B40" s="380">
        <v>42156</v>
      </c>
      <c r="C40" s="381">
        <v>50</v>
      </c>
      <c r="D40" s="382">
        <v>45.95</v>
      </c>
      <c r="E40" s="382">
        <v>0</v>
      </c>
      <c r="F40" s="382">
        <f t="shared" si="5"/>
        <v>2297.5</v>
      </c>
      <c r="G40" s="380">
        <v>42318</v>
      </c>
      <c r="H40" s="385">
        <v>14</v>
      </c>
      <c r="I40" s="382">
        <v>43.5</v>
      </c>
      <c r="J40" s="382">
        <v>0.01</v>
      </c>
      <c r="K40" s="382">
        <f t="shared" ref="K40:K47" si="6">H40*I40-J40</f>
        <v>608.99</v>
      </c>
      <c r="L40" s="381"/>
      <c r="M40" s="381"/>
      <c r="W40" s="133">
        <v>42711</v>
      </c>
      <c r="X40" s="10">
        <v>48.06</v>
      </c>
      <c r="Y40" s="10">
        <v>48.94</v>
      </c>
      <c r="Z40" s="10">
        <v>47.84</v>
      </c>
      <c r="AA40" s="10">
        <v>48.91</v>
      </c>
      <c r="AB40" s="95">
        <v>2036900</v>
      </c>
      <c r="AC40" s="10">
        <v>48.91</v>
      </c>
      <c r="AD40" s="2">
        <f t="shared" si="0"/>
        <v>1.0999999999999943</v>
      </c>
      <c r="AE40" s="138">
        <f t="shared" si="1"/>
        <v>1.1163944593756359E-2</v>
      </c>
    </row>
    <row r="41" spans="1:31" x14ac:dyDescent="0.25">
      <c r="A41" s="381"/>
      <c r="B41" s="380">
        <v>42156</v>
      </c>
      <c r="C41" s="381">
        <v>30</v>
      </c>
      <c r="D41" s="382">
        <v>45.95</v>
      </c>
      <c r="E41" s="382">
        <v>0</v>
      </c>
      <c r="F41" s="382">
        <f t="shared" si="5"/>
        <v>1378.5</v>
      </c>
      <c r="G41" s="380">
        <v>42318</v>
      </c>
      <c r="H41" s="385">
        <v>26</v>
      </c>
      <c r="I41" s="382">
        <v>43.78</v>
      </c>
      <c r="J41" s="382">
        <v>0.02</v>
      </c>
      <c r="K41" s="382">
        <f t="shared" si="6"/>
        <v>1138.26</v>
      </c>
      <c r="L41" s="381"/>
      <c r="M41" s="381"/>
      <c r="W41" s="133">
        <v>42710</v>
      </c>
      <c r="X41" s="10">
        <v>48.3</v>
      </c>
      <c r="Y41" s="10">
        <v>48.53</v>
      </c>
      <c r="Z41" s="10">
        <v>47.91</v>
      </c>
      <c r="AA41" s="10">
        <v>48.37</v>
      </c>
      <c r="AB41" s="95">
        <v>1975800</v>
      </c>
      <c r="AC41" s="10">
        <v>48.37</v>
      </c>
      <c r="AD41" s="2">
        <f t="shared" si="0"/>
        <v>0.62000000000000455</v>
      </c>
      <c r="AE41" s="138">
        <f t="shared" si="1"/>
        <v>-2.06313183412421E-3</v>
      </c>
    </row>
    <row r="42" spans="1:31" ht="20.25" thickBot="1" x14ac:dyDescent="0.35">
      <c r="A42" s="381"/>
      <c r="B42" s="380">
        <v>42186</v>
      </c>
      <c r="C42" s="381">
        <v>100</v>
      </c>
      <c r="D42" s="382">
        <v>44.9</v>
      </c>
      <c r="E42" s="382">
        <v>0</v>
      </c>
      <c r="F42" s="382">
        <f t="shared" si="5"/>
        <v>4490</v>
      </c>
      <c r="G42" s="380">
        <v>42320</v>
      </c>
      <c r="H42" s="385">
        <v>10</v>
      </c>
      <c r="I42" s="382">
        <v>43.9</v>
      </c>
      <c r="J42" s="382">
        <v>0.01</v>
      </c>
      <c r="K42" s="382">
        <f t="shared" si="6"/>
        <v>438.99</v>
      </c>
      <c r="L42" s="381"/>
      <c r="M42" s="381"/>
      <c r="O42" s="160" t="s">
        <v>78</v>
      </c>
      <c r="P42" s="160"/>
      <c r="T42" s="91" t="s">
        <v>113</v>
      </c>
      <c r="W42" s="133">
        <v>42709</v>
      </c>
      <c r="X42" s="10">
        <v>46.55</v>
      </c>
      <c r="Y42" s="10">
        <v>48.5</v>
      </c>
      <c r="Z42" s="10">
        <v>46.31</v>
      </c>
      <c r="AA42" s="10">
        <v>48.47</v>
      </c>
      <c r="AB42" s="95">
        <v>3010800</v>
      </c>
      <c r="AC42" s="10">
        <v>48.47</v>
      </c>
      <c r="AD42" s="2">
        <f t="shared" si="0"/>
        <v>2.1899999999999977</v>
      </c>
      <c r="AE42" s="138">
        <f t="shared" si="1"/>
        <v>4.9134199134199141E-2</v>
      </c>
    </row>
    <row r="43" spans="1:31" ht="15.75" thickTop="1" x14ac:dyDescent="0.25">
      <c r="A43" s="381"/>
      <c r="B43" s="380">
        <v>42206</v>
      </c>
      <c r="C43" s="381">
        <v>20</v>
      </c>
      <c r="D43" s="382">
        <v>41.2</v>
      </c>
      <c r="E43" s="382">
        <v>0</v>
      </c>
      <c r="F43" s="382">
        <f t="shared" si="5"/>
        <v>824</v>
      </c>
      <c r="G43" s="380">
        <v>42333</v>
      </c>
      <c r="H43" s="385">
        <v>50</v>
      </c>
      <c r="I43" s="382">
        <v>41.67</v>
      </c>
      <c r="J43" s="382">
        <v>0.04</v>
      </c>
      <c r="K43" s="382">
        <f t="shared" si="6"/>
        <v>2083.46</v>
      </c>
      <c r="L43" s="381"/>
      <c r="M43" s="381"/>
      <c r="O43" s="83">
        <v>1.1000000000000001</v>
      </c>
      <c r="P43" s="83">
        <f>O43*$Q$4</f>
        <v>45.122000000000007</v>
      </c>
      <c r="T43" s="128" t="s">
        <v>98</v>
      </c>
      <c r="U43" s="98">
        <v>41.34</v>
      </c>
      <c r="W43" s="133">
        <v>42706</v>
      </c>
      <c r="X43" s="10">
        <v>46.32</v>
      </c>
      <c r="Y43" s="10">
        <v>46.53</v>
      </c>
      <c r="Z43" s="10">
        <v>46.03</v>
      </c>
      <c r="AA43" s="10">
        <v>46.2</v>
      </c>
      <c r="AB43" s="95">
        <v>1951200</v>
      </c>
      <c r="AC43" s="10">
        <v>46.2</v>
      </c>
      <c r="AD43" s="2">
        <f t="shared" si="0"/>
        <v>0.5</v>
      </c>
      <c r="AE43" s="138">
        <f t="shared" si="1"/>
        <v>-6.4892926670978568E-4</v>
      </c>
    </row>
    <row r="44" spans="1:31" x14ac:dyDescent="0.25">
      <c r="A44" s="381"/>
      <c r="B44" s="380">
        <v>42207</v>
      </c>
      <c r="C44" s="381">
        <v>20</v>
      </c>
      <c r="D44" s="382">
        <v>40.68</v>
      </c>
      <c r="E44" s="382">
        <v>0</v>
      </c>
      <c r="F44" s="382">
        <f t="shared" si="5"/>
        <v>813.6</v>
      </c>
      <c r="G44" s="380">
        <v>42335</v>
      </c>
      <c r="H44" s="385">
        <v>50</v>
      </c>
      <c r="I44" s="382">
        <v>41.85</v>
      </c>
      <c r="J44" s="382">
        <v>0.04</v>
      </c>
      <c r="K44" s="382">
        <f t="shared" si="6"/>
        <v>2092.46</v>
      </c>
      <c r="L44" s="381"/>
      <c r="M44" s="381"/>
      <c r="O44" s="83">
        <v>1.0900000000000001</v>
      </c>
      <c r="P44" s="83">
        <f t="shared" ref="P44:P63" si="7">O44*$Q$4</f>
        <v>44.711800000000004</v>
      </c>
      <c r="T44" s="93" t="s">
        <v>99</v>
      </c>
      <c r="U44" s="88">
        <v>41.12</v>
      </c>
      <c r="W44" s="133">
        <v>42705</v>
      </c>
      <c r="X44" s="10">
        <v>46.5</v>
      </c>
      <c r="Y44" s="10">
        <v>47.2</v>
      </c>
      <c r="Z44" s="10">
        <v>45.8</v>
      </c>
      <c r="AA44" s="10">
        <v>46.23</v>
      </c>
      <c r="AB44" s="95">
        <v>2461500</v>
      </c>
      <c r="AC44" s="10">
        <v>46.23</v>
      </c>
      <c r="AD44" s="2">
        <f t="shared" si="0"/>
        <v>1.4000000000000057</v>
      </c>
      <c r="AE44" s="138">
        <f t="shared" si="1"/>
        <v>-5.5926005592601413E-3</v>
      </c>
    </row>
    <row r="45" spans="1:31" x14ac:dyDescent="0.25">
      <c r="A45" s="381"/>
      <c r="B45" s="380">
        <v>42292</v>
      </c>
      <c r="C45" s="381">
        <v>40</v>
      </c>
      <c r="D45" s="382">
        <v>41.65</v>
      </c>
      <c r="E45" s="382">
        <v>0</v>
      </c>
      <c r="F45" s="382">
        <f t="shared" si="5"/>
        <v>1666</v>
      </c>
      <c r="G45" s="380">
        <v>42335</v>
      </c>
      <c r="H45" s="385">
        <v>50</v>
      </c>
      <c r="I45" s="382">
        <v>42.4</v>
      </c>
      <c r="J45" s="382">
        <v>0.04</v>
      </c>
      <c r="K45" s="382">
        <f t="shared" si="6"/>
        <v>2119.96</v>
      </c>
      <c r="L45" s="381"/>
      <c r="M45" s="381"/>
      <c r="O45" s="83">
        <v>1.08</v>
      </c>
      <c r="P45" s="83">
        <f t="shared" si="7"/>
        <v>44.301600000000008</v>
      </c>
      <c r="R45" s="34"/>
      <c r="T45" s="93" t="s">
        <v>100</v>
      </c>
      <c r="U45" s="88" t="s">
        <v>129</v>
      </c>
      <c r="W45" s="133">
        <v>42704</v>
      </c>
      <c r="X45" s="10">
        <v>47.56</v>
      </c>
      <c r="Y45" s="10">
        <v>47.74</v>
      </c>
      <c r="Z45" s="10">
        <v>46.4</v>
      </c>
      <c r="AA45" s="10">
        <v>46.49</v>
      </c>
      <c r="AB45" s="95">
        <v>3004400</v>
      </c>
      <c r="AC45" s="10">
        <v>46.49</v>
      </c>
      <c r="AD45" s="2">
        <f t="shared" si="0"/>
        <v>1.3400000000000034</v>
      </c>
      <c r="AE45" s="138">
        <f t="shared" si="1"/>
        <v>-2.557115908614549E-2</v>
      </c>
    </row>
    <row r="46" spans="1:31" x14ac:dyDescent="0.25">
      <c r="A46" s="381"/>
      <c r="B46" s="380">
        <v>42298</v>
      </c>
      <c r="C46" s="381">
        <v>80</v>
      </c>
      <c r="D46" s="382">
        <v>40.450000000000003</v>
      </c>
      <c r="E46" s="382">
        <v>0</v>
      </c>
      <c r="F46" s="382">
        <f t="shared" si="5"/>
        <v>3236</v>
      </c>
      <c r="G46" s="380">
        <v>42398</v>
      </c>
      <c r="H46" s="385">
        <v>50</v>
      </c>
      <c r="I46" s="382">
        <v>39.65</v>
      </c>
      <c r="J46" s="382">
        <v>0.04</v>
      </c>
      <c r="K46" s="382">
        <f t="shared" si="6"/>
        <v>1982.46</v>
      </c>
      <c r="L46" s="381"/>
      <c r="M46" s="381"/>
      <c r="O46" s="83">
        <v>1.07</v>
      </c>
      <c r="P46" s="83">
        <f t="shared" si="7"/>
        <v>43.891400000000004</v>
      </c>
      <c r="Q46" s="34"/>
      <c r="R46" s="34"/>
      <c r="T46" s="93" t="s">
        <v>101</v>
      </c>
      <c r="U46" s="88" t="s">
        <v>129</v>
      </c>
      <c r="W46" s="133">
        <v>42703</v>
      </c>
      <c r="X46" s="10">
        <v>48.29</v>
      </c>
      <c r="Y46" s="10">
        <v>48.66</v>
      </c>
      <c r="Z46" s="10">
        <v>47.67</v>
      </c>
      <c r="AA46" s="10">
        <v>47.71</v>
      </c>
      <c r="AB46" s="95">
        <v>1575500</v>
      </c>
      <c r="AC46" s="10">
        <v>47.71</v>
      </c>
      <c r="AD46" s="2">
        <f t="shared" si="0"/>
        <v>0.98999999999999488</v>
      </c>
      <c r="AE46" s="138">
        <f t="shared" si="1"/>
        <v>-6.662502602540088E-3</v>
      </c>
    </row>
    <row r="47" spans="1:31" x14ac:dyDescent="0.25">
      <c r="A47" s="381"/>
      <c r="B47" s="380">
        <v>42298</v>
      </c>
      <c r="C47" s="381">
        <v>80</v>
      </c>
      <c r="D47" s="382">
        <v>39.9</v>
      </c>
      <c r="E47" s="382">
        <v>0</v>
      </c>
      <c r="F47" s="382">
        <f t="shared" si="5"/>
        <v>3192</v>
      </c>
      <c r="G47" s="380">
        <v>42408</v>
      </c>
      <c r="H47" s="385">
        <v>50</v>
      </c>
      <c r="I47" s="382">
        <v>51.5</v>
      </c>
      <c r="J47" s="382">
        <v>0.05</v>
      </c>
      <c r="K47" s="382">
        <f t="shared" si="6"/>
        <v>2574.9499999999998</v>
      </c>
      <c r="L47" s="381"/>
      <c r="M47" s="381"/>
      <c r="O47" s="83">
        <v>1.06</v>
      </c>
      <c r="P47" s="83">
        <f t="shared" si="7"/>
        <v>43.481200000000008</v>
      </c>
      <c r="Q47" s="34"/>
      <c r="R47" s="34"/>
      <c r="T47" s="93" t="s">
        <v>102</v>
      </c>
      <c r="U47" s="88">
        <v>50.96</v>
      </c>
      <c r="W47" s="133">
        <v>42702</v>
      </c>
      <c r="X47" s="10">
        <v>48.72</v>
      </c>
      <c r="Y47" s="10">
        <v>48.75</v>
      </c>
      <c r="Z47" s="10">
        <v>47.57</v>
      </c>
      <c r="AA47" s="10">
        <v>48.03</v>
      </c>
      <c r="AB47" s="95">
        <v>1977100</v>
      </c>
      <c r="AC47" s="10">
        <v>48.03</v>
      </c>
      <c r="AD47" s="2">
        <f t="shared" si="0"/>
        <v>1.1799999999999997</v>
      </c>
      <c r="AE47" s="138">
        <f t="shared" si="1"/>
        <v>-1.7992230627683403E-2</v>
      </c>
    </row>
    <row r="48" spans="1:31" x14ac:dyDescent="0.25">
      <c r="A48" s="381"/>
      <c r="B48" s="380">
        <v>42333</v>
      </c>
      <c r="C48" s="381">
        <v>50</v>
      </c>
      <c r="D48" s="382">
        <v>41.2</v>
      </c>
      <c r="E48" s="382">
        <v>0</v>
      </c>
      <c r="F48" s="382">
        <f t="shared" si="5"/>
        <v>2060</v>
      </c>
      <c r="G48" s="381"/>
      <c r="H48" s="381"/>
      <c r="I48" s="382"/>
      <c r="J48" s="382"/>
      <c r="K48" s="382"/>
      <c r="L48" s="381"/>
      <c r="M48" s="381"/>
      <c r="O48" s="83">
        <v>1.05</v>
      </c>
      <c r="P48" s="83">
        <f t="shared" si="7"/>
        <v>43.071000000000005</v>
      </c>
      <c r="Q48" s="34"/>
      <c r="R48" s="34"/>
      <c r="T48" s="93" t="s">
        <v>103</v>
      </c>
      <c r="U48" s="88">
        <v>-3.0120999999999998E-2</v>
      </c>
      <c r="W48" s="133">
        <v>42699</v>
      </c>
      <c r="X48" s="10">
        <v>48.93</v>
      </c>
      <c r="Y48" s="10">
        <v>49.94</v>
      </c>
      <c r="Z48" s="10">
        <v>48.68</v>
      </c>
      <c r="AA48" s="10">
        <v>48.91</v>
      </c>
      <c r="AB48" s="95">
        <v>1095300</v>
      </c>
      <c r="AC48" s="10">
        <v>48.91</v>
      </c>
      <c r="AD48" s="2">
        <f t="shared" si="0"/>
        <v>1.259999999999998</v>
      </c>
      <c r="AE48" s="138">
        <f t="shared" si="1"/>
        <v>6.5857172257663965E-3</v>
      </c>
    </row>
    <row r="49" spans="1:31" x14ac:dyDescent="0.25">
      <c r="A49" s="381"/>
      <c r="B49" s="380">
        <v>42377</v>
      </c>
      <c r="C49" s="381">
        <v>50</v>
      </c>
      <c r="D49" s="382">
        <v>37.85</v>
      </c>
      <c r="E49" s="382">
        <v>0</v>
      </c>
      <c r="F49" s="382">
        <f t="shared" si="5"/>
        <v>1892.5</v>
      </c>
      <c r="G49" s="381"/>
      <c r="H49" s="381"/>
      <c r="I49" s="382"/>
      <c r="J49" s="382"/>
      <c r="K49" s="382"/>
      <c r="L49" s="381"/>
      <c r="M49" s="381"/>
      <c r="O49" s="83">
        <v>1.04</v>
      </c>
      <c r="P49" s="83">
        <f t="shared" si="7"/>
        <v>42.660800000000002</v>
      </c>
      <c r="Q49" s="34"/>
      <c r="R49" s="34"/>
      <c r="T49" s="93" t="s">
        <v>104</v>
      </c>
      <c r="U49" s="88" t="s">
        <v>409</v>
      </c>
      <c r="W49" s="133">
        <v>42697</v>
      </c>
      <c r="X49" s="10">
        <v>48.25</v>
      </c>
      <c r="Y49" s="10">
        <v>48.62</v>
      </c>
      <c r="Z49" s="10">
        <v>48.01</v>
      </c>
      <c r="AA49" s="10">
        <v>48.59</v>
      </c>
      <c r="AB49" s="95">
        <v>2047900</v>
      </c>
      <c r="AC49" s="10">
        <v>48.59</v>
      </c>
      <c r="AD49" s="2">
        <f t="shared" si="0"/>
        <v>0.60999999999999943</v>
      </c>
      <c r="AE49" s="138">
        <f t="shared" si="1"/>
        <v>6.6293764242801867E-3</v>
      </c>
    </row>
    <row r="50" spans="1:31" x14ac:dyDescent="0.25">
      <c r="A50" s="381"/>
      <c r="B50" s="380"/>
      <c r="C50" s="381"/>
      <c r="D50" s="382"/>
      <c r="E50" s="382"/>
      <c r="F50" s="382"/>
      <c r="G50" s="381"/>
      <c r="H50" s="381"/>
      <c r="I50" s="382"/>
      <c r="J50" s="382"/>
      <c r="K50" s="382"/>
      <c r="L50" s="381"/>
      <c r="M50" s="381"/>
      <c r="O50" s="83">
        <v>1.03</v>
      </c>
      <c r="P50" s="83">
        <f t="shared" si="7"/>
        <v>42.250600000000006</v>
      </c>
      <c r="Q50" s="83"/>
      <c r="R50" s="34"/>
      <c r="T50" s="93"/>
      <c r="U50" s="88"/>
      <c r="W50" s="133">
        <v>42696</v>
      </c>
      <c r="X50" s="10">
        <v>48.25</v>
      </c>
      <c r="Y50" s="10">
        <v>49.56</v>
      </c>
      <c r="Z50" s="10">
        <v>48</v>
      </c>
      <c r="AA50" s="10">
        <v>48.27</v>
      </c>
      <c r="AB50" s="95">
        <v>3847000</v>
      </c>
      <c r="AC50" s="10">
        <v>48.27</v>
      </c>
      <c r="AD50" s="2">
        <f t="shared" si="0"/>
        <v>1.5600000000000023</v>
      </c>
      <c r="AE50" s="138">
        <f t="shared" si="1"/>
        <v>2.7004570004154349E-3</v>
      </c>
    </row>
    <row r="51" spans="1:31" x14ac:dyDescent="0.25">
      <c r="A51" s="36" t="s">
        <v>81</v>
      </c>
      <c r="B51" s="37"/>
      <c r="C51" s="37">
        <f>SUM(C37:C50)</f>
        <v>540</v>
      </c>
      <c r="D51" s="38"/>
      <c r="E51" s="38"/>
      <c r="F51" s="38">
        <f>SUM(F37:F49)</f>
        <v>22792.9</v>
      </c>
      <c r="G51" s="38"/>
      <c r="H51" s="183">
        <f>SUM(H37:H49)</f>
        <v>540</v>
      </c>
      <c r="I51" s="38"/>
      <c r="J51" s="38"/>
      <c r="K51" s="38">
        <f>SUM(K37:K50)</f>
        <v>23538.339999999997</v>
      </c>
      <c r="L51" s="37"/>
      <c r="M51" s="37"/>
      <c r="O51" s="83">
        <v>1.02</v>
      </c>
      <c r="P51" s="83">
        <f t="shared" si="7"/>
        <v>41.840400000000002</v>
      </c>
      <c r="Q51" s="83"/>
      <c r="R51" s="34"/>
      <c r="T51" s="93" t="s">
        <v>105</v>
      </c>
      <c r="U51" s="88" t="s">
        <v>634</v>
      </c>
      <c r="W51" s="133">
        <v>42695</v>
      </c>
      <c r="X51" s="10">
        <v>47.75</v>
      </c>
      <c r="Y51" s="10">
        <v>48.49</v>
      </c>
      <c r="Z51" s="10">
        <v>47.46</v>
      </c>
      <c r="AA51" s="10">
        <v>48.14</v>
      </c>
      <c r="AB51" s="95">
        <v>2355100</v>
      </c>
      <c r="AC51" s="10">
        <v>48.14</v>
      </c>
      <c r="AD51" s="2">
        <f t="shared" si="0"/>
        <v>1.0300000000000011</v>
      </c>
      <c r="AE51" s="138">
        <f t="shared" si="1"/>
        <v>1.1982341812066366E-2</v>
      </c>
    </row>
    <row r="52" spans="1:31" x14ac:dyDescent="0.25">
      <c r="A52" s="381"/>
      <c r="B52" s="381"/>
      <c r="C52" s="381"/>
      <c r="D52" s="382"/>
      <c r="E52" s="382"/>
      <c r="F52" s="382"/>
      <c r="G52" s="382"/>
      <c r="H52" s="381"/>
      <c r="I52" s="382"/>
      <c r="J52" s="382"/>
      <c r="K52" s="382"/>
      <c r="L52" s="381"/>
      <c r="M52" s="381"/>
      <c r="O52" s="83">
        <v>1.01</v>
      </c>
      <c r="P52" s="83">
        <f t="shared" si="7"/>
        <v>41.430200000000006</v>
      </c>
      <c r="Q52" s="83"/>
      <c r="R52" s="34"/>
      <c r="T52" s="93" t="s">
        <v>106</v>
      </c>
      <c r="U52" s="88" t="s">
        <v>518</v>
      </c>
      <c r="W52" s="133">
        <v>42692</v>
      </c>
      <c r="X52" s="10">
        <v>48.43</v>
      </c>
      <c r="Y52" s="10">
        <v>48.46</v>
      </c>
      <c r="Z52" s="10">
        <v>47.5</v>
      </c>
      <c r="AA52" s="10">
        <v>47.57</v>
      </c>
      <c r="AB52" s="95">
        <v>2306100</v>
      </c>
      <c r="AC52" s="10">
        <v>47.57</v>
      </c>
      <c r="AD52" s="2">
        <f t="shared" si="0"/>
        <v>0.96000000000000085</v>
      </c>
      <c r="AE52" s="138">
        <f t="shared" si="1"/>
        <v>-2.0588840848260292E-2</v>
      </c>
    </row>
    <row r="53" spans="1:31" x14ac:dyDescent="0.25">
      <c r="O53" s="83">
        <v>1</v>
      </c>
      <c r="P53" s="83">
        <f t="shared" si="7"/>
        <v>41.02</v>
      </c>
      <c r="Q53" s="83"/>
      <c r="R53" s="34"/>
      <c r="T53" s="93" t="s">
        <v>107</v>
      </c>
      <c r="U53" s="90">
        <v>2194460</v>
      </c>
      <c r="W53" s="133">
        <v>42691</v>
      </c>
      <c r="X53" s="10">
        <v>47.68</v>
      </c>
      <c r="Y53" s="10">
        <v>48.93</v>
      </c>
      <c r="Z53" s="10">
        <v>47.52</v>
      </c>
      <c r="AA53" s="10">
        <v>48.57</v>
      </c>
      <c r="AB53" s="95">
        <v>3418500</v>
      </c>
      <c r="AC53" s="10">
        <v>48.57</v>
      </c>
      <c r="AD53" s="2">
        <f t="shared" si="0"/>
        <v>1.4099999999999966</v>
      </c>
      <c r="AE53" s="138">
        <f t="shared" si="1"/>
        <v>2.2311092401599675E-2</v>
      </c>
    </row>
    <row r="54" spans="1:31" x14ac:dyDescent="0.25">
      <c r="O54" s="83">
        <v>0.99</v>
      </c>
      <c r="P54" s="83">
        <f t="shared" si="7"/>
        <v>40.6098</v>
      </c>
      <c r="Q54" s="83"/>
      <c r="R54" s="34"/>
      <c r="T54" s="93" t="s">
        <v>110</v>
      </c>
      <c r="U54" s="90">
        <v>2626510</v>
      </c>
      <c r="W54" s="133">
        <v>42690</v>
      </c>
      <c r="X54" s="10">
        <v>46.97</v>
      </c>
      <c r="Y54" s="10">
        <v>47.85</v>
      </c>
      <c r="Z54" s="10">
        <v>46.76</v>
      </c>
      <c r="AA54" s="10">
        <v>47.51</v>
      </c>
      <c r="AB54" s="95">
        <v>2639100</v>
      </c>
      <c r="AC54" s="10">
        <v>47.51</v>
      </c>
      <c r="AD54" s="2">
        <f t="shared" si="0"/>
        <v>1.0900000000000034</v>
      </c>
      <c r="AE54" s="138">
        <f t="shared" si="1"/>
        <v>1.3006396588486124E-2</v>
      </c>
    </row>
    <row r="55" spans="1:31" x14ac:dyDescent="0.25">
      <c r="O55" s="83">
        <v>0.98</v>
      </c>
      <c r="P55" s="83">
        <f t="shared" si="7"/>
        <v>40.199600000000004</v>
      </c>
      <c r="Q55" s="83"/>
      <c r="R55" s="34"/>
      <c r="T55" s="93" t="s">
        <v>108</v>
      </c>
      <c r="U55" s="88" t="s">
        <v>635</v>
      </c>
      <c r="W55" s="133">
        <v>42689</v>
      </c>
      <c r="X55" s="10">
        <v>47.25</v>
      </c>
      <c r="Y55" s="10">
        <v>47.46</v>
      </c>
      <c r="Z55" s="10">
        <v>46.12</v>
      </c>
      <c r="AA55" s="10">
        <v>46.9</v>
      </c>
      <c r="AB55" s="95">
        <v>4164800</v>
      </c>
      <c r="AC55" s="10">
        <v>46.9</v>
      </c>
      <c r="AD55" s="2">
        <f t="shared" si="0"/>
        <v>1.3400000000000034</v>
      </c>
      <c r="AE55" s="138">
        <f t="shared" si="1"/>
        <v>-5.5131467345207463E-3</v>
      </c>
    </row>
    <row r="56" spans="1:31" x14ac:dyDescent="0.25">
      <c r="O56" s="83">
        <v>0.97</v>
      </c>
      <c r="P56" s="83">
        <f t="shared" si="7"/>
        <v>39.789400000000001</v>
      </c>
      <c r="Q56" s="83"/>
      <c r="R56" s="34"/>
      <c r="T56" s="93" t="s">
        <v>111</v>
      </c>
      <c r="U56" s="88">
        <v>9.32</v>
      </c>
      <c r="W56" s="133">
        <v>42688</v>
      </c>
      <c r="X56" s="10">
        <v>49.43</v>
      </c>
      <c r="Y56" s="10">
        <v>50.2</v>
      </c>
      <c r="Z56" s="10">
        <v>47.01</v>
      </c>
      <c r="AA56" s="10">
        <v>47.16</v>
      </c>
      <c r="AB56" s="95">
        <v>6778200</v>
      </c>
      <c r="AC56" s="10">
        <v>47.16</v>
      </c>
      <c r="AD56" s="2">
        <f t="shared" si="0"/>
        <v>3.1900000000000048</v>
      </c>
      <c r="AE56" s="138">
        <f t="shared" si="1"/>
        <v>-5.1106639839034296E-2</v>
      </c>
    </row>
    <row r="57" spans="1:31" x14ac:dyDescent="0.25">
      <c r="O57" s="83">
        <v>0.96</v>
      </c>
      <c r="P57" s="83">
        <f t="shared" si="7"/>
        <v>39.379200000000004</v>
      </c>
      <c r="Q57" s="83"/>
      <c r="R57" s="34"/>
      <c r="T57" s="93" t="s">
        <v>112</v>
      </c>
      <c r="U57" s="88">
        <v>4.3899999999999997</v>
      </c>
      <c r="W57" s="133">
        <v>42685</v>
      </c>
      <c r="X57" s="10">
        <v>49.3</v>
      </c>
      <c r="Y57" s="10">
        <v>51</v>
      </c>
      <c r="Z57" s="10">
        <v>46.57</v>
      </c>
      <c r="AA57" s="10">
        <v>49.7</v>
      </c>
      <c r="AB57" s="95">
        <v>15547100</v>
      </c>
      <c r="AC57" s="10">
        <v>49.7</v>
      </c>
      <c r="AD57" s="2">
        <f t="shared" si="0"/>
        <v>4.43</v>
      </c>
      <c r="AE57" s="138">
        <f t="shared" si="1"/>
        <v>-3.9799072642967448E-2</v>
      </c>
    </row>
    <row r="58" spans="1:31" x14ac:dyDescent="0.25">
      <c r="O58" s="83">
        <v>0.95</v>
      </c>
      <c r="P58" s="83">
        <f t="shared" si="7"/>
        <v>38.969000000000001</v>
      </c>
      <c r="Q58" s="83"/>
      <c r="R58" s="34"/>
      <c r="T58" s="93" t="s">
        <v>109</v>
      </c>
      <c r="U58" s="88" t="s">
        <v>123</v>
      </c>
      <c r="W58" s="133">
        <v>42684</v>
      </c>
      <c r="X58" s="10">
        <v>51.06</v>
      </c>
      <c r="Y58" s="10">
        <v>52.33</v>
      </c>
      <c r="Z58" s="10">
        <v>50.76</v>
      </c>
      <c r="AA58" s="10">
        <v>51.76</v>
      </c>
      <c r="AB58" s="95">
        <v>4559500</v>
      </c>
      <c r="AC58" s="10">
        <v>51.76</v>
      </c>
      <c r="AD58" s="2">
        <f t="shared" si="0"/>
        <v>1.5700000000000003</v>
      </c>
      <c r="AE58" s="138">
        <f t="shared" si="1"/>
        <v>3.1486648066958889E-2</v>
      </c>
    </row>
    <row r="59" spans="1:31" x14ac:dyDescent="0.25">
      <c r="O59" s="83">
        <v>0.94</v>
      </c>
      <c r="P59" s="83">
        <f t="shared" si="7"/>
        <v>38.558799999999998</v>
      </c>
      <c r="Q59" s="83"/>
      <c r="W59" s="133">
        <v>42683</v>
      </c>
      <c r="X59" s="10">
        <v>49.56</v>
      </c>
      <c r="Y59" s="10">
        <v>50.82</v>
      </c>
      <c r="Z59" s="10">
        <v>48.94</v>
      </c>
      <c r="AA59" s="10">
        <v>50.18</v>
      </c>
      <c r="AB59" s="95">
        <v>2958100</v>
      </c>
      <c r="AC59" s="10">
        <v>50.18</v>
      </c>
      <c r="AD59" s="2">
        <f t="shared" si="0"/>
        <v>1.8800000000000026</v>
      </c>
      <c r="AE59" s="138">
        <f t="shared" si="1"/>
        <v>-2.782193958664525E-3</v>
      </c>
    </row>
    <row r="60" spans="1:31" x14ac:dyDescent="0.25">
      <c r="O60" s="83">
        <v>0.93</v>
      </c>
      <c r="P60" s="83">
        <f t="shared" si="7"/>
        <v>38.148600000000002</v>
      </c>
      <c r="Q60" s="83"/>
      <c r="W60" s="133">
        <v>42682</v>
      </c>
      <c r="X60" s="10">
        <v>50.26</v>
      </c>
      <c r="Y60" s="10">
        <v>51.04</v>
      </c>
      <c r="Z60" s="10">
        <v>49.95</v>
      </c>
      <c r="AA60" s="10">
        <v>50.32</v>
      </c>
      <c r="AB60" s="95">
        <v>2414200</v>
      </c>
      <c r="AC60" s="10">
        <v>50.32</v>
      </c>
      <c r="AD60" s="2">
        <f t="shared" si="0"/>
        <v>1.0899999999999963</v>
      </c>
      <c r="AE60" s="138">
        <f t="shared" si="1"/>
        <v>3.9761431411533543E-4</v>
      </c>
    </row>
    <row r="61" spans="1:31" x14ac:dyDescent="0.25">
      <c r="O61" s="83">
        <v>0.92</v>
      </c>
      <c r="P61" s="83">
        <f t="shared" si="7"/>
        <v>37.738400000000006</v>
      </c>
      <c r="Q61" s="83"/>
      <c r="W61" s="133">
        <v>42681</v>
      </c>
      <c r="X61" s="10">
        <v>49.87</v>
      </c>
      <c r="Y61" s="10">
        <v>51.77</v>
      </c>
      <c r="Z61" s="10">
        <v>49.64</v>
      </c>
      <c r="AA61" s="10">
        <v>50.3</v>
      </c>
      <c r="AB61" s="95">
        <v>3848600</v>
      </c>
      <c r="AC61" s="10">
        <v>50.3</v>
      </c>
      <c r="AD61" s="2">
        <f t="shared" si="0"/>
        <v>2.1300000000000026</v>
      </c>
      <c r="AE61" s="138">
        <f t="shared" si="1"/>
        <v>2.4648604603788815E-2</v>
      </c>
    </row>
    <row r="62" spans="1:31" x14ac:dyDescent="0.25">
      <c r="O62" s="83">
        <v>0.91</v>
      </c>
      <c r="P62" s="83">
        <f t="shared" si="7"/>
        <v>37.328200000000002</v>
      </c>
      <c r="Q62" s="83"/>
      <c r="W62" s="133">
        <v>42678</v>
      </c>
      <c r="X62" s="10">
        <v>48.28</v>
      </c>
      <c r="Y62" s="10">
        <v>49.99</v>
      </c>
      <c r="Z62" s="10">
        <v>48.25</v>
      </c>
      <c r="AA62" s="10">
        <v>49.09</v>
      </c>
      <c r="AB62" s="95">
        <v>2533500</v>
      </c>
      <c r="AC62" s="10">
        <v>49.09</v>
      </c>
      <c r="AD62" s="2">
        <f t="shared" si="0"/>
        <v>1.740000000000002</v>
      </c>
      <c r="AE62" s="138">
        <f t="shared" si="1"/>
        <v>1.7620232172470995E-2</v>
      </c>
    </row>
    <row r="63" spans="1:31" x14ac:dyDescent="0.25">
      <c r="O63" s="83">
        <v>0.9</v>
      </c>
      <c r="P63" s="83">
        <f t="shared" si="7"/>
        <v>36.918000000000006</v>
      </c>
      <c r="Q63" s="83"/>
      <c r="W63" s="133">
        <v>42677</v>
      </c>
      <c r="X63" s="10">
        <v>49.75</v>
      </c>
      <c r="Y63" s="10">
        <v>49.85</v>
      </c>
      <c r="Z63" s="10">
        <v>48.01</v>
      </c>
      <c r="AA63" s="10">
        <v>48.24</v>
      </c>
      <c r="AB63" s="95">
        <v>2962500</v>
      </c>
      <c r="AC63" s="10">
        <v>48.24</v>
      </c>
      <c r="AD63" s="2">
        <f t="shared" si="0"/>
        <v>1.8400000000000034</v>
      </c>
      <c r="AE63" s="138">
        <f t="shared" si="1"/>
        <v>-2.9961793685903793E-2</v>
      </c>
    </row>
    <row r="64" spans="1:31" x14ac:dyDescent="0.25">
      <c r="Q64" s="83"/>
      <c r="W64" s="133">
        <v>42676</v>
      </c>
      <c r="X64" s="10">
        <v>49.99</v>
      </c>
      <c r="Y64" s="10">
        <v>51.18</v>
      </c>
      <c r="Z64" s="10">
        <v>49.57</v>
      </c>
      <c r="AA64" s="10">
        <v>49.73</v>
      </c>
      <c r="AB64" s="95">
        <v>2523000</v>
      </c>
      <c r="AC64" s="10">
        <v>49.73</v>
      </c>
      <c r="AD64" s="2">
        <f t="shared" si="0"/>
        <v>1.6099999999999994</v>
      </c>
      <c r="AE64" s="138">
        <f t="shared" si="1"/>
        <v>-1.2705975779233714E-2</v>
      </c>
    </row>
    <row r="65" spans="15:31" x14ac:dyDescent="0.25">
      <c r="Q65" s="83"/>
      <c r="W65" s="133">
        <v>42675</v>
      </c>
      <c r="X65" s="10">
        <v>50.95</v>
      </c>
      <c r="Y65" s="10">
        <v>52.67</v>
      </c>
      <c r="Z65" s="10">
        <v>50.12</v>
      </c>
      <c r="AA65" s="10">
        <v>50.37</v>
      </c>
      <c r="AB65" s="95">
        <v>4161900</v>
      </c>
      <c r="AC65" s="10">
        <v>50.37</v>
      </c>
      <c r="AD65" s="2">
        <f t="shared" si="0"/>
        <v>2.5500000000000043</v>
      </c>
      <c r="AE65" s="138">
        <f t="shared" si="1"/>
        <v>-8.0740448995668679E-3</v>
      </c>
    </row>
    <row r="66" spans="15:31" x14ac:dyDescent="0.25">
      <c r="Q66" s="83"/>
      <c r="W66" s="133">
        <v>42674</v>
      </c>
      <c r="X66" s="10">
        <v>50.23</v>
      </c>
      <c r="Y66" s="10">
        <v>51.28</v>
      </c>
      <c r="Z66" s="10">
        <v>50.01</v>
      </c>
      <c r="AA66" s="10">
        <v>50.78</v>
      </c>
      <c r="AB66" s="95">
        <v>3686800</v>
      </c>
      <c r="AC66" s="10">
        <v>50.78</v>
      </c>
      <c r="AD66" s="2">
        <f t="shared" si="0"/>
        <v>1.2700000000000031</v>
      </c>
      <c r="AE66" s="138">
        <f t="shared" si="1"/>
        <v>1.3168395849960213E-2</v>
      </c>
    </row>
    <row r="67" spans="15:31" x14ac:dyDescent="0.25">
      <c r="Q67" s="83"/>
      <c r="W67" s="133">
        <v>42671</v>
      </c>
      <c r="X67" s="10">
        <v>48.21</v>
      </c>
      <c r="Y67" s="10">
        <v>50.88</v>
      </c>
      <c r="Z67" s="10">
        <v>48.15</v>
      </c>
      <c r="AA67" s="10">
        <v>50.12</v>
      </c>
      <c r="AB67" s="95">
        <v>5553100</v>
      </c>
      <c r="AC67" s="10">
        <v>50.12</v>
      </c>
      <c r="AD67" s="2">
        <f>Y67-Z67</f>
        <v>2.730000000000004</v>
      </c>
      <c r="AE67" s="138" t="e">
        <f>AC67/AC68-1</f>
        <v>#DIV/0!</v>
      </c>
    </row>
    <row r="68" spans="15:31" x14ac:dyDescent="0.25">
      <c r="O68" s="34"/>
      <c r="W68" s="10" t="s">
        <v>121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  <row r="69" spans="15:31" x14ac:dyDescent="0.25">
      <c r="O69" s="34"/>
    </row>
  </sheetData>
  <conditionalFormatting sqref="O43:O63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21">
      <iconSet iconSet="3Arrows">
        <cfvo type="percent" val="0"/>
        <cfvo type="num" val="0"/>
        <cfvo type="num" val="0"/>
      </iconSet>
    </cfRule>
  </conditionalFormatting>
  <conditionalFormatting sqref="F31:F33">
    <cfRule type="expression" dxfId="257" priority="19">
      <formula>F31&gt;0</formula>
    </cfRule>
    <cfRule type="expression" dxfId="256" priority="20">
      <formula>F31&lt;0</formula>
    </cfRule>
  </conditionalFormatting>
  <conditionalFormatting sqref="H31:H33">
    <cfRule type="expression" dxfId="255" priority="11">
      <formula>H31&gt;0</formula>
    </cfRule>
    <cfRule type="expression" dxfId="254" priority="12">
      <formula>H31&lt;0</formula>
    </cfRule>
  </conditionalFormatting>
  <conditionalFormatting sqref="F21:F30">
    <cfRule type="expression" dxfId="253" priority="7">
      <formula>F21&gt;0</formula>
    </cfRule>
    <cfRule type="expression" dxfId="252" priority="8">
      <formula>F21&lt;0</formula>
    </cfRule>
  </conditionalFormatting>
  <conditionalFormatting sqref="H21:H30">
    <cfRule type="expression" dxfId="251" priority="5">
      <formula>H21&gt;0</formula>
    </cfRule>
    <cfRule type="expression" dxfId="250" priority="6">
      <formula>H21&lt;0</formula>
    </cfRule>
  </conditionalFormatting>
  <conditionalFormatting sqref="Q8">
    <cfRule type="expression" dxfId="249" priority="1">
      <formula>Q8&gt;0</formula>
    </cfRule>
    <cfRule type="expression" dxfId="248" priority="2">
      <formula>Q8&lt;0</formula>
    </cfRule>
  </conditionalFormatting>
  <conditionalFormatting sqref="Q7">
    <cfRule type="expression" dxfId="247" priority="3">
      <formula>Q7&gt;0</formula>
    </cfRule>
    <cfRule type="expression" dxfId="246" priority="4">
      <formula>Q7&lt;0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4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6" customWidth="1"/>
    <col min="21" max="21" width="11.710937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21" t="s">
        <v>38</v>
      </c>
      <c r="T1" s="84" t="s">
        <v>93</v>
      </c>
      <c r="X1" s="108" t="s">
        <v>114</v>
      </c>
      <c r="Y1" s="108" t="s">
        <v>115</v>
      </c>
      <c r="Z1" s="108" t="s">
        <v>116</v>
      </c>
      <c r="AA1" s="108" t="s">
        <v>117</v>
      </c>
      <c r="AB1" s="108" t="s">
        <v>118</v>
      </c>
      <c r="AC1" s="108" t="s">
        <v>119</v>
      </c>
      <c r="AD1" s="108" t="s">
        <v>120</v>
      </c>
      <c r="AE1" s="11" t="s">
        <v>126</v>
      </c>
      <c r="AF1" s="11" t="s">
        <v>128</v>
      </c>
    </row>
    <row r="2" spans="1:32" x14ac:dyDescent="0.25">
      <c r="A2" s="6" t="s">
        <v>45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85"/>
      <c r="X2" s="110">
        <v>42768</v>
      </c>
      <c r="Y2" s="9">
        <v>76.739999999999995</v>
      </c>
      <c r="Z2" s="9">
        <v>78.12</v>
      </c>
      <c r="AA2" s="9">
        <v>76.38</v>
      </c>
      <c r="AB2" s="9">
        <v>77.400000000000006</v>
      </c>
      <c r="AC2" s="104">
        <v>3879900</v>
      </c>
      <c r="AD2" s="9">
        <v>77.400000000000006</v>
      </c>
      <c r="AE2" s="2">
        <f>Z2-AA2</f>
        <v>1.7400000000000091</v>
      </c>
      <c r="AF2" s="138">
        <f>AD2/AD3-1</f>
        <v>2.8708133971292016E-2</v>
      </c>
    </row>
    <row r="3" spans="1:32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74"/>
      <c r="M3" s="3"/>
      <c r="O3" s="11" t="s">
        <v>58</v>
      </c>
      <c r="Q3" s="2">
        <f>IF(Q2=0, Q4, (F18-K18-M18)/Q2)</f>
        <v>77.48</v>
      </c>
      <c r="T3" s="85"/>
      <c r="X3" s="110">
        <v>42767</v>
      </c>
      <c r="Y3" s="9">
        <v>75.569999999999993</v>
      </c>
      <c r="Z3" s="9">
        <v>75.97</v>
      </c>
      <c r="AA3" s="9">
        <v>75</v>
      </c>
      <c r="AB3" s="9">
        <v>75.239999999999995</v>
      </c>
      <c r="AC3" s="104">
        <v>2389100</v>
      </c>
      <c r="AD3" s="9">
        <v>75.239999999999995</v>
      </c>
      <c r="AE3" s="2">
        <f t="shared" ref="AE3:AE66" si="0">Z3-AA3</f>
        <v>0.96999999999999886</v>
      </c>
      <c r="AF3" s="138">
        <f t="shared" ref="AF3:AF66" si="1">AD3/AD4-1</f>
        <v>3.9888312724367658E-4</v>
      </c>
    </row>
    <row r="4" spans="1:32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3"/>
      <c r="O4" s="11" t="s">
        <v>66</v>
      </c>
      <c r="Q4" s="55">
        <v>77.48</v>
      </c>
      <c r="R4" s="505">
        <v>1E-3</v>
      </c>
      <c r="X4" s="110">
        <v>42766</v>
      </c>
      <c r="Y4" s="9">
        <v>75.27</v>
      </c>
      <c r="Z4" s="9">
        <v>75.58</v>
      </c>
      <c r="AA4" s="9">
        <v>74.739999999999995</v>
      </c>
      <c r="AB4" s="9">
        <v>75.209999999999994</v>
      </c>
      <c r="AC4" s="104">
        <v>2026500</v>
      </c>
      <c r="AD4" s="9">
        <v>75.209999999999994</v>
      </c>
      <c r="AE4" s="2">
        <f t="shared" si="0"/>
        <v>0.84000000000000341</v>
      </c>
      <c r="AF4" s="138">
        <f t="shared" si="1"/>
        <v>-5.2903055151435341E-3</v>
      </c>
    </row>
    <row r="5" spans="1:32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3"/>
      <c r="O5" s="11" t="s">
        <v>67</v>
      </c>
      <c r="Q5" s="3">
        <f>Q4*Q2</f>
        <v>0</v>
      </c>
      <c r="T5" s="85"/>
      <c r="U5" s="68"/>
      <c r="X5" s="110">
        <v>42765</v>
      </c>
      <c r="Y5" s="9">
        <v>75.489999999999995</v>
      </c>
      <c r="Z5" s="9">
        <v>75.67</v>
      </c>
      <c r="AA5" s="9">
        <v>75.13</v>
      </c>
      <c r="AB5" s="9">
        <v>75.61</v>
      </c>
      <c r="AC5" s="104">
        <v>1741200</v>
      </c>
      <c r="AD5" s="9">
        <v>75.61</v>
      </c>
      <c r="AE5" s="2">
        <f t="shared" si="0"/>
        <v>0.54000000000000625</v>
      </c>
      <c r="AF5" s="138">
        <f t="shared" si="1"/>
        <v>2.6458526260086934E-4</v>
      </c>
    </row>
    <row r="6" spans="1:32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3"/>
      <c r="O6" s="11" t="s">
        <v>64</v>
      </c>
      <c r="Q6" s="2">
        <f>Q3*Q2</f>
        <v>0</v>
      </c>
      <c r="X6" s="110">
        <v>42762</v>
      </c>
      <c r="Y6" s="9">
        <v>75.290000000000006</v>
      </c>
      <c r="Z6" s="9">
        <v>75.81</v>
      </c>
      <c r="AA6" s="9">
        <v>75.22</v>
      </c>
      <c r="AB6" s="9">
        <v>75.59</v>
      </c>
      <c r="AC6" s="104">
        <v>1275500</v>
      </c>
      <c r="AD6" s="9">
        <v>75.59</v>
      </c>
      <c r="AE6" s="2">
        <f t="shared" si="0"/>
        <v>0.59000000000000341</v>
      </c>
      <c r="AF6" s="138">
        <f t="shared" si="1"/>
        <v>-2.9019918216593998E-3</v>
      </c>
    </row>
    <row r="7" spans="1:32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M7" s="3"/>
      <c r="O7" s="11" t="s">
        <v>181</v>
      </c>
      <c r="Q7" s="2">
        <f>Q10+Q8</f>
        <v>523.61999999999898</v>
      </c>
      <c r="R7">
        <v>0</v>
      </c>
      <c r="T7" s="85"/>
      <c r="X7" s="110">
        <v>42761</v>
      </c>
      <c r="Y7" s="9">
        <v>75.42</v>
      </c>
      <c r="Z7" s="9">
        <v>75.849999999999994</v>
      </c>
      <c r="AA7" s="9">
        <v>75.209999999999994</v>
      </c>
      <c r="AB7" s="9">
        <v>75.81</v>
      </c>
      <c r="AC7" s="104">
        <v>1574900</v>
      </c>
      <c r="AD7" s="9">
        <v>75.81</v>
      </c>
      <c r="AE7" s="2">
        <f t="shared" si="0"/>
        <v>0.64000000000000057</v>
      </c>
      <c r="AF7" s="138">
        <f t="shared" si="1"/>
        <v>5.5710306406684396E-3</v>
      </c>
    </row>
    <row r="8" spans="1:32" x14ac:dyDescent="0.25">
      <c r="O8" s="11" t="s">
        <v>184</v>
      </c>
      <c r="P8" s="34"/>
      <c r="Q8" s="2">
        <f>K18+M18-F18+Q2*Q4</f>
        <v>0</v>
      </c>
      <c r="R8" s="165"/>
      <c r="T8" s="85"/>
      <c r="X8" s="110">
        <v>42760</v>
      </c>
      <c r="Y8" s="9">
        <v>74.77</v>
      </c>
      <c r="Z8" s="9">
        <v>75.53</v>
      </c>
      <c r="AA8" s="9">
        <v>74.739999999999995</v>
      </c>
      <c r="AB8" s="9">
        <v>75.39</v>
      </c>
      <c r="AC8" s="104">
        <v>1765900</v>
      </c>
      <c r="AD8" s="9">
        <v>75.39</v>
      </c>
      <c r="AE8" s="2">
        <f t="shared" si="0"/>
        <v>0.79000000000000625</v>
      </c>
      <c r="AF8" s="138">
        <f t="shared" si="1"/>
        <v>1.2353968040821783E-2</v>
      </c>
    </row>
    <row r="9" spans="1:32" x14ac:dyDescent="0.25">
      <c r="O9" s="11" t="s">
        <v>214</v>
      </c>
      <c r="Q9" s="138">
        <f>IF(Q2=0, 0, Q8/Q6)</f>
        <v>0</v>
      </c>
      <c r="X9" s="110">
        <v>42759</v>
      </c>
      <c r="Y9" s="9">
        <v>74.239999999999995</v>
      </c>
      <c r="Z9" s="9">
        <v>74.66</v>
      </c>
      <c r="AA9" s="9">
        <v>73.97</v>
      </c>
      <c r="AB9" s="9">
        <v>74.47</v>
      </c>
      <c r="AC9" s="104">
        <v>1070300</v>
      </c>
      <c r="AD9" s="9">
        <v>74.47</v>
      </c>
      <c r="AE9" s="2">
        <f t="shared" si="0"/>
        <v>0.68999999999999773</v>
      </c>
      <c r="AF9" s="138">
        <f t="shared" si="1"/>
        <v>4.3155765340525676E-3</v>
      </c>
    </row>
    <row r="10" spans="1:32" x14ac:dyDescent="0.25">
      <c r="O10" s="11" t="s">
        <v>213</v>
      </c>
      <c r="P10" s="34"/>
      <c r="Q10" s="2">
        <f>M40</f>
        <v>523.61999999999898</v>
      </c>
      <c r="T10" s="121"/>
      <c r="U10" s="68"/>
      <c r="X10" s="110">
        <v>42758</v>
      </c>
      <c r="Y10" s="9">
        <v>74.59</v>
      </c>
      <c r="Z10" s="9">
        <v>74.650000000000006</v>
      </c>
      <c r="AA10" s="9">
        <v>73.959999999999994</v>
      </c>
      <c r="AB10" s="9">
        <v>74.150000000000006</v>
      </c>
      <c r="AC10" s="104">
        <v>1222400</v>
      </c>
      <c r="AD10" s="9">
        <v>74.150000000000006</v>
      </c>
      <c r="AE10" s="2">
        <f t="shared" si="0"/>
        <v>0.69000000000001194</v>
      </c>
      <c r="AF10" s="138">
        <f t="shared" si="1"/>
        <v>-5.2320901529380182E-3</v>
      </c>
    </row>
    <row r="11" spans="1:32" x14ac:dyDescent="0.25">
      <c r="O11" s="11" t="s">
        <v>178</v>
      </c>
      <c r="P11" s="34"/>
      <c r="Q11" s="138">
        <f>VALUE(TRIM(CLEAN(MID(U55, FIND("(", U55)+1, 5))))</f>
        <v>1.7600000000000001E-2</v>
      </c>
      <c r="T11" s="121"/>
      <c r="U11" s="68"/>
      <c r="X11" s="110">
        <v>42755</v>
      </c>
      <c r="Y11" s="9">
        <v>74.37</v>
      </c>
      <c r="Z11" s="9">
        <v>74.959999999999994</v>
      </c>
      <c r="AA11" s="9">
        <v>74.37</v>
      </c>
      <c r="AB11" s="9">
        <v>74.540000000000006</v>
      </c>
      <c r="AC11" s="104">
        <v>1500700</v>
      </c>
      <c r="AD11" s="9">
        <v>74.540000000000006</v>
      </c>
      <c r="AE11" s="2">
        <f t="shared" si="0"/>
        <v>0.5899999999999892</v>
      </c>
      <c r="AF11" s="138">
        <f t="shared" si="1"/>
        <v>4.3115063325249725E-3</v>
      </c>
    </row>
    <row r="12" spans="1:32" x14ac:dyDescent="0.25">
      <c r="X12" s="110">
        <v>42754</v>
      </c>
      <c r="Y12" s="9">
        <v>74.66</v>
      </c>
      <c r="Z12" s="9">
        <v>74.78</v>
      </c>
      <c r="AA12" s="9">
        <v>73.900000000000006</v>
      </c>
      <c r="AB12" s="9">
        <v>74.22</v>
      </c>
      <c r="AC12" s="104">
        <v>1282100</v>
      </c>
      <c r="AD12" s="9">
        <v>74.22</v>
      </c>
      <c r="AE12" s="2">
        <f t="shared" si="0"/>
        <v>0.87999999999999545</v>
      </c>
      <c r="AF12" s="138">
        <f t="shared" si="1"/>
        <v>-4.0257648953300196E-3</v>
      </c>
    </row>
    <row r="13" spans="1:32" x14ac:dyDescent="0.25">
      <c r="Q13" s="2"/>
      <c r="X13" s="110">
        <v>42753</v>
      </c>
      <c r="Y13" s="9">
        <v>74</v>
      </c>
      <c r="Z13" s="9">
        <v>74.83</v>
      </c>
      <c r="AA13" s="9">
        <v>73.92</v>
      </c>
      <c r="AB13" s="9">
        <v>74.52</v>
      </c>
      <c r="AC13" s="104">
        <v>1788800</v>
      </c>
      <c r="AD13" s="9">
        <v>74.52</v>
      </c>
      <c r="AE13" s="2">
        <f t="shared" si="0"/>
        <v>0.90999999999999659</v>
      </c>
      <c r="AF13" s="138">
        <f t="shared" si="1"/>
        <v>9.0724441435341419E-3</v>
      </c>
    </row>
    <row r="14" spans="1:32" x14ac:dyDescent="0.25">
      <c r="X14" s="110">
        <v>42752</v>
      </c>
      <c r="Y14" s="9">
        <v>73.61</v>
      </c>
      <c r="Z14" s="9">
        <v>73.89</v>
      </c>
      <c r="AA14" s="9">
        <v>73.39</v>
      </c>
      <c r="AB14" s="9">
        <v>73.849999999999994</v>
      </c>
      <c r="AC14" s="104">
        <v>1180000</v>
      </c>
      <c r="AD14" s="9">
        <v>73.849999999999994</v>
      </c>
      <c r="AE14" s="2">
        <f t="shared" si="0"/>
        <v>0.5</v>
      </c>
      <c r="AF14" s="138">
        <f t="shared" si="1"/>
        <v>-5.4134524292881459E-4</v>
      </c>
    </row>
    <row r="15" spans="1:32" x14ac:dyDescent="0.25">
      <c r="X15" s="110">
        <v>42748</v>
      </c>
      <c r="Y15" s="9">
        <v>73.91</v>
      </c>
      <c r="Z15" s="9">
        <v>74.349999999999994</v>
      </c>
      <c r="AA15" s="9">
        <v>73.8</v>
      </c>
      <c r="AB15" s="9">
        <v>73.89</v>
      </c>
      <c r="AC15" s="104">
        <v>1207500</v>
      </c>
      <c r="AD15" s="9">
        <v>73.89</v>
      </c>
      <c r="AE15" s="2">
        <f t="shared" si="0"/>
        <v>0.54999999999999716</v>
      </c>
      <c r="AF15" s="138">
        <f t="shared" si="1"/>
        <v>2.8501628664494572E-3</v>
      </c>
    </row>
    <row r="16" spans="1:32" x14ac:dyDescent="0.25">
      <c r="B16" s="74"/>
      <c r="C16" s="4"/>
      <c r="D16" s="3"/>
      <c r="E16" s="3"/>
      <c r="F16" s="3"/>
      <c r="G16" s="74"/>
      <c r="H16" s="185"/>
      <c r="I16" s="3"/>
      <c r="J16" s="3"/>
      <c r="K16" s="3"/>
      <c r="L16" s="4"/>
      <c r="M16" s="3"/>
      <c r="X16" s="110">
        <v>42747</v>
      </c>
      <c r="Y16" s="9">
        <v>73.56</v>
      </c>
      <c r="Z16" s="9">
        <v>73.790000000000006</v>
      </c>
      <c r="AA16" s="9">
        <v>73.13</v>
      </c>
      <c r="AB16" s="9">
        <v>73.680000000000007</v>
      </c>
      <c r="AC16" s="104">
        <v>1110500</v>
      </c>
      <c r="AD16" s="9">
        <v>73.680000000000007</v>
      </c>
      <c r="AE16" s="2">
        <f t="shared" si="0"/>
        <v>0.6600000000000108</v>
      </c>
      <c r="AF16" s="138">
        <f t="shared" si="1"/>
        <v>-3.5163646199619647E-3</v>
      </c>
    </row>
    <row r="17" spans="1:32" x14ac:dyDescent="0.25">
      <c r="B17" s="74"/>
      <c r="C17" s="4"/>
      <c r="D17" s="3"/>
      <c r="E17" s="3"/>
      <c r="F17" s="3"/>
      <c r="G17" s="3"/>
      <c r="H17" s="185"/>
      <c r="I17" s="3"/>
      <c r="J17" s="3"/>
      <c r="K17" s="3"/>
      <c r="L17" s="4"/>
      <c r="M17" s="3"/>
      <c r="X17" s="110">
        <v>42746</v>
      </c>
      <c r="Y17" s="9">
        <v>73.94</v>
      </c>
      <c r="Z17" s="9">
        <v>74.260000000000005</v>
      </c>
      <c r="AA17" s="9">
        <v>73.59</v>
      </c>
      <c r="AB17" s="9">
        <v>73.94</v>
      </c>
      <c r="AC17" s="104">
        <v>1727700</v>
      </c>
      <c r="AD17" s="9">
        <v>73.94</v>
      </c>
      <c r="AE17" s="2">
        <f t="shared" si="0"/>
        <v>0.67000000000000171</v>
      </c>
      <c r="AF17" s="138">
        <f t="shared" si="1"/>
        <v>2.5762711864405485E-3</v>
      </c>
    </row>
    <row r="18" spans="1:32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10">
        <v>42745</v>
      </c>
      <c r="Y18" s="9">
        <v>73.28</v>
      </c>
      <c r="Z18" s="9">
        <v>74.3</v>
      </c>
      <c r="AA18" s="9">
        <v>73.260000000000005</v>
      </c>
      <c r="AB18" s="9">
        <v>73.75</v>
      </c>
      <c r="AC18" s="104">
        <v>2350000</v>
      </c>
      <c r="AD18" s="9">
        <v>73.75</v>
      </c>
      <c r="AE18" s="2">
        <f t="shared" si="0"/>
        <v>1.039999999999992</v>
      </c>
      <c r="AF18" s="138">
        <f t="shared" si="1"/>
        <v>9.0299630592420854E-3</v>
      </c>
    </row>
    <row r="19" spans="1:32" x14ac:dyDescent="0.25">
      <c r="B19" s="74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10">
        <v>42744</v>
      </c>
      <c r="Y19" s="9">
        <v>73.95</v>
      </c>
      <c r="Z19" s="9">
        <v>74.05</v>
      </c>
      <c r="AA19" s="9">
        <v>73.040000000000006</v>
      </c>
      <c r="AB19" s="9">
        <v>73.09</v>
      </c>
      <c r="AC19" s="104">
        <v>1801900</v>
      </c>
      <c r="AD19" s="9">
        <v>73.09</v>
      </c>
      <c r="AE19" s="2">
        <f t="shared" si="0"/>
        <v>1.0099999999999909</v>
      </c>
      <c r="AF19" s="138">
        <f t="shared" si="1"/>
        <v>-1.4295347269049241E-2</v>
      </c>
    </row>
    <row r="20" spans="1:32" x14ac:dyDescent="0.25">
      <c r="X20" s="110">
        <v>42741</v>
      </c>
      <c r="Y20" s="9">
        <v>73.680000000000007</v>
      </c>
      <c r="Z20" s="9">
        <v>74.459999999999994</v>
      </c>
      <c r="AA20" s="9">
        <v>73.48</v>
      </c>
      <c r="AB20" s="9">
        <v>74.150000000000006</v>
      </c>
      <c r="AC20" s="104">
        <v>1614700</v>
      </c>
      <c r="AD20" s="9">
        <v>74.150000000000006</v>
      </c>
      <c r="AE20" s="2">
        <f t="shared" si="0"/>
        <v>0.97999999999998977</v>
      </c>
      <c r="AF20" s="138">
        <f t="shared" si="1"/>
        <v>1.6209644738620632E-3</v>
      </c>
    </row>
    <row r="21" spans="1:32" x14ac:dyDescent="0.25">
      <c r="X21" s="110">
        <v>42740</v>
      </c>
      <c r="Y21" s="9">
        <v>74.180000000000007</v>
      </c>
      <c r="Z21" s="9">
        <v>74.44</v>
      </c>
      <c r="AA21" s="9">
        <v>73.8</v>
      </c>
      <c r="AB21" s="9">
        <v>74.03</v>
      </c>
      <c r="AC21" s="104">
        <v>1733000</v>
      </c>
      <c r="AD21" s="9">
        <v>74.03</v>
      </c>
      <c r="AE21" s="2">
        <f t="shared" si="0"/>
        <v>0.64000000000000057</v>
      </c>
      <c r="AF21" s="138">
        <f t="shared" si="1"/>
        <v>-4.5717359150195813E-3</v>
      </c>
    </row>
    <row r="22" spans="1:32" x14ac:dyDescent="0.25">
      <c r="X22" s="110">
        <v>42739</v>
      </c>
      <c r="Y22" s="9">
        <v>74.38</v>
      </c>
      <c r="Z22" s="9">
        <v>74.95</v>
      </c>
      <c r="AA22" s="9">
        <v>74.209999999999994</v>
      </c>
      <c r="AB22" s="9">
        <v>74.37</v>
      </c>
      <c r="AC22" s="104">
        <v>1945200</v>
      </c>
      <c r="AD22" s="9">
        <v>74.37</v>
      </c>
      <c r="AE22" s="2">
        <f t="shared" si="0"/>
        <v>0.74000000000000909</v>
      </c>
      <c r="AF22" s="138">
        <f t="shared" si="1"/>
        <v>2.6965080221112991E-3</v>
      </c>
    </row>
    <row r="23" spans="1:32" x14ac:dyDescent="0.25">
      <c r="X23" s="110">
        <v>42738</v>
      </c>
      <c r="Y23" s="9">
        <v>74</v>
      </c>
      <c r="Z23" s="9">
        <v>74.56</v>
      </c>
      <c r="AA23" s="9">
        <v>73.540000000000006</v>
      </c>
      <c r="AB23" s="9">
        <v>74.17</v>
      </c>
      <c r="AC23" s="104">
        <v>2019800</v>
      </c>
      <c r="AD23" s="9">
        <v>74.17</v>
      </c>
      <c r="AE23" s="2">
        <f t="shared" si="0"/>
        <v>1.019999999999996</v>
      </c>
      <c r="AF23" s="138">
        <f t="shared" si="1"/>
        <v>6.7458175930923403E-4</v>
      </c>
    </row>
    <row r="24" spans="1:32" x14ac:dyDescent="0.25">
      <c r="X24" s="110">
        <v>42734</v>
      </c>
      <c r="Y24" s="9">
        <v>74.540000000000006</v>
      </c>
      <c r="Z24" s="9">
        <v>74.56</v>
      </c>
      <c r="AA24" s="9">
        <v>73.930000000000007</v>
      </c>
      <c r="AB24" s="9">
        <v>74.12</v>
      </c>
      <c r="AC24" s="104">
        <v>1705500</v>
      </c>
      <c r="AD24" s="9">
        <v>74.12</v>
      </c>
      <c r="AE24" s="2">
        <f t="shared" si="0"/>
        <v>0.62999999999999545</v>
      </c>
      <c r="AF24" s="138">
        <f t="shared" si="1"/>
        <v>-2.154011847065096E-3</v>
      </c>
    </row>
    <row r="25" spans="1:32" x14ac:dyDescent="0.25">
      <c r="X25" s="110">
        <v>42733</v>
      </c>
      <c r="Y25" s="9">
        <v>74.38</v>
      </c>
      <c r="Z25" s="9">
        <v>74.569999999999993</v>
      </c>
      <c r="AA25" s="9">
        <v>74.2</v>
      </c>
      <c r="AB25" s="9">
        <v>74.28</v>
      </c>
      <c r="AC25" s="104">
        <v>1181900</v>
      </c>
      <c r="AD25" s="9">
        <v>74.28</v>
      </c>
      <c r="AE25" s="2">
        <f t="shared" si="0"/>
        <v>0.36999999999999034</v>
      </c>
      <c r="AF25" s="138">
        <f t="shared" si="1"/>
        <v>-9.41492938802857E-4</v>
      </c>
    </row>
    <row r="26" spans="1:32" x14ac:dyDescent="0.25">
      <c r="B26" s="191" t="s">
        <v>114</v>
      </c>
      <c r="C26" s="191" t="s">
        <v>147</v>
      </c>
      <c r="D26" s="192" t="s">
        <v>146</v>
      </c>
      <c r="E26" s="194" t="s">
        <v>148</v>
      </c>
      <c r="F26" s="195" t="s">
        <v>65</v>
      </c>
      <c r="G26" s="229" t="s">
        <v>152</v>
      </c>
      <c r="H26" s="229" t="s">
        <v>88</v>
      </c>
      <c r="X26" s="110">
        <v>42732</v>
      </c>
      <c r="Y26" s="9">
        <v>74.66</v>
      </c>
      <c r="Z26" s="9">
        <v>74.7</v>
      </c>
      <c r="AA26" s="9">
        <v>74.209999999999994</v>
      </c>
      <c r="AB26" s="9">
        <v>74.349999999999994</v>
      </c>
      <c r="AC26" s="104">
        <v>1610200</v>
      </c>
      <c r="AD26" s="9">
        <v>74.349999999999994</v>
      </c>
      <c r="AE26" s="2">
        <f t="shared" si="0"/>
        <v>0.49000000000000909</v>
      </c>
      <c r="AF26" s="138">
        <f t="shared" si="1"/>
        <v>-2.1473627700980824E-3</v>
      </c>
    </row>
    <row r="27" spans="1:32" x14ac:dyDescent="0.25">
      <c r="B27" s="193">
        <v>42304</v>
      </c>
      <c r="C27" s="10">
        <v>120</v>
      </c>
      <c r="D27" s="40">
        <v>60.82</v>
      </c>
      <c r="E27" s="40">
        <v>60.29</v>
      </c>
      <c r="F27" s="40">
        <v>-63.92</v>
      </c>
      <c r="G27" s="40">
        <f>D27*C27</f>
        <v>7298.4</v>
      </c>
      <c r="H27" s="231">
        <f>IF(C27=0, 0, (E27-D27)/D27)</f>
        <v>-8.714238737257499E-3</v>
      </c>
      <c r="X27" s="110">
        <v>42731</v>
      </c>
      <c r="Y27" s="9">
        <v>74.58</v>
      </c>
      <c r="Z27" s="9">
        <v>74.650000000000006</v>
      </c>
      <c r="AA27" s="9">
        <v>74.31</v>
      </c>
      <c r="AB27" s="9">
        <v>74.510000000000005</v>
      </c>
      <c r="AC27" s="104">
        <v>1217600</v>
      </c>
      <c r="AD27" s="9">
        <v>74.510000000000005</v>
      </c>
      <c r="AE27" s="2">
        <f t="shared" si="0"/>
        <v>0.34000000000000341</v>
      </c>
      <c r="AF27" s="138">
        <f t="shared" si="1"/>
        <v>-9.3858943416458285E-4</v>
      </c>
    </row>
    <row r="28" spans="1:32" x14ac:dyDescent="0.25">
      <c r="A28" s="31"/>
      <c r="B28" s="193">
        <v>42310</v>
      </c>
      <c r="C28" s="10">
        <v>170</v>
      </c>
      <c r="D28" s="40">
        <v>61.17</v>
      </c>
      <c r="E28" s="40">
        <v>61.8</v>
      </c>
      <c r="F28" s="40">
        <v>107.28</v>
      </c>
      <c r="G28" s="40">
        <f t="shared" ref="G28:G33" si="2">D28*C28</f>
        <v>10398.9</v>
      </c>
      <c r="H28" s="231">
        <f>IF(C28=0, 0, (E28-D28)/D28)</f>
        <v>1.0299166257969517E-2</v>
      </c>
      <c r="X28" s="110">
        <v>42727</v>
      </c>
      <c r="Y28" s="9">
        <v>74.48</v>
      </c>
      <c r="Z28" s="9">
        <v>74.77</v>
      </c>
      <c r="AA28" s="9">
        <v>74.319999999999993</v>
      </c>
      <c r="AB28" s="9">
        <v>74.58</v>
      </c>
      <c r="AC28" s="104">
        <v>1087600</v>
      </c>
      <c r="AD28" s="9">
        <v>74.58</v>
      </c>
      <c r="AE28" s="2">
        <f t="shared" si="0"/>
        <v>0.45000000000000284</v>
      </c>
      <c r="AF28" s="138">
        <f t="shared" si="1"/>
        <v>1.3426423200859627E-3</v>
      </c>
    </row>
    <row r="29" spans="1:32" x14ac:dyDescent="0.25">
      <c r="A29" s="31"/>
      <c r="B29" s="193">
        <v>42311</v>
      </c>
      <c r="C29" s="10">
        <v>70</v>
      </c>
      <c r="D29" s="40">
        <v>58.41</v>
      </c>
      <c r="E29" s="40">
        <v>63.16</v>
      </c>
      <c r="F29" s="40">
        <v>332.36</v>
      </c>
      <c r="G29" s="40">
        <f t="shared" si="2"/>
        <v>4088.7</v>
      </c>
      <c r="H29" s="231">
        <f>IF(C29=0, 0, (E29-D29)/D29)</f>
        <v>8.1321691491183026E-2</v>
      </c>
      <c r="X29" s="110">
        <v>42726</v>
      </c>
      <c r="Y29" s="9">
        <v>74.42</v>
      </c>
      <c r="Z29" s="9">
        <v>74.650000000000006</v>
      </c>
      <c r="AA29" s="9">
        <v>74.069999999999993</v>
      </c>
      <c r="AB29" s="9">
        <v>74.48</v>
      </c>
      <c r="AC29" s="104">
        <v>1716000</v>
      </c>
      <c r="AD29" s="9">
        <v>74.48</v>
      </c>
      <c r="AE29" s="2">
        <f t="shared" si="0"/>
        <v>0.58000000000001251</v>
      </c>
      <c r="AF29" s="138">
        <f t="shared" si="1"/>
        <v>5.3734551316497736E-4</v>
      </c>
    </row>
    <row r="30" spans="1:32" x14ac:dyDescent="0.25">
      <c r="A30" s="31"/>
      <c r="B30" s="193">
        <v>42326</v>
      </c>
      <c r="C30" s="10">
        <v>20</v>
      </c>
      <c r="D30" s="40">
        <v>45.45</v>
      </c>
      <c r="E30" s="40">
        <v>63.5</v>
      </c>
      <c r="F30" s="40">
        <v>361.1</v>
      </c>
      <c r="G30" s="40">
        <f t="shared" si="2"/>
        <v>909</v>
      </c>
      <c r="H30" s="231">
        <f>IF(C30=0, 0, (E30-D30)/D30)</f>
        <v>0.39713971397139708</v>
      </c>
      <c r="X30" s="110">
        <v>42725</v>
      </c>
      <c r="Y30" s="9">
        <v>74.48</v>
      </c>
      <c r="Z30" s="9">
        <v>74.66</v>
      </c>
      <c r="AA30" s="9">
        <v>74.31</v>
      </c>
      <c r="AB30" s="9">
        <v>74.44</v>
      </c>
      <c r="AC30" s="104">
        <v>1061100</v>
      </c>
      <c r="AD30" s="9">
        <v>74.44</v>
      </c>
      <c r="AE30" s="2">
        <f t="shared" si="0"/>
        <v>0.34999999999999432</v>
      </c>
      <c r="AF30" s="138">
        <f t="shared" si="1"/>
        <v>-5.370569280344073E-4</v>
      </c>
    </row>
    <row r="31" spans="1:32" x14ac:dyDescent="0.25">
      <c r="B31" s="193">
        <v>42342</v>
      </c>
      <c r="C31" s="10">
        <v>0</v>
      </c>
      <c r="D31" s="40">
        <v>0</v>
      </c>
      <c r="E31" s="40">
        <v>62.77</v>
      </c>
      <c r="F31" s="40">
        <v>364.08</v>
      </c>
      <c r="G31" s="40">
        <f t="shared" si="2"/>
        <v>0</v>
      </c>
      <c r="H31" s="231"/>
      <c r="I31" s="196"/>
      <c r="X31" s="110">
        <v>42724</v>
      </c>
      <c r="Y31" s="9">
        <v>74.59</v>
      </c>
      <c r="Z31" s="9">
        <v>74.72</v>
      </c>
      <c r="AA31" s="9">
        <v>74.31</v>
      </c>
      <c r="AB31" s="9">
        <v>74.48</v>
      </c>
      <c r="AC31" s="104">
        <v>1666500</v>
      </c>
      <c r="AD31" s="9">
        <v>74.48</v>
      </c>
      <c r="AE31" s="2">
        <f t="shared" si="0"/>
        <v>0.40999999999999659</v>
      </c>
      <c r="AF31" s="138">
        <f t="shared" si="1"/>
        <v>1.4790910313298156E-3</v>
      </c>
    </row>
    <row r="32" spans="1:32" x14ac:dyDescent="0.25">
      <c r="B32" s="193">
        <v>42373</v>
      </c>
      <c r="C32" s="10">
        <v>40</v>
      </c>
      <c r="D32" s="40">
        <v>50.76</v>
      </c>
      <c r="E32" s="40">
        <v>60.67</v>
      </c>
      <c r="F32" s="40">
        <v>396.48</v>
      </c>
      <c r="G32" s="40">
        <f t="shared" si="2"/>
        <v>2030.3999999999999</v>
      </c>
      <c r="H32" s="231">
        <f>IF(C32=0, 0, (E32-D32)/D32)</f>
        <v>0.19523246650906234</v>
      </c>
      <c r="X32" s="110">
        <v>42723</v>
      </c>
      <c r="Y32" s="9">
        <v>74.239999999999995</v>
      </c>
      <c r="Z32" s="9">
        <v>74.569999999999993</v>
      </c>
      <c r="AA32" s="9">
        <v>74.17</v>
      </c>
      <c r="AB32" s="9">
        <v>74.37</v>
      </c>
      <c r="AC32" s="104">
        <v>1866000</v>
      </c>
      <c r="AD32" s="9">
        <v>74.37</v>
      </c>
      <c r="AE32" s="2">
        <f t="shared" si="0"/>
        <v>0.39999999999999147</v>
      </c>
      <c r="AF32" s="138">
        <f t="shared" si="1"/>
        <v>3.5082984752394797E-3</v>
      </c>
    </row>
    <row r="33" spans="1:32" x14ac:dyDescent="0.25">
      <c r="B33" s="193">
        <v>42410</v>
      </c>
      <c r="C33" s="10">
        <v>0</v>
      </c>
      <c r="D33" s="40">
        <v>0</v>
      </c>
      <c r="E33" s="40">
        <v>0</v>
      </c>
      <c r="F33" s="40">
        <v>523.62</v>
      </c>
      <c r="G33" s="40">
        <f t="shared" si="2"/>
        <v>0</v>
      </c>
      <c r="H33" s="231"/>
      <c r="X33" s="110">
        <v>42720</v>
      </c>
      <c r="Y33" s="9">
        <v>73.78</v>
      </c>
      <c r="Z33" s="9">
        <v>74.16</v>
      </c>
      <c r="AA33" s="9">
        <v>73.540000000000006</v>
      </c>
      <c r="AB33" s="9">
        <v>74.11</v>
      </c>
      <c r="AC33" s="104">
        <v>3262500</v>
      </c>
      <c r="AD33" s="9">
        <v>74.11</v>
      </c>
      <c r="AE33" s="2">
        <f t="shared" si="0"/>
        <v>0.61999999999999034</v>
      </c>
      <c r="AF33" s="138">
        <f t="shared" si="1"/>
        <v>7.7508838727222695E-3</v>
      </c>
    </row>
    <row r="34" spans="1:32" x14ac:dyDescent="0.25">
      <c r="B34" s="10"/>
      <c r="C34" s="10"/>
      <c r="D34" s="40"/>
      <c r="E34" s="40"/>
      <c r="F34" s="40"/>
      <c r="G34" s="40"/>
      <c r="H34" s="231"/>
      <c r="X34" s="110">
        <v>42719</v>
      </c>
      <c r="Y34" s="9">
        <v>72.66</v>
      </c>
      <c r="Z34" s="9">
        <v>73.75</v>
      </c>
      <c r="AA34" s="9">
        <v>72.430000000000007</v>
      </c>
      <c r="AB34" s="9">
        <v>73.540000000000006</v>
      </c>
      <c r="AC34" s="104">
        <v>2069200</v>
      </c>
      <c r="AD34" s="9">
        <v>73.540000000000006</v>
      </c>
      <c r="AE34" s="2">
        <f t="shared" si="0"/>
        <v>1.3199999999999932</v>
      </c>
      <c r="AF34" s="138">
        <f t="shared" si="1"/>
        <v>1.2808153146949497E-2</v>
      </c>
    </row>
    <row r="35" spans="1:32" ht="20.25" thickBot="1" x14ac:dyDescent="0.35">
      <c r="B35" s="10"/>
      <c r="C35" s="10"/>
      <c r="D35" s="40"/>
      <c r="E35" s="40"/>
      <c r="F35" s="40"/>
      <c r="G35" s="40"/>
      <c r="H35" s="231"/>
      <c r="O35" s="638" t="s">
        <v>78</v>
      </c>
      <c r="P35" s="638"/>
      <c r="X35" s="110">
        <v>42718</v>
      </c>
      <c r="Y35" s="9">
        <v>72.92</v>
      </c>
      <c r="Z35" s="9">
        <v>73.33</v>
      </c>
      <c r="AA35" s="9">
        <v>72.42</v>
      </c>
      <c r="AB35" s="9">
        <v>72.61</v>
      </c>
      <c r="AC35" s="104">
        <v>2155200</v>
      </c>
      <c r="AD35" s="9">
        <v>72.61</v>
      </c>
      <c r="AE35" s="2">
        <f t="shared" si="0"/>
        <v>0.90999999999999659</v>
      </c>
      <c r="AF35" s="138">
        <f t="shared" si="1"/>
        <v>-4.3877690936515723E-3</v>
      </c>
    </row>
    <row r="36" spans="1:32" ht="15.75" thickTop="1" x14ac:dyDescent="0.25">
      <c r="B36" s="10"/>
      <c r="C36" s="10"/>
      <c r="D36" s="40"/>
      <c r="E36" s="40"/>
      <c r="F36" s="40"/>
      <c r="G36" s="40"/>
      <c r="H36" s="231"/>
      <c r="O36" s="83">
        <v>1.1000000000000001</v>
      </c>
      <c r="P36" s="83">
        <f>O36*$Q$4</f>
        <v>85.228000000000009</v>
      </c>
      <c r="Q36" s="2"/>
      <c r="X36" s="110">
        <v>42717</v>
      </c>
      <c r="Y36" s="9">
        <v>72.650000000000006</v>
      </c>
      <c r="Z36" s="9">
        <v>73.13</v>
      </c>
      <c r="AA36" s="9">
        <v>72.540000000000006</v>
      </c>
      <c r="AB36" s="9">
        <v>72.930000000000007</v>
      </c>
      <c r="AC36" s="104">
        <v>2585900</v>
      </c>
      <c r="AD36" s="9">
        <v>72.930000000000007</v>
      </c>
      <c r="AE36" s="2">
        <f t="shared" si="0"/>
        <v>0.5899999999999892</v>
      </c>
      <c r="AF36" s="138">
        <f t="shared" si="1"/>
        <v>1.5105740181271532E-3</v>
      </c>
    </row>
    <row r="37" spans="1:32" ht="15" customHeight="1" x14ac:dyDescent="0.25">
      <c r="B37" s="10"/>
      <c r="C37" s="10"/>
      <c r="D37" s="40"/>
      <c r="E37" s="40"/>
      <c r="F37" s="40"/>
      <c r="G37" s="40"/>
      <c r="H37" s="231"/>
      <c r="O37" s="83">
        <v>1.0900000000000001</v>
      </c>
      <c r="P37" s="83">
        <f t="shared" ref="P37:P56" si="3">O37*$Q$4</f>
        <v>84.45320000000001</v>
      </c>
      <c r="Q37" s="2"/>
      <c r="X37" s="110">
        <v>42716</v>
      </c>
      <c r="Y37" s="9">
        <v>72.44</v>
      </c>
      <c r="Z37" s="9">
        <v>72.95</v>
      </c>
      <c r="AA37" s="9">
        <v>72.3</v>
      </c>
      <c r="AB37" s="9">
        <v>72.819999999999993</v>
      </c>
      <c r="AC37" s="104">
        <v>1974400</v>
      </c>
      <c r="AD37" s="9">
        <v>72.819999999999993</v>
      </c>
      <c r="AE37" s="2">
        <f t="shared" si="0"/>
        <v>0.65000000000000568</v>
      </c>
      <c r="AF37" s="138">
        <f t="shared" si="1"/>
        <v>4.8295846557195876E-3</v>
      </c>
    </row>
    <row r="38" spans="1:32" x14ac:dyDescent="0.25">
      <c r="B38" s="10"/>
      <c r="C38" s="10"/>
      <c r="D38" s="40"/>
      <c r="E38" s="40"/>
      <c r="F38" s="40"/>
      <c r="G38" s="40"/>
      <c r="H38" s="231"/>
      <c r="O38" s="83">
        <v>1.08</v>
      </c>
      <c r="P38" s="83">
        <f t="shared" si="3"/>
        <v>83.678400000000011</v>
      </c>
      <c r="Q38" s="2"/>
      <c r="X38" s="110">
        <v>42713</v>
      </c>
      <c r="Y38" s="9">
        <v>71.77</v>
      </c>
      <c r="Z38" s="9">
        <v>72.5</v>
      </c>
      <c r="AA38" s="9">
        <v>71.510000000000005</v>
      </c>
      <c r="AB38" s="9">
        <v>72.47</v>
      </c>
      <c r="AC38" s="104">
        <v>2168600</v>
      </c>
      <c r="AD38" s="9">
        <v>72.47</v>
      </c>
      <c r="AE38" s="2">
        <f t="shared" si="0"/>
        <v>0.98999999999999488</v>
      </c>
      <c r="AF38" s="138">
        <f t="shared" si="1"/>
        <v>1.1162271522254796E-2</v>
      </c>
    </row>
    <row r="39" spans="1:32" ht="20.25" thickBot="1" x14ac:dyDescent="0.35">
      <c r="O39" s="83">
        <v>1.07</v>
      </c>
      <c r="P39" s="83">
        <f t="shared" si="3"/>
        <v>82.903600000000012</v>
      </c>
      <c r="Q39" s="2"/>
      <c r="T39" s="112" t="s">
        <v>92</v>
      </c>
      <c r="U39" s="2"/>
      <c r="X39" s="110">
        <v>42712</v>
      </c>
      <c r="Y39" s="9">
        <v>71.77</v>
      </c>
      <c r="Z39" s="9">
        <v>71.98</v>
      </c>
      <c r="AA39" s="9">
        <v>71.17</v>
      </c>
      <c r="AB39" s="9">
        <v>71.67</v>
      </c>
      <c r="AC39" s="104">
        <v>1985200</v>
      </c>
      <c r="AD39" s="9">
        <v>71.67</v>
      </c>
      <c r="AE39" s="2">
        <f t="shared" si="0"/>
        <v>0.81000000000000227</v>
      </c>
      <c r="AF39" s="138">
        <f t="shared" si="1"/>
        <v>2.7913468248419449E-4</v>
      </c>
    </row>
    <row r="40" spans="1:32" ht="15.75" thickTop="1" x14ac:dyDescent="0.25">
      <c r="L40" t="s">
        <v>213</v>
      </c>
      <c r="M40" s="2">
        <f>K56+M56-F56</f>
        <v>523.61999999999898</v>
      </c>
      <c r="O40" s="83">
        <v>1.06</v>
      </c>
      <c r="P40" s="83">
        <f t="shared" si="3"/>
        <v>82.128800000000012</v>
      </c>
      <c r="Q40" s="2"/>
      <c r="T40" s="113" t="s">
        <v>98</v>
      </c>
      <c r="U40" s="106">
        <v>75.239999999999995</v>
      </c>
      <c r="X40" s="110">
        <v>42711</v>
      </c>
      <c r="Y40" s="9">
        <v>71.13</v>
      </c>
      <c r="Z40" s="9">
        <v>71.75</v>
      </c>
      <c r="AA40" s="9">
        <v>70.73</v>
      </c>
      <c r="AB40" s="9">
        <v>71.650000000000006</v>
      </c>
      <c r="AC40" s="104">
        <v>1823100</v>
      </c>
      <c r="AD40" s="9">
        <v>71.650000000000006</v>
      </c>
      <c r="AE40" s="2">
        <f t="shared" si="0"/>
        <v>1.019999999999996</v>
      </c>
      <c r="AF40" s="138">
        <f t="shared" si="1"/>
        <v>9.866102889358741E-3</v>
      </c>
    </row>
    <row r="41" spans="1:32" x14ac:dyDescent="0.25">
      <c r="A41" s="11" t="s">
        <v>1</v>
      </c>
      <c r="B41" s="11" t="s">
        <v>2</v>
      </c>
      <c r="C41" s="11" t="s">
        <v>4</v>
      </c>
      <c r="D41" s="21" t="s">
        <v>5</v>
      </c>
      <c r="E41" s="21" t="s">
        <v>94</v>
      </c>
      <c r="F41" s="21" t="s">
        <v>60</v>
      </c>
      <c r="G41" s="11" t="s">
        <v>3</v>
      </c>
      <c r="H41" s="11" t="s">
        <v>6</v>
      </c>
      <c r="I41" s="21" t="s">
        <v>7</v>
      </c>
      <c r="J41" s="21" t="s">
        <v>95</v>
      </c>
      <c r="K41" s="21" t="s">
        <v>61</v>
      </c>
      <c r="L41" s="11" t="s">
        <v>77</v>
      </c>
      <c r="M41" s="21" t="s">
        <v>38</v>
      </c>
      <c r="O41" s="83">
        <v>1.05</v>
      </c>
      <c r="P41" s="83">
        <f t="shared" si="3"/>
        <v>81.354000000000013</v>
      </c>
      <c r="Q41" s="2"/>
      <c r="T41" s="113" t="s">
        <v>99</v>
      </c>
      <c r="U41" s="106">
        <v>76.739999999999995</v>
      </c>
      <c r="X41" s="110">
        <v>42710</v>
      </c>
      <c r="Y41" s="9">
        <v>70.58</v>
      </c>
      <c r="Z41" s="9">
        <v>70.97</v>
      </c>
      <c r="AA41" s="9">
        <v>70.45</v>
      </c>
      <c r="AB41" s="9">
        <v>70.95</v>
      </c>
      <c r="AC41" s="104">
        <v>2271600</v>
      </c>
      <c r="AD41" s="9">
        <v>70.95</v>
      </c>
      <c r="AE41" s="2">
        <f t="shared" si="0"/>
        <v>0.51999999999999602</v>
      </c>
      <c r="AF41" s="138">
        <f t="shared" si="1"/>
        <v>8.3854462762933402E-3</v>
      </c>
    </row>
    <row r="42" spans="1:32" x14ac:dyDescent="0.25">
      <c r="A42" s="6" t="s">
        <v>45</v>
      </c>
      <c r="B42" s="1">
        <v>42185</v>
      </c>
      <c r="C42" s="7">
        <v>10</v>
      </c>
      <c r="D42" s="44">
        <v>65.45</v>
      </c>
      <c r="E42" s="44">
        <v>0</v>
      </c>
      <c r="F42" s="44">
        <f t="shared" ref="F42:F51" si="4">C42*D42</f>
        <v>654.5</v>
      </c>
      <c r="G42" s="1">
        <v>42226</v>
      </c>
      <c r="H42" s="7">
        <v>30</v>
      </c>
      <c r="I42" s="44">
        <v>62.9</v>
      </c>
      <c r="J42" s="44">
        <v>0.03</v>
      </c>
      <c r="K42" s="44">
        <f t="shared" ref="K42:K48" si="5">H42*I42-J42</f>
        <v>1886.97</v>
      </c>
      <c r="L42" s="1">
        <v>42278</v>
      </c>
      <c r="M42" s="2">
        <v>30</v>
      </c>
      <c r="O42" s="83">
        <v>1.04</v>
      </c>
      <c r="P42" s="83">
        <f t="shared" si="3"/>
        <v>80.5792</v>
      </c>
      <c r="Q42" s="2"/>
      <c r="T42" s="113" t="s">
        <v>100</v>
      </c>
      <c r="U42" s="106" t="s">
        <v>129</v>
      </c>
      <c r="X42" s="110">
        <v>42709</v>
      </c>
      <c r="Y42" s="9">
        <v>70.84</v>
      </c>
      <c r="Z42" s="9">
        <v>70.95</v>
      </c>
      <c r="AA42" s="9">
        <v>70.22</v>
      </c>
      <c r="AB42" s="9">
        <v>70.36</v>
      </c>
      <c r="AC42" s="104">
        <v>2758700</v>
      </c>
      <c r="AD42" s="9">
        <v>70.36</v>
      </c>
      <c r="AE42" s="2">
        <f t="shared" si="0"/>
        <v>0.73000000000000398</v>
      </c>
      <c r="AF42" s="138">
        <f t="shared" si="1"/>
        <v>-3.54057498937832E-3</v>
      </c>
    </row>
    <row r="43" spans="1:32" x14ac:dyDescent="0.25">
      <c r="A43" s="23" t="s">
        <v>71</v>
      </c>
      <c r="B43" s="1">
        <v>42223</v>
      </c>
      <c r="C43" s="7">
        <v>20</v>
      </c>
      <c r="D43" s="44">
        <v>63.52</v>
      </c>
      <c r="E43" s="44">
        <v>0</v>
      </c>
      <c r="F43" s="44">
        <f t="shared" si="4"/>
        <v>1270.4000000000001</v>
      </c>
      <c r="G43" s="1">
        <v>42235</v>
      </c>
      <c r="H43" s="7">
        <v>30</v>
      </c>
      <c r="I43" s="44">
        <v>63.59</v>
      </c>
      <c r="J43" s="44">
        <v>0.04</v>
      </c>
      <c r="K43" s="44">
        <f t="shared" si="5"/>
        <v>1907.66</v>
      </c>
      <c r="L43" s="1">
        <v>42373</v>
      </c>
      <c r="M43" s="2">
        <v>6</v>
      </c>
      <c r="O43" s="83">
        <v>1.03</v>
      </c>
      <c r="P43" s="83">
        <f t="shared" si="3"/>
        <v>79.804400000000001</v>
      </c>
      <c r="Q43" s="2"/>
      <c r="T43" s="113" t="s">
        <v>101</v>
      </c>
      <c r="U43" s="106" t="s">
        <v>129</v>
      </c>
      <c r="X43" s="110">
        <v>42706</v>
      </c>
      <c r="Y43" s="9">
        <v>70.430000000000007</v>
      </c>
      <c r="Z43" s="9">
        <v>70.78</v>
      </c>
      <c r="AA43" s="9">
        <v>70.260000000000005</v>
      </c>
      <c r="AB43" s="9">
        <v>70.61</v>
      </c>
      <c r="AC43" s="104">
        <v>1899000</v>
      </c>
      <c r="AD43" s="9">
        <v>70.61</v>
      </c>
      <c r="AE43" s="2">
        <f t="shared" si="0"/>
        <v>0.51999999999999602</v>
      </c>
      <c r="AF43" s="138">
        <f t="shared" si="1"/>
        <v>3.6958066808814305E-3</v>
      </c>
    </row>
    <row r="44" spans="1:32" x14ac:dyDescent="0.25">
      <c r="B44" s="1">
        <v>42223</v>
      </c>
      <c r="C44" s="7">
        <v>40</v>
      </c>
      <c r="D44" s="44">
        <v>62.45</v>
      </c>
      <c r="E44" s="44">
        <v>0</v>
      </c>
      <c r="F44" s="44">
        <f t="shared" si="4"/>
        <v>2498</v>
      </c>
      <c r="G44" s="1">
        <v>42284</v>
      </c>
      <c r="H44" s="82">
        <v>50</v>
      </c>
      <c r="I44" s="44">
        <v>59.05</v>
      </c>
      <c r="J44" s="44">
        <v>0.05</v>
      </c>
      <c r="K44" s="44">
        <f t="shared" si="5"/>
        <v>2952.45</v>
      </c>
      <c r="O44" s="83">
        <v>1.02</v>
      </c>
      <c r="P44" s="83">
        <f t="shared" si="3"/>
        <v>79.029600000000002</v>
      </c>
      <c r="Q44" s="2"/>
      <c r="T44" s="113" t="s">
        <v>102</v>
      </c>
      <c r="U44" s="106">
        <v>79.5</v>
      </c>
      <c r="X44" s="110">
        <v>42705</v>
      </c>
      <c r="Y44" s="9">
        <v>69.95</v>
      </c>
      <c r="Z44" s="9">
        <v>70.38</v>
      </c>
      <c r="AA44" s="9">
        <v>69.760000000000005</v>
      </c>
      <c r="AB44" s="9">
        <v>70.349999999999994</v>
      </c>
      <c r="AC44" s="104">
        <v>2329000</v>
      </c>
      <c r="AD44" s="9">
        <v>70.349999999999994</v>
      </c>
      <c r="AE44" s="2">
        <f t="shared" si="0"/>
        <v>0.61999999999999034</v>
      </c>
      <c r="AF44" s="138">
        <f t="shared" si="1"/>
        <v>6.1498855835240285E-3</v>
      </c>
    </row>
    <row r="45" spans="1:32" x14ac:dyDescent="0.25">
      <c r="B45" s="1">
        <v>42223</v>
      </c>
      <c r="C45" s="7">
        <v>30</v>
      </c>
      <c r="D45" s="44">
        <v>62</v>
      </c>
      <c r="E45" s="44">
        <v>0</v>
      </c>
      <c r="F45" s="44">
        <f t="shared" si="4"/>
        <v>1860</v>
      </c>
      <c r="G45" s="1">
        <v>42314</v>
      </c>
      <c r="H45" s="82">
        <v>100</v>
      </c>
      <c r="I45" s="44">
        <v>63.1</v>
      </c>
      <c r="J45" s="44">
        <v>0.12</v>
      </c>
      <c r="K45" s="44">
        <f t="shared" si="5"/>
        <v>6309.88</v>
      </c>
      <c r="O45" s="83">
        <v>1.01</v>
      </c>
      <c r="P45" s="83">
        <f t="shared" si="3"/>
        <v>78.254800000000003</v>
      </c>
      <c r="Q45" s="2"/>
      <c r="T45" s="113" t="s">
        <v>103</v>
      </c>
      <c r="U45" s="106">
        <v>0.99664200000000003</v>
      </c>
      <c r="X45" s="110">
        <v>42704</v>
      </c>
      <c r="Y45" s="9">
        <v>70.08</v>
      </c>
      <c r="Z45" s="9">
        <v>70.58</v>
      </c>
      <c r="AA45" s="9">
        <v>69.48</v>
      </c>
      <c r="AB45" s="9">
        <v>69.92</v>
      </c>
      <c r="AC45" s="104">
        <v>5746300</v>
      </c>
      <c r="AD45" s="9">
        <v>69.92</v>
      </c>
      <c r="AE45" s="2">
        <f t="shared" si="0"/>
        <v>1.0999999999999943</v>
      </c>
      <c r="AF45" s="138">
        <f t="shared" si="1"/>
        <v>4.164871463449682E-3</v>
      </c>
    </row>
    <row r="46" spans="1:32" x14ac:dyDescent="0.25">
      <c r="B46" s="1">
        <v>42223</v>
      </c>
      <c r="C46" s="7">
        <v>30</v>
      </c>
      <c r="D46" s="44">
        <v>62.98</v>
      </c>
      <c r="E46" s="44">
        <v>0</v>
      </c>
      <c r="F46" s="44">
        <f t="shared" si="4"/>
        <v>1889.3999999999999</v>
      </c>
      <c r="G46" s="1">
        <v>42331</v>
      </c>
      <c r="H46" s="82">
        <v>50</v>
      </c>
      <c r="I46" s="44">
        <v>63.6</v>
      </c>
      <c r="J46" s="44">
        <v>0.06</v>
      </c>
      <c r="K46" s="44">
        <f t="shared" si="5"/>
        <v>3179.94</v>
      </c>
      <c r="O46" s="83">
        <v>1</v>
      </c>
      <c r="P46" s="83">
        <f t="shared" si="3"/>
        <v>77.48</v>
      </c>
      <c r="Q46" s="2"/>
      <c r="T46" s="113" t="s">
        <v>104</v>
      </c>
      <c r="U46" s="106" t="s">
        <v>129</v>
      </c>
      <c r="X46" s="110">
        <v>42703</v>
      </c>
      <c r="Y46" s="9">
        <v>71.290000000000006</v>
      </c>
      <c r="Z46" s="9">
        <v>71.64</v>
      </c>
      <c r="AA46" s="9">
        <v>69.040000000000006</v>
      </c>
      <c r="AB46" s="9">
        <v>69.63</v>
      </c>
      <c r="AC46" s="104">
        <v>6661500</v>
      </c>
      <c r="AD46" s="9">
        <v>69.63</v>
      </c>
      <c r="AE46" s="2">
        <f t="shared" si="0"/>
        <v>2.5999999999999943</v>
      </c>
      <c r="AF46" s="138">
        <f t="shared" si="1"/>
        <v>-3.3453636868406633E-2</v>
      </c>
    </row>
    <row r="47" spans="1:32" x14ac:dyDescent="0.25">
      <c r="B47" s="1">
        <v>42223</v>
      </c>
      <c r="C47" s="7">
        <v>30</v>
      </c>
      <c r="D47" s="44">
        <v>61.3</v>
      </c>
      <c r="E47" s="44">
        <v>0</v>
      </c>
      <c r="F47" s="44">
        <f t="shared" si="4"/>
        <v>1839</v>
      </c>
      <c r="G47" s="1">
        <v>42347</v>
      </c>
      <c r="H47" s="82">
        <v>20</v>
      </c>
      <c r="I47" s="44">
        <v>63.65</v>
      </c>
      <c r="J47" s="44">
        <v>0.02</v>
      </c>
      <c r="K47" s="44">
        <f t="shared" si="5"/>
        <v>1272.98</v>
      </c>
      <c r="O47" s="83">
        <v>0.99</v>
      </c>
      <c r="P47" s="83">
        <f t="shared" si="3"/>
        <v>76.705200000000005</v>
      </c>
      <c r="Q47" s="2"/>
      <c r="T47" s="113"/>
      <c r="U47" s="106"/>
      <c r="X47" s="110">
        <v>42702</v>
      </c>
      <c r="Y47" s="9">
        <v>71.98</v>
      </c>
      <c r="Z47" s="9">
        <v>72.22</v>
      </c>
      <c r="AA47" s="9">
        <v>71.88</v>
      </c>
      <c r="AB47" s="9">
        <v>72.040000000000006</v>
      </c>
      <c r="AC47" s="104">
        <v>2017700</v>
      </c>
      <c r="AD47" s="9">
        <v>72.040000000000006</v>
      </c>
      <c r="AE47" s="2">
        <f t="shared" si="0"/>
        <v>0.34000000000000341</v>
      </c>
      <c r="AF47" s="138" t="e">
        <f t="shared" si="1"/>
        <v>#DIV/0!</v>
      </c>
    </row>
    <row r="48" spans="1:32" x14ac:dyDescent="0.25">
      <c r="B48" s="1">
        <v>42270</v>
      </c>
      <c r="C48" s="7">
        <v>50</v>
      </c>
      <c r="D48" s="44">
        <v>58.15</v>
      </c>
      <c r="E48" s="44">
        <v>0</v>
      </c>
      <c r="F48" s="44">
        <f t="shared" si="4"/>
        <v>2907.5</v>
      </c>
      <c r="G48" s="1">
        <v>42410</v>
      </c>
      <c r="H48" s="82">
        <v>40</v>
      </c>
      <c r="I48" s="44">
        <v>63.85</v>
      </c>
      <c r="J48" s="44">
        <v>0.06</v>
      </c>
      <c r="K48" s="44">
        <f t="shared" si="5"/>
        <v>2553.94</v>
      </c>
      <c r="O48" s="83">
        <v>0.98</v>
      </c>
      <c r="P48" s="83">
        <f t="shared" si="3"/>
        <v>75.930400000000006</v>
      </c>
      <c r="Q48" s="2"/>
      <c r="T48" s="113" t="s">
        <v>105</v>
      </c>
      <c r="U48" s="106" t="s">
        <v>636</v>
      </c>
      <c r="X48" s="110">
        <v>42702</v>
      </c>
      <c r="Y48" s="9" t="s">
        <v>223</v>
      </c>
      <c r="Z48" s="9"/>
      <c r="AA48" s="9"/>
      <c r="AB48" s="9"/>
      <c r="AC48" s="104"/>
      <c r="AD48" s="9"/>
      <c r="AE48" s="2">
        <f t="shared" si="0"/>
        <v>0</v>
      </c>
      <c r="AF48" s="138">
        <f t="shared" si="1"/>
        <v>-1</v>
      </c>
    </row>
    <row r="49" spans="1:32" x14ac:dyDescent="0.25">
      <c r="B49" s="1">
        <v>42282</v>
      </c>
      <c r="C49" s="7">
        <v>20</v>
      </c>
      <c r="D49" s="44">
        <v>57.85</v>
      </c>
      <c r="E49" s="44">
        <v>0</v>
      </c>
      <c r="F49" s="44">
        <f t="shared" si="4"/>
        <v>1157</v>
      </c>
      <c r="G49" s="2"/>
      <c r="H49" s="72"/>
      <c r="O49" s="83">
        <v>0.97</v>
      </c>
      <c r="P49" s="83">
        <f t="shared" si="3"/>
        <v>75.155600000000007</v>
      </c>
      <c r="T49" s="113" t="s">
        <v>106</v>
      </c>
      <c r="U49" s="106" t="s">
        <v>637</v>
      </c>
      <c r="X49" s="110">
        <v>42699</v>
      </c>
      <c r="Y49" s="9">
        <v>72.38</v>
      </c>
      <c r="Z49" s="9">
        <v>72.58</v>
      </c>
      <c r="AA49" s="9">
        <v>72.13</v>
      </c>
      <c r="AB49" s="9">
        <v>72.38</v>
      </c>
      <c r="AC49" s="104">
        <v>1970600</v>
      </c>
      <c r="AD49" s="9">
        <v>72.05</v>
      </c>
      <c r="AE49" s="2">
        <f t="shared" si="0"/>
        <v>0.45000000000000284</v>
      </c>
      <c r="AF49" s="138">
        <f t="shared" si="1"/>
        <v>-2.7750797835435215E-4</v>
      </c>
    </row>
    <row r="50" spans="1:32" x14ac:dyDescent="0.25">
      <c r="B50" s="1">
        <v>42313</v>
      </c>
      <c r="C50" s="7">
        <v>50</v>
      </c>
      <c r="D50" s="44">
        <v>62</v>
      </c>
      <c r="E50" s="44">
        <v>0</v>
      </c>
      <c r="F50" s="44">
        <f t="shared" si="4"/>
        <v>3100</v>
      </c>
      <c r="H50" s="72"/>
      <c r="O50" s="83">
        <v>0.96</v>
      </c>
      <c r="P50" s="83">
        <f t="shared" si="3"/>
        <v>74.380800000000008</v>
      </c>
      <c r="T50" s="113" t="s">
        <v>107</v>
      </c>
      <c r="U50" s="107">
        <v>3883196</v>
      </c>
      <c r="X50" s="110">
        <v>42697</v>
      </c>
      <c r="Y50" s="9">
        <v>72.459999999999994</v>
      </c>
      <c r="Z50" s="9">
        <v>72.72</v>
      </c>
      <c r="AA50" s="9">
        <v>72.14</v>
      </c>
      <c r="AB50" s="9">
        <v>72.400000000000006</v>
      </c>
      <c r="AC50" s="104">
        <v>1852800</v>
      </c>
      <c r="AD50" s="9">
        <v>72.069999999999993</v>
      </c>
      <c r="AE50" s="2">
        <f t="shared" si="0"/>
        <v>0.57999999999999829</v>
      </c>
      <c r="AF50" s="138">
        <f t="shared" si="1"/>
        <v>4.1643531371438058E-4</v>
      </c>
    </row>
    <row r="51" spans="1:32" x14ac:dyDescent="0.25">
      <c r="B51" s="1">
        <v>42373</v>
      </c>
      <c r="C51" s="7">
        <v>40</v>
      </c>
      <c r="D51" s="44">
        <v>60.01</v>
      </c>
      <c r="E51" s="44">
        <v>0</v>
      </c>
      <c r="F51" s="44">
        <f t="shared" si="4"/>
        <v>2400.4</v>
      </c>
      <c r="O51" s="83">
        <v>0.95</v>
      </c>
      <c r="P51" s="83">
        <f t="shared" si="3"/>
        <v>73.605999999999995</v>
      </c>
      <c r="T51" s="113" t="s">
        <v>110</v>
      </c>
      <c r="U51" s="107">
        <v>2262100</v>
      </c>
      <c r="X51" s="110">
        <v>42696</v>
      </c>
      <c r="Y51" s="9">
        <v>72.19</v>
      </c>
      <c r="Z51" s="9">
        <v>72.680000000000007</v>
      </c>
      <c r="AA51" s="9">
        <v>71.92</v>
      </c>
      <c r="AB51" s="9">
        <v>72.37</v>
      </c>
      <c r="AC51" s="104">
        <v>3863800</v>
      </c>
      <c r="AD51" s="9">
        <v>72.040000000000006</v>
      </c>
      <c r="AE51" s="2">
        <f t="shared" si="0"/>
        <v>0.76000000000000512</v>
      </c>
      <c r="AF51" s="138">
        <f t="shared" si="1"/>
        <v>2.6443980514962995E-3</v>
      </c>
    </row>
    <row r="52" spans="1:32" x14ac:dyDescent="0.25">
      <c r="O52" s="83">
        <v>0.94</v>
      </c>
      <c r="P52" s="83">
        <f t="shared" si="3"/>
        <v>72.831199999999995</v>
      </c>
      <c r="T52" s="113" t="s">
        <v>108</v>
      </c>
      <c r="U52" s="106" t="s">
        <v>638</v>
      </c>
      <c r="X52" s="110">
        <v>42695</v>
      </c>
      <c r="Y52" s="9">
        <v>72.06</v>
      </c>
      <c r="Z52" s="9">
        <v>72.39</v>
      </c>
      <c r="AA52" s="9">
        <v>71.73</v>
      </c>
      <c r="AB52" s="9">
        <v>72.180000000000007</v>
      </c>
      <c r="AC52" s="104">
        <v>2651400</v>
      </c>
      <c r="AD52" s="9">
        <v>71.849999999999994</v>
      </c>
      <c r="AE52" s="2">
        <f t="shared" si="0"/>
        <v>0.65999999999999659</v>
      </c>
      <c r="AF52" s="138">
        <f t="shared" si="1"/>
        <v>2.2318314967220143E-3</v>
      </c>
    </row>
    <row r="53" spans="1:32" x14ac:dyDescent="0.25">
      <c r="O53" s="83">
        <v>0.93</v>
      </c>
      <c r="P53" s="83">
        <f t="shared" si="3"/>
        <v>72.056400000000011</v>
      </c>
      <c r="T53" s="113" t="s">
        <v>111</v>
      </c>
      <c r="U53" s="106">
        <v>20.96</v>
      </c>
      <c r="X53" s="110">
        <v>42692</v>
      </c>
      <c r="Y53" s="9">
        <v>71.8</v>
      </c>
      <c r="Z53" s="9">
        <v>72.2</v>
      </c>
      <c r="AA53" s="9">
        <v>71.41</v>
      </c>
      <c r="AB53" s="9">
        <v>72.02</v>
      </c>
      <c r="AC53" s="104">
        <v>2998300</v>
      </c>
      <c r="AD53" s="9">
        <v>71.69</v>
      </c>
      <c r="AE53" s="2">
        <f t="shared" si="0"/>
        <v>0.79000000000000625</v>
      </c>
      <c r="AF53" s="138">
        <f t="shared" si="1"/>
        <v>3.3589923023091828E-3</v>
      </c>
    </row>
    <row r="54" spans="1:32" x14ac:dyDescent="0.25">
      <c r="O54" s="83">
        <v>0.92</v>
      </c>
      <c r="P54" s="83">
        <f t="shared" si="3"/>
        <v>71.281600000000012</v>
      </c>
      <c r="T54" s="113" t="s">
        <v>112</v>
      </c>
      <c r="U54" s="106">
        <v>3.69</v>
      </c>
      <c r="X54" s="110">
        <v>42691</v>
      </c>
      <c r="Y54" s="9">
        <v>70.62</v>
      </c>
      <c r="Z54" s="9">
        <v>71.790000000000006</v>
      </c>
      <c r="AA54" s="9">
        <v>70.47</v>
      </c>
      <c r="AB54" s="9">
        <v>71.78</v>
      </c>
      <c r="AC54" s="104">
        <v>2792300</v>
      </c>
      <c r="AD54" s="9">
        <v>71.45</v>
      </c>
      <c r="AE54" s="2">
        <f t="shared" si="0"/>
        <v>1.3200000000000074</v>
      </c>
      <c r="AF54" s="138">
        <f t="shared" si="1"/>
        <v>1.4914772727272707E-2</v>
      </c>
    </row>
    <row r="55" spans="1:32" x14ac:dyDescent="0.25">
      <c r="O55" s="83">
        <v>0.91</v>
      </c>
      <c r="P55" s="83">
        <f t="shared" si="3"/>
        <v>70.506800000000013</v>
      </c>
      <c r="T55" s="113" t="s">
        <v>109</v>
      </c>
      <c r="U55" s="106" t="s">
        <v>639</v>
      </c>
      <c r="X55" s="110">
        <v>42690</v>
      </c>
      <c r="Y55" s="9">
        <v>71</v>
      </c>
      <c r="Z55" s="9">
        <v>71.08</v>
      </c>
      <c r="AA55" s="9">
        <v>70.099999999999994</v>
      </c>
      <c r="AB55" s="9">
        <v>70.72</v>
      </c>
      <c r="AC55" s="104">
        <v>2453700</v>
      </c>
      <c r="AD55" s="9">
        <v>70.400000000000006</v>
      </c>
      <c r="AE55" s="2">
        <f t="shared" si="0"/>
        <v>0.98000000000000398</v>
      </c>
      <c r="AF55" s="138">
        <f t="shared" si="1"/>
        <v>-8.0315626320979217E-3</v>
      </c>
    </row>
    <row r="56" spans="1:32" x14ac:dyDescent="0.25">
      <c r="A56" s="32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3">
        <v>0.9</v>
      </c>
      <c r="P56" s="83">
        <f t="shared" si="3"/>
        <v>69.731999999999999</v>
      </c>
      <c r="X56" s="110">
        <v>42689</v>
      </c>
      <c r="Y56" s="9">
        <v>70.459999999999994</v>
      </c>
      <c r="Z56" s="9">
        <v>71.41</v>
      </c>
      <c r="AA56" s="9">
        <v>70.319999999999993</v>
      </c>
      <c r="AB56" s="9">
        <v>71.3</v>
      </c>
      <c r="AC56" s="104">
        <v>3334400</v>
      </c>
      <c r="AD56" s="9">
        <v>70.97</v>
      </c>
      <c r="AE56" s="2">
        <f t="shared" si="0"/>
        <v>1.0900000000000034</v>
      </c>
      <c r="AF56" s="138">
        <f t="shared" si="1"/>
        <v>8.5263606650560764E-3</v>
      </c>
    </row>
    <row r="57" spans="1:32" x14ac:dyDescent="0.25">
      <c r="X57" s="110">
        <v>42688</v>
      </c>
      <c r="Y57" s="9">
        <v>69.760000000000005</v>
      </c>
      <c r="Z57" s="9">
        <v>70.87</v>
      </c>
      <c r="AA57" s="9">
        <v>69.599999999999994</v>
      </c>
      <c r="AB57" s="9">
        <v>70.69</v>
      </c>
      <c r="AC57" s="104">
        <v>2673100</v>
      </c>
      <c r="AD57" s="9">
        <v>70.37</v>
      </c>
      <c r="AE57" s="2">
        <f t="shared" si="0"/>
        <v>1.2700000000000102</v>
      </c>
      <c r="AF57" s="138">
        <f t="shared" si="1"/>
        <v>1.5147143681477404E-2</v>
      </c>
    </row>
    <row r="58" spans="1:32" x14ac:dyDescent="0.25">
      <c r="X58" s="110">
        <v>42685</v>
      </c>
      <c r="Y58" s="9">
        <v>69.319999999999993</v>
      </c>
      <c r="Z58" s="9">
        <v>69.75</v>
      </c>
      <c r="AA58" s="9">
        <v>68.92</v>
      </c>
      <c r="AB58" s="9">
        <v>69.64</v>
      </c>
      <c r="AC58" s="104">
        <v>2270000</v>
      </c>
      <c r="AD58" s="9">
        <v>69.319999999999993</v>
      </c>
      <c r="AE58" s="2">
        <f t="shared" si="0"/>
        <v>0.82999999999999829</v>
      </c>
      <c r="AF58" s="138">
        <f t="shared" si="1"/>
        <v>2.748444958773355E-3</v>
      </c>
    </row>
    <row r="59" spans="1:32" x14ac:dyDescent="0.25">
      <c r="X59" s="110">
        <v>42684</v>
      </c>
      <c r="Y59" s="9">
        <v>68.92</v>
      </c>
      <c r="Z59" s="9">
        <v>69.459999999999994</v>
      </c>
      <c r="AA59" s="9">
        <v>68.13</v>
      </c>
      <c r="AB59" s="9">
        <v>69.45</v>
      </c>
      <c r="AC59" s="104">
        <v>3288200</v>
      </c>
      <c r="AD59" s="9">
        <v>69.13</v>
      </c>
      <c r="AE59" s="2">
        <f t="shared" si="0"/>
        <v>1.3299999999999983</v>
      </c>
      <c r="AF59" s="138">
        <f t="shared" si="1"/>
        <v>1.871500147362215E-2</v>
      </c>
    </row>
    <row r="60" spans="1:32" x14ac:dyDescent="0.25">
      <c r="X60" s="110">
        <v>42683</v>
      </c>
      <c r="Y60" s="9">
        <v>67.650000000000006</v>
      </c>
      <c r="Z60" s="9">
        <v>68.510000000000005</v>
      </c>
      <c r="AA60" s="9">
        <v>67.290000000000006</v>
      </c>
      <c r="AB60" s="9">
        <v>68.17</v>
      </c>
      <c r="AC60" s="104">
        <v>3230800</v>
      </c>
      <c r="AD60" s="9">
        <v>67.86</v>
      </c>
      <c r="AE60" s="2">
        <f t="shared" si="0"/>
        <v>1.2199999999999989</v>
      </c>
      <c r="AF60" s="138">
        <f t="shared" si="1"/>
        <v>8.7706258361825995E-3</v>
      </c>
    </row>
    <row r="61" spans="1:32" x14ac:dyDescent="0.25">
      <c r="X61" s="110">
        <v>42682</v>
      </c>
      <c r="Y61" s="9">
        <v>66.66</v>
      </c>
      <c r="Z61" s="9">
        <v>67.739999999999995</v>
      </c>
      <c r="AA61" s="9">
        <v>66.66</v>
      </c>
      <c r="AB61" s="9">
        <v>67.58</v>
      </c>
      <c r="AC61" s="104">
        <v>2373900</v>
      </c>
      <c r="AD61" s="9">
        <v>67.27</v>
      </c>
      <c r="AE61" s="2">
        <f t="shared" si="0"/>
        <v>1.0799999999999983</v>
      </c>
      <c r="AF61" s="138">
        <f t="shared" si="1"/>
        <v>1.0667067307692291E-2</v>
      </c>
    </row>
    <row r="62" spans="1:32" x14ac:dyDescent="0.25">
      <c r="X62" s="110">
        <v>42681</v>
      </c>
      <c r="Y62" s="9">
        <v>67.41</v>
      </c>
      <c r="Z62" s="9">
        <v>67.53</v>
      </c>
      <c r="AA62" s="9">
        <v>66.55</v>
      </c>
      <c r="AB62" s="9">
        <v>66.86</v>
      </c>
      <c r="AC62" s="104">
        <v>3430600</v>
      </c>
      <c r="AD62" s="9">
        <v>66.56</v>
      </c>
      <c r="AE62" s="2">
        <f t="shared" si="0"/>
        <v>0.98000000000000398</v>
      </c>
      <c r="AF62" s="138">
        <f t="shared" si="1"/>
        <v>2.1077988557662852E-3</v>
      </c>
    </row>
    <row r="63" spans="1:32" x14ac:dyDescent="0.25">
      <c r="X63" s="110">
        <v>42678</v>
      </c>
      <c r="Y63" s="9">
        <v>68</v>
      </c>
      <c r="Z63" s="9">
        <v>68.010000000000005</v>
      </c>
      <c r="AA63" s="9">
        <v>66.650000000000006</v>
      </c>
      <c r="AB63" s="9">
        <v>66.72</v>
      </c>
      <c r="AC63" s="104">
        <v>2981100</v>
      </c>
      <c r="AD63" s="9">
        <v>66.42</v>
      </c>
      <c r="AE63" s="2">
        <f t="shared" si="0"/>
        <v>1.3599999999999994</v>
      </c>
      <c r="AF63" s="138">
        <f t="shared" si="1"/>
        <v>-2.0064915904396519E-2</v>
      </c>
    </row>
    <row r="64" spans="1:32" x14ac:dyDescent="0.25">
      <c r="X64" s="110">
        <v>42677</v>
      </c>
      <c r="Y64" s="9">
        <v>67.97</v>
      </c>
      <c r="Z64" s="9">
        <v>68.989999999999995</v>
      </c>
      <c r="AA64" s="9">
        <v>67.41</v>
      </c>
      <c r="AB64" s="9">
        <v>68.09</v>
      </c>
      <c r="AC64" s="104">
        <v>4516200</v>
      </c>
      <c r="AD64" s="9">
        <v>67.78</v>
      </c>
      <c r="AE64" s="2">
        <f t="shared" si="0"/>
        <v>1.5799999999999983</v>
      </c>
      <c r="AF64" s="138">
        <f t="shared" si="1"/>
        <v>1.1189019841861825E-2</v>
      </c>
    </row>
    <row r="65" spans="24:32" x14ac:dyDescent="0.25">
      <c r="X65" s="110">
        <v>42676</v>
      </c>
      <c r="Y65" s="9">
        <v>66.92</v>
      </c>
      <c r="Z65" s="9">
        <v>67.59</v>
      </c>
      <c r="AA65" s="9">
        <v>66.91</v>
      </c>
      <c r="AB65" s="9">
        <v>67.34</v>
      </c>
      <c r="AC65" s="104">
        <v>2867900</v>
      </c>
      <c r="AD65" s="9">
        <v>67.03</v>
      </c>
      <c r="AE65" s="2">
        <f t="shared" si="0"/>
        <v>0.68000000000000682</v>
      </c>
      <c r="AF65" s="138">
        <f t="shared" si="1"/>
        <v>1.9431988041853643E-3</v>
      </c>
    </row>
    <row r="66" spans="24:32" x14ac:dyDescent="0.25">
      <c r="X66" s="110">
        <v>42675</v>
      </c>
      <c r="Y66" s="9">
        <v>67.849999999999994</v>
      </c>
      <c r="Z66" s="9">
        <v>67.86</v>
      </c>
      <c r="AA66" s="9">
        <v>66.819999999999993</v>
      </c>
      <c r="AB66" s="9">
        <v>67.209999999999994</v>
      </c>
      <c r="AC66" s="104">
        <v>2763700</v>
      </c>
      <c r="AD66" s="9">
        <v>66.900000000000006</v>
      </c>
      <c r="AE66" s="2">
        <f t="shared" si="0"/>
        <v>1.0400000000000063</v>
      </c>
      <c r="AF66" s="138">
        <f t="shared" si="1"/>
        <v>-1.0208610741233914E-2</v>
      </c>
    </row>
    <row r="67" spans="24:32" x14ac:dyDescent="0.25">
      <c r="X67" s="110">
        <v>42674</v>
      </c>
      <c r="Y67" s="9">
        <v>67.760000000000005</v>
      </c>
      <c r="Z67" s="9">
        <v>68.11</v>
      </c>
      <c r="AA67" s="9">
        <v>67.53</v>
      </c>
      <c r="AB67" s="9">
        <v>67.900000000000006</v>
      </c>
      <c r="AC67" s="104">
        <v>2271100</v>
      </c>
      <c r="AD67" s="9">
        <v>67.59</v>
      </c>
      <c r="AE67" s="2">
        <f>Z67-AA67</f>
        <v>0.57999999999999829</v>
      </c>
      <c r="AF67" s="138" t="e">
        <f>AD67/#REF!-1</f>
        <v>#REF!</v>
      </c>
    </row>
    <row r="68" spans="24:32" x14ac:dyDescent="0.25">
      <c r="X68" s="110">
        <v>42671</v>
      </c>
      <c r="Y68" s="9">
        <v>67.760000000000005</v>
      </c>
      <c r="Z68" s="9">
        <v>68.27</v>
      </c>
      <c r="AA68" s="9">
        <v>67.08</v>
      </c>
      <c r="AB68" s="9">
        <v>67.53</v>
      </c>
      <c r="AC68" s="104">
        <v>2435200</v>
      </c>
      <c r="AD68" s="9">
        <v>67.22</v>
      </c>
      <c r="AE68" s="2" t="e">
        <f>#REF!-#REF!</f>
        <v>#REF!</v>
      </c>
      <c r="AF68" s="138" t="e">
        <f>#REF!/AD69-1</f>
        <v>#REF!</v>
      </c>
    </row>
    <row r="69" spans="24:32" x14ac:dyDescent="0.25">
      <c r="X69" s="110" t="s">
        <v>121</v>
      </c>
      <c r="Y69" s="9"/>
      <c r="Z69" s="9"/>
      <c r="AA69" s="9"/>
      <c r="AB69" s="9"/>
      <c r="AC69" s="104"/>
      <c r="AD69" s="9"/>
      <c r="AE69" s="2">
        <f>Z69-AA69</f>
        <v>0</v>
      </c>
      <c r="AF69" s="138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245" priority="19">
      <formula>F27&gt;0</formula>
    </cfRule>
    <cfRule type="expression" dxfId="244" priority="20">
      <formula>F27&lt;0</formula>
    </cfRule>
  </conditionalFormatting>
  <conditionalFormatting sqref="F37:F38">
    <cfRule type="expression" dxfId="243" priority="17">
      <formula>F37&gt;0</formula>
    </cfRule>
    <cfRule type="expression" dxfId="242" priority="18">
      <formula>F37&lt;0</formula>
    </cfRule>
  </conditionalFormatting>
  <conditionalFormatting sqref="H27:H32">
    <cfRule type="expression" dxfId="241" priority="15">
      <formula>H27&gt;0</formula>
    </cfRule>
    <cfRule type="expression" dxfId="240" priority="16">
      <formula>H27&lt;0</formula>
    </cfRule>
  </conditionalFormatting>
  <conditionalFormatting sqref="Q7">
    <cfRule type="expression" dxfId="239" priority="3">
      <formula>Q7&gt;0</formula>
    </cfRule>
    <cfRule type="expression" dxfId="238" priority="4">
      <formula>Q7&lt;0</formula>
    </cfRule>
  </conditionalFormatting>
  <conditionalFormatting sqref="Q8">
    <cfRule type="expression" dxfId="237" priority="1">
      <formula>Q8&gt;0</formula>
    </cfRule>
    <cfRule type="expression" dxfId="236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7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30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W1" s="156" t="s">
        <v>114</v>
      </c>
      <c r="X1" s="102" t="s">
        <v>115</v>
      </c>
      <c r="Y1" s="102" t="s">
        <v>116</v>
      </c>
      <c r="Z1" s="102" t="s">
        <v>117</v>
      </c>
      <c r="AA1" s="102" t="s">
        <v>118</v>
      </c>
      <c r="AB1" s="93" t="s">
        <v>119</v>
      </c>
      <c r="AC1" s="102" t="s">
        <v>120</v>
      </c>
      <c r="AD1" s="11" t="s">
        <v>126</v>
      </c>
      <c r="AE1" s="11" t="s">
        <v>128</v>
      </c>
    </row>
    <row r="2" spans="1:31" x14ac:dyDescent="0.25">
      <c r="A2" s="6" t="s">
        <v>47</v>
      </c>
      <c r="B2" s="74"/>
      <c r="C2" s="4"/>
      <c r="D2" s="3"/>
      <c r="E2" s="3"/>
      <c r="F2" s="3"/>
      <c r="G2" s="74"/>
      <c r="H2" s="185"/>
      <c r="I2" s="3"/>
      <c r="J2" s="4"/>
      <c r="K2" s="4"/>
      <c r="L2" s="74"/>
      <c r="M2" s="3"/>
      <c r="O2" s="11" t="s">
        <v>57</v>
      </c>
      <c r="Q2">
        <f>C18-H18</f>
        <v>0</v>
      </c>
      <c r="T2" s="1"/>
      <c r="W2" s="157">
        <v>42768</v>
      </c>
      <c r="X2" s="40">
        <v>119.12</v>
      </c>
      <c r="Y2" s="40">
        <v>120</v>
      </c>
      <c r="Z2" s="40">
        <v>117.61</v>
      </c>
      <c r="AA2" s="40">
        <v>119.47</v>
      </c>
      <c r="AB2" s="95">
        <v>2301800</v>
      </c>
      <c r="AC2" s="40">
        <v>119.47</v>
      </c>
      <c r="AD2" s="2">
        <f>Y2-Z2</f>
        <v>2.3900000000000006</v>
      </c>
      <c r="AE2" s="138">
        <f>AC2/AC3-1</f>
        <v>-3.8355707496040559E-3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4"/>
      <c r="M3" s="3"/>
      <c r="O3" s="11" t="s">
        <v>58</v>
      </c>
      <c r="Q3" s="2">
        <f>IF(Q2=0, Q4, (F18-K18-M18)/Q2)</f>
        <v>120.46</v>
      </c>
      <c r="W3" s="157">
        <v>42767</v>
      </c>
      <c r="X3" s="40">
        <v>117.37</v>
      </c>
      <c r="Y3" s="40">
        <v>120</v>
      </c>
      <c r="Z3" s="40">
        <v>117.25</v>
      </c>
      <c r="AA3" s="40">
        <v>119.93</v>
      </c>
      <c r="AB3" s="95">
        <v>2913800</v>
      </c>
      <c r="AC3" s="40">
        <v>119.93</v>
      </c>
      <c r="AD3" s="2">
        <f t="shared" ref="AD3:AD66" si="0">Y3-Z3</f>
        <v>2.75</v>
      </c>
      <c r="AE3" s="138" t="e">
        <f t="shared" ref="AE3:AE66" si="1">AC3/AC4-1</f>
        <v>#DIV/0!</v>
      </c>
    </row>
    <row r="4" spans="1:31" x14ac:dyDescent="0.25">
      <c r="B4" s="74"/>
      <c r="C4" s="4"/>
      <c r="D4" s="3"/>
      <c r="E4" s="3"/>
      <c r="F4" s="3"/>
      <c r="G4" s="4"/>
      <c r="H4" s="185"/>
      <c r="I4" s="4"/>
      <c r="J4" s="4"/>
      <c r="K4" s="4"/>
      <c r="L4" s="4"/>
      <c r="M4" s="3"/>
      <c r="O4" s="11" t="s">
        <v>66</v>
      </c>
      <c r="Q4" s="55">
        <v>120.46</v>
      </c>
      <c r="R4" s="505">
        <v>8.3000000000000001E-3</v>
      </c>
      <c r="W4" s="157">
        <v>42767</v>
      </c>
      <c r="X4" s="40" t="s">
        <v>640</v>
      </c>
      <c r="Y4" s="40"/>
      <c r="Z4" s="40"/>
      <c r="AA4" s="40"/>
      <c r="AB4" s="95"/>
      <c r="AC4" s="40"/>
      <c r="AD4" s="2">
        <f t="shared" si="0"/>
        <v>0</v>
      </c>
      <c r="AE4" s="138">
        <f t="shared" si="1"/>
        <v>-1</v>
      </c>
    </row>
    <row r="5" spans="1:31" x14ac:dyDescent="0.25">
      <c r="B5" s="74"/>
      <c r="C5" s="4"/>
      <c r="D5" s="3"/>
      <c r="E5" s="3"/>
      <c r="F5" s="3"/>
      <c r="G5" s="4"/>
      <c r="H5" s="185"/>
      <c r="I5" s="4"/>
      <c r="J5" s="4"/>
      <c r="K5" s="4"/>
      <c r="L5" s="4"/>
      <c r="M5" s="3"/>
      <c r="O5" s="11" t="s">
        <v>67</v>
      </c>
      <c r="Q5" s="3">
        <f>Q4*Q2</f>
        <v>0</v>
      </c>
      <c r="T5" s="1"/>
      <c r="W5" s="157">
        <v>42766</v>
      </c>
      <c r="X5" s="40">
        <v>119.44</v>
      </c>
      <c r="Y5" s="40">
        <v>119.75</v>
      </c>
      <c r="Z5" s="40">
        <v>117.11</v>
      </c>
      <c r="AA5" s="40">
        <v>117.46</v>
      </c>
      <c r="AB5" s="95">
        <v>3474900</v>
      </c>
      <c r="AC5" s="40">
        <v>116.85</v>
      </c>
      <c r="AD5" s="2">
        <f t="shared" si="0"/>
        <v>2.6400000000000006</v>
      </c>
      <c r="AE5" s="138">
        <f t="shared" si="1"/>
        <v>-1.8149735316360105E-2</v>
      </c>
    </row>
    <row r="6" spans="1:31" x14ac:dyDescent="0.25">
      <c r="B6" s="74"/>
      <c r="C6" s="4"/>
      <c r="D6" s="3"/>
      <c r="E6" s="3"/>
      <c r="F6" s="3"/>
      <c r="G6" s="4"/>
      <c r="H6" s="185"/>
      <c r="I6" s="4"/>
      <c r="J6" s="4"/>
      <c r="K6" s="4"/>
      <c r="L6" s="4"/>
      <c r="M6" s="4"/>
      <c r="O6" s="11" t="s">
        <v>64</v>
      </c>
      <c r="Q6" s="2">
        <f>Q3*Q2</f>
        <v>0</v>
      </c>
      <c r="W6" s="157">
        <v>42765</v>
      </c>
      <c r="X6" s="40">
        <v>119.27</v>
      </c>
      <c r="Y6" s="40">
        <v>120.1</v>
      </c>
      <c r="Z6" s="40">
        <v>117.57</v>
      </c>
      <c r="AA6" s="40">
        <v>119.63</v>
      </c>
      <c r="AB6" s="95">
        <v>2510300</v>
      </c>
      <c r="AC6" s="40">
        <v>119.01</v>
      </c>
      <c r="AD6" s="2">
        <f t="shared" si="0"/>
        <v>2.5300000000000011</v>
      </c>
      <c r="AE6" s="138">
        <f t="shared" si="1"/>
        <v>-5.9305045105244591E-3</v>
      </c>
    </row>
    <row r="7" spans="1:31" x14ac:dyDescent="0.25">
      <c r="B7" s="74"/>
      <c r="C7" s="4"/>
      <c r="D7" s="3"/>
      <c r="E7" s="3"/>
      <c r="F7" s="3"/>
      <c r="G7" s="4"/>
      <c r="H7" s="185"/>
      <c r="I7" s="4"/>
      <c r="J7" s="4"/>
      <c r="K7" s="4"/>
      <c r="L7" s="4"/>
      <c r="M7" s="4"/>
      <c r="O7" s="11" t="s">
        <v>181</v>
      </c>
      <c r="Q7" s="2">
        <f>Q10+Q8</f>
        <v>-168.6200000000008</v>
      </c>
      <c r="R7">
        <v>0</v>
      </c>
      <c r="W7" s="157">
        <v>42762</v>
      </c>
      <c r="X7" s="40">
        <v>120.18</v>
      </c>
      <c r="Y7" s="40">
        <v>120.62</v>
      </c>
      <c r="Z7" s="40">
        <v>118.95</v>
      </c>
      <c r="AA7" s="40">
        <v>120.35</v>
      </c>
      <c r="AB7" s="95">
        <v>2190000</v>
      </c>
      <c r="AC7" s="40">
        <v>119.72</v>
      </c>
      <c r="AD7" s="2">
        <f t="shared" si="0"/>
        <v>1.6700000000000017</v>
      </c>
      <c r="AE7" s="138">
        <f t="shared" si="1"/>
        <v>6.9812431659517227E-3</v>
      </c>
    </row>
    <row r="8" spans="1:31" x14ac:dyDescent="0.25">
      <c r="B8" s="4"/>
      <c r="C8" s="4"/>
      <c r="D8" s="3"/>
      <c r="E8" s="3"/>
      <c r="F8" s="3"/>
      <c r="G8" s="4"/>
      <c r="H8" s="185"/>
      <c r="I8" s="4"/>
      <c r="J8" s="4"/>
      <c r="K8" s="4"/>
      <c r="L8" s="4"/>
      <c r="M8" s="4"/>
      <c r="O8" s="11" t="s">
        <v>184</v>
      </c>
      <c r="P8" s="34"/>
      <c r="Q8" s="2">
        <f>K18+M18-F18+Q2*Q4</f>
        <v>0</v>
      </c>
      <c r="W8" s="157">
        <v>42761</v>
      </c>
      <c r="X8" s="40">
        <v>118.79</v>
      </c>
      <c r="Y8" s="40">
        <v>122.17</v>
      </c>
      <c r="Z8" s="40">
        <v>118.32</v>
      </c>
      <c r="AA8" s="40">
        <v>119.51</v>
      </c>
      <c r="AB8" s="95">
        <v>2586500</v>
      </c>
      <c r="AC8" s="40">
        <v>118.89</v>
      </c>
      <c r="AD8" s="2">
        <f t="shared" si="0"/>
        <v>3.8500000000000085</v>
      </c>
      <c r="AE8" s="138">
        <f t="shared" si="1"/>
        <v>-8.4236864053378602E-3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214</v>
      </c>
      <c r="Q9" s="138">
        <f>IF(Q2=0, 0, Q8/Q6)</f>
        <v>0</v>
      </c>
      <c r="W9" s="157">
        <v>42760</v>
      </c>
      <c r="X9" s="40">
        <v>117.41</v>
      </c>
      <c r="Y9" s="40">
        <v>121.3</v>
      </c>
      <c r="Z9" s="40">
        <v>116.81</v>
      </c>
      <c r="AA9" s="40">
        <v>120.53</v>
      </c>
      <c r="AB9" s="95">
        <v>3832900</v>
      </c>
      <c r="AC9" s="40">
        <v>119.9</v>
      </c>
      <c r="AD9" s="2">
        <f t="shared" si="0"/>
        <v>4.4899999999999949</v>
      </c>
      <c r="AE9" s="138">
        <f t="shared" si="1"/>
        <v>3.3531592104129038E-2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213</v>
      </c>
      <c r="P10" s="34"/>
      <c r="Q10" s="2">
        <f>M33</f>
        <v>-168.6200000000008</v>
      </c>
      <c r="W10" s="157">
        <v>42759</v>
      </c>
      <c r="X10" s="40">
        <v>114</v>
      </c>
      <c r="Y10" s="40">
        <v>117.09</v>
      </c>
      <c r="Z10" s="40">
        <v>113.3</v>
      </c>
      <c r="AA10" s="40">
        <v>116.62</v>
      </c>
      <c r="AB10" s="95">
        <v>3460700</v>
      </c>
      <c r="AC10" s="40">
        <v>116.01</v>
      </c>
      <c r="AD10" s="2">
        <f t="shared" si="0"/>
        <v>3.7900000000000063</v>
      </c>
      <c r="AE10" s="138">
        <f t="shared" si="1"/>
        <v>2.7000708215297653E-2</v>
      </c>
    </row>
    <row r="11" spans="1:31" x14ac:dyDescent="0.25">
      <c r="B11" s="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178</v>
      </c>
      <c r="P11" s="34"/>
      <c r="Q11" s="138">
        <f>IF(U58="N/A (N/A)", 0, VALUE(TRIM(CLEAN(MID(U58, FIND("(", U58)+1, 5)))))</f>
        <v>2.0799999999999999E-2</v>
      </c>
      <c r="W11" s="157">
        <v>42758</v>
      </c>
      <c r="X11" s="40">
        <v>113.7</v>
      </c>
      <c r="Y11" s="40">
        <v>113.91</v>
      </c>
      <c r="Z11" s="40">
        <v>112.38</v>
      </c>
      <c r="AA11" s="40">
        <v>113.55</v>
      </c>
      <c r="AB11" s="95">
        <v>1951200</v>
      </c>
      <c r="AC11" s="40">
        <v>112.96</v>
      </c>
      <c r="AD11" s="2">
        <f t="shared" si="0"/>
        <v>1.5300000000000011</v>
      </c>
      <c r="AE11" s="138">
        <f t="shared" si="1"/>
        <v>-3.5398230088501403E-4</v>
      </c>
    </row>
    <row r="12" spans="1:31" x14ac:dyDescent="0.25">
      <c r="W12" s="157">
        <v>42755</v>
      </c>
      <c r="X12" s="40">
        <v>113.68</v>
      </c>
      <c r="Y12" s="40">
        <v>113.8</v>
      </c>
      <c r="Z12" s="40">
        <v>111.75</v>
      </c>
      <c r="AA12" s="40">
        <v>113.59</v>
      </c>
      <c r="AB12" s="95">
        <v>2656400</v>
      </c>
      <c r="AC12" s="40">
        <v>113</v>
      </c>
      <c r="AD12" s="2">
        <f t="shared" si="0"/>
        <v>2.0499999999999972</v>
      </c>
      <c r="AE12" s="138">
        <f t="shared" si="1"/>
        <v>-7.2915751559342601E-3</v>
      </c>
    </row>
    <row r="13" spans="1:31" x14ac:dyDescent="0.25">
      <c r="W13" s="157">
        <v>42754</v>
      </c>
      <c r="X13" s="40">
        <v>115.57</v>
      </c>
      <c r="Y13" s="40">
        <v>116</v>
      </c>
      <c r="Z13" s="40">
        <v>112.56</v>
      </c>
      <c r="AA13" s="40">
        <v>114.42</v>
      </c>
      <c r="AB13" s="95">
        <v>5852900</v>
      </c>
      <c r="AC13" s="40">
        <v>113.83</v>
      </c>
      <c r="AD13" s="2">
        <f t="shared" si="0"/>
        <v>3.4399999999999977</v>
      </c>
      <c r="AE13" s="138">
        <f t="shared" si="1"/>
        <v>4.0493601462522788E-2</v>
      </c>
    </row>
    <row r="14" spans="1:31" x14ac:dyDescent="0.25">
      <c r="W14" s="157">
        <v>42753</v>
      </c>
      <c r="X14" s="40">
        <v>106.96</v>
      </c>
      <c r="Y14" s="40">
        <v>110.04</v>
      </c>
      <c r="Z14" s="40">
        <v>105.89</v>
      </c>
      <c r="AA14" s="40">
        <v>109.97</v>
      </c>
      <c r="AB14" s="95">
        <v>2589600</v>
      </c>
      <c r="AC14" s="40">
        <v>109.4</v>
      </c>
      <c r="AD14" s="2">
        <f t="shared" si="0"/>
        <v>4.1500000000000057</v>
      </c>
      <c r="AE14" s="138">
        <f t="shared" si="1"/>
        <v>9.8772269915998745E-3</v>
      </c>
    </row>
    <row r="15" spans="1:31" x14ac:dyDescent="0.25">
      <c r="W15" s="157">
        <v>42752</v>
      </c>
      <c r="X15" s="40">
        <v>111.18</v>
      </c>
      <c r="Y15" s="40">
        <v>111.45</v>
      </c>
      <c r="Z15" s="40">
        <v>108.47</v>
      </c>
      <c r="AA15" s="40">
        <v>108.9</v>
      </c>
      <c r="AB15" s="95">
        <v>1876300</v>
      </c>
      <c r="AC15" s="40">
        <v>108.33</v>
      </c>
      <c r="AD15" s="2">
        <f t="shared" si="0"/>
        <v>2.980000000000004</v>
      </c>
      <c r="AE15" s="138">
        <f t="shared" si="1"/>
        <v>-2.4141969191964763E-2</v>
      </c>
    </row>
    <row r="16" spans="1:31" x14ac:dyDescent="0.25">
      <c r="W16" s="157">
        <v>42748</v>
      </c>
      <c r="X16" s="40">
        <v>111.01</v>
      </c>
      <c r="Y16" s="40">
        <v>111.85</v>
      </c>
      <c r="Z16" s="40">
        <v>110.55</v>
      </c>
      <c r="AA16" s="40">
        <v>111.59</v>
      </c>
      <c r="AB16" s="95">
        <v>1702800</v>
      </c>
      <c r="AC16" s="40">
        <v>111.01</v>
      </c>
      <c r="AD16" s="2">
        <f t="shared" si="0"/>
        <v>1.2999999999999972</v>
      </c>
      <c r="AE16" s="138">
        <f t="shared" si="1"/>
        <v>5.2521959612423785E-3</v>
      </c>
    </row>
    <row r="17" spans="1:31" x14ac:dyDescent="0.25">
      <c r="W17" s="157">
        <v>42747</v>
      </c>
      <c r="X17" s="40">
        <v>110.61</v>
      </c>
      <c r="Y17" s="40">
        <v>111.44</v>
      </c>
      <c r="Z17" s="40">
        <v>109.36</v>
      </c>
      <c r="AA17" s="40">
        <v>111.01</v>
      </c>
      <c r="AB17" s="95">
        <v>1239600</v>
      </c>
      <c r="AC17" s="40">
        <v>110.43</v>
      </c>
      <c r="AD17" s="2">
        <f t="shared" si="0"/>
        <v>2.0799999999999983</v>
      </c>
      <c r="AE17" s="138">
        <f t="shared" si="1"/>
        <v>4.0916530278232166E-3</v>
      </c>
    </row>
    <row r="18" spans="1:31" x14ac:dyDescent="0.25">
      <c r="A18" s="22" t="s">
        <v>81</v>
      </c>
      <c r="B18" s="12"/>
      <c r="C18" s="12">
        <f>SUM(C2:C8)</f>
        <v>0</v>
      </c>
      <c r="D18" s="13"/>
      <c r="E18" s="13"/>
      <c r="F18" s="13">
        <f>SUM(F2:F8)</f>
        <v>0</v>
      </c>
      <c r="G18" s="13"/>
      <c r="H18" s="77">
        <f>SUM(H2:H8)</f>
        <v>0</v>
      </c>
      <c r="I18" s="13"/>
      <c r="J18" s="13"/>
      <c r="K18" s="13">
        <f>SUM(K2:K8)</f>
        <v>0</v>
      </c>
      <c r="L18" s="13"/>
      <c r="M18" s="13">
        <f>SUM(M2:M5)</f>
        <v>0</v>
      </c>
      <c r="W18" s="157">
        <v>42746</v>
      </c>
      <c r="X18" s="40">
        <v>109.35</v>
      </c>
      <c r="Y18" s="40">
        <v>110.65</v>
      </c>
      <c r="Z18" s="40">
        <v>108.77</v>
      </c>
      <c r="AA18" s="40">
        <v>110.55</v>
      </c>
      <c r="AB18" s="95">
        <v>1180200</v>
      </c>
      <c r="AC18" s="40">
        <v>109.98</v>
      </c>
      <c r="AD18" s="2">
        <f t="shared" si="0"/>
        <v>1.8800000000000097</v>
      </c>
      <c r="AE18" s="138">
        <f t="shared" si="1"/>
        <v>1.1868617168092843E-2</v>
      </c>
    </row>
    <row r="19" spans="1:31" x14ac:dyDescent="0.25">
      <c r="W19" s="157">
        <v>42745</v>
      </c>
      <c r="X19" s="40">
        <v>109.23</v>
      </c>
      <c r="Y19" s="40">
        <v>110.05</v>
      </c>
      <c r="Z19" s="40">
        <v>108.33</v>
      </c>
      <c r="AA19" s="40">
        <v>109.26</v>
      </c>
      <c r="AB19" s="95">
        <v>1814500</v>
      </c>
      <c r="AC19" s="40">
        <v>108.69</v>
      </c>
      <c r="AD19" s="2">
        <f t="shared" si="0"/>
        <v>1.7199999999999989</v>
      </c>
      <c r="AE19" s="138">
        <f t="shared" si="1"/>
        <v>7.3658042537516621E-4</v>
      </c>
    </row>
    <row r="20" spans="1:31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4" t="s">
        <v>65</v>
      </c>
      <c r="G20" s="229" t="s">
        <v>152</v>
      </c>
      <c r="H20" s="229" t="s">
        <v>88</v>
      </c>
      <c r="I20" s="229" t="s">
        <v>155</v>
      </c>
      <c r="W20" s="157">
        <v>42744</v>
      </c>
      <c r="X20" s="40">
        <v>110.89</v>
      </c>
      <c r="Y20" s="40">
        <v>110.89</v>
      </c>
      <c r="Z20" s="40">
        <v>108.28</v>
      </c>
      <c r="AA20" s="40">
        <v>109.18</v>
      </c>
      <c r="AB20" s="95">
        <v>1972000</v>
      </c>
      <c r="AC20" s="40">
        <v>108.61</v>
      </c>
      <c r="AD20" s="2">
        <f t="shared" si="0"/>
        <v>2.6099999999999994</v>
      </c>
      <c r="AE20" s="138">
        <f t="shared" si="1"/>
        <v>-2.2236226143320104E-2</v>
      </c>
    </row>
    <row r="21" spans="1:31" x14ac:dyDescent="0.25">
      <c r="B21" s="193">
        <v>42304</v>
      </c>
      <c r="C21" s="10">
        <v>75</v>
      </c>
      <c r="D21" s="202">
        <v>82.82</v>
      </c>
      <c r="E21" s="40">
        <v>77.44</v>
      </c>
      <c r="F21" s="40">
        <v>-403.4</v>
      </c>
      <c r="G21" s="40"/>
      <c r="H21" s="231"/>
      <c r="I21" s="40"/>
      <c r="W21" s="157">
        <v>42741</v>
      </c>
      <c r="X21" s="40">
        <v>110.18</v>
      </c>
      <c r="Y21" s="40">
        <v>112.99</v>
      </c>
      <c r="Z21" s="40">
        <v>109.92</v>
      </c>
      <c r="AA21" s="40">
        <v>111.66</v>
      </c>
      <c r="AB21" s="95">
        <v>2009200</v>
      </c>
      <c r="AC21" s="40">
        <v>111.08</v>
      </c>
      <c r="AD21" s="2">
        <f t="shared" si="0"/>
        <v>3.0699999999999932</v>
      </c>
      <c r="AE21" s="138">
        <f t="shared" si="1"/>
        <v>1.2395187750638081E-2</v>
      </c>
    </row>
    <row r="22" spans="1:31" x14ac:dyDescent="0.25">
      <c r="B22" s="193">
        <v>42305</v>
      </c>
      <c r="C22" s="10">
        <v>0</v>
      </c>
      <c r="D22" s="202" t="s">
        <v>129</v>
      </c>
      <c r="E22" s="40">
        <v>81.599999999999994</v>
      </c>
      <c r="F22" s="40">
        <v>-169.71000000000095</v>
      </c>
      <c r="G22" s="40"/>
      <c r="H22" s="231"/>
      <c r="I22" s="40"/>
      <c r="W22" s="157">
        <v>42740</v>
      </c>
      <c r="X22" s="40">
        <v>110.18</v>
      </c>
      <c r="Y22" s="40">
        <v>111.65</v>
      </c>
      <c r="Z22" s="40">
        <v>110.16</v>
      </c>
      <c r="AA22" s="40">
        <v>110.29</v>
      </c>
      <c r="AB22" s="95">
        <v>3135300</v>
      </c>
      <c r="AC22" s="40">
        <v>109.72</v>
      </c>
      <c r="AD22" s="2">
        <f t="shared" si="0"/>
        <v>1.4900000000000091</v>
      </c>
      <c r="AE22" s="138">
        <f t="shared" si="1"/>
        <v>-3.1797946761151774E-3</v>
      </c>
    </row>
    <row r="23" spans="1:31" x14ac:dyDescent="0.25">
      <c r="B23" s="193">
        <v>42331</v>
      </c>
      <c r="C23" s="10">
        <v>0</v>
      </c>
      <c r="D23" s="202" t="s">
        <v>129</v>
      </c>
      <c r="E23" s="40">
        <v>95.56</v>
      </c>
      <c r="F23" s="40">
        <v>-168.62</v>
      </c>
      <c r="G23" s="40"/>
      <c r="H23" s="231"/>
      <c r="I23" s="40" t="s">
        <v>189</v>
      </c>
      <c r="W23" s="157">
        <v>42739</v>
      </c>
      <c r="X23" s="40">
        <v>107.57</v>
      </c>
      <c r="Y23" s="40">
        <v>110.98</v>
      </c>
      <c r="Z23" s="40">
        <v>107.15</v>
      </c>
      <c r="AA23" s="40">
        <v>110.64</v>
      </c>
      <c r="AB23" s="95">
        <v>2705500</v>
      </c>
      <c r="AC23" s="40">
        <v>110.07</v>
      </c>
      <c r="AD23" s="2">
        <f t="shared" si="0"/>
        <v>3.8299999999999983</v>
      </c>
      <c r="AE23" s="138">
        <f t="shared" si="1"/>
        <v>3.4200883209621225E-2</v>
      </c>
    </row>
    <row r="24" spans="1:31" x14ac:dyDescent="0.25">
      <c r="B24" s="193"/>
      <c r="C24" s="10"/>
      <c r="D24" s="40"/>
      <c r="E24" s="40"/>
      <c r="F24" s="40"/>
      <c r="G24" s="40"/>
      <c r="H24" s="231"/>
      <c r="I24" s="40"/>
      <c r="W24" s="157">
        <v>42738</v>
      </c>
      <c r="X24" s="40">
        <v>108.91</v>
      </c>
      <c r="Y24" s="40">
        <v>109.52</v>
      </c>
      <c r="Z24" s="40">
        <v>106.15</v>
      </c>
      <c r="AA24" s="40">
        <v>106.99</v>
      </c>
      <c r="AB24" s="95">
        <v>1770100</v>
      </c>
      <c r="AC24" s="40">
        <v>106.43</v>
      </c>
      <c r="AD24" s="2">
        <f t="shared" si="0"/>
        <v>3.3699999999999903</v>
      </c>
      <c r="AE24" s="138">
        <f t="shared" si="1"/>
        <v>-1.0045577155613383E-2</v>
      </c>
    </row>
    <row r="25" spans="1:31" x14ac:dyDescent="0.25">
      <c r="B25" s="193"/>
      <c r="C25" s="10"/>
      <c r="D25" s="40"/>
      <c r="E25" s="40"/>
      <c r="F25" s="40"/>
      <c r="G25" s="40"/>
      <c r="H25" s="231"/>
      <c r="I25" s="40"/>
      <c r="W25" s="157">
        <v>42734</v>
      </c>
      <c r="X25" s="40">
        <v>108.85</v>
      </c>
      <c r="Y25" s="40">
        <v>108.99</v>
      </c>
      <c r="Z25" s="40">
        <v>107.5</v>
      </c>
      <c r="AA25" s="40">
        <v>108.07</v>
      </c>
      <c r="AB25" s="95">
        <v>1487300</v>
      </c>
      <c r="AC25" s="40">
        <v>107.51</v>
      </c>
      <c r="AD25" s="2">
        <f t="shared" si="0"/>
        <v>1.4899999999999949</v>
      </c>
      <c r="AE25" s="138">
        <f t="shared" si="1"/>
        <v>-6.8360277136257919E-3</v>
      </c>
    </row>
    <row r="26" spans="1:31" x14ac:dyDescent="0.25">
      <c r="B26" s="193"/>
      <c r="C26" s="10"/>
      <c r="D26" s="40"/>
      <c r="E26" s="40"/>
      <c r="F26" s="40"/>
      <c r="G26" s="40"/>
      <c r="H26" s="231"/>
      <c r="I26" s="40"/>
      <c r="W26" s="157">
        <v>42733</v>
      </c>
      <c r="X26" s="40">
        <v>108.86</v>
      </c>
      <c r="Y26" s="40">
        <v>109.32</v>
      </c>
      <c r="Z26" s="40">
        <v>107.77</v>
      </c>
      <c r="AA26" s="40">
        <v>108.82</v>
      </c>
      <c r="AB26" s="95">
        <v>926800</v>
      </c>
      <c r="AC26" s="40">
        <v>108.25</v>
      </c>
      <c r="AD26" s="2">
        <f t="shared" si="0"/>
        <v>1.5499999999999972</v>
      </c>
      <c r="AE26" s="138">
        <f t="shared" si="1"/>
        <v>8.3210059171601181E-4</v>
      </c>
    </row>
    <row r="27" spans="1:31" x14ac:dyDescent="0.25">
      <c r="B27" s="193"/>
      <c r="C27" s="10"/>
      <c r="D27" s="40"/>
      <c r="E27" s="40"/>
      <c r="F27" s="40"/>
      <c r="G27" s="40"/>
      <c r="H27" s="231"/>
      <c r="I27" s="40"/>
      <c r="W27" s="157">
        <v>42732</v>
      </c>
      <c r="X27" s="40">
        <v>109.41</v>
      </c>
      <c r="Y27" s="40">
        <v>110.26</v>
      </c>
      <c r="Z27" s="40">
        <v>108.62</v>
      </c>
      <c r="AA27" s="40">
        <v>108.72</v>
      </c>
      <c r="AB27" s="95">
        <v>1034300</v>
      </c>
      <c r="AC27" s="40">
        <v>108.16</v>
      </c>
      <c r="AD27" s="2">
        <f t="shared" si="0"/>
        <v>1.6400000000000006</v>
      </c>
      <c r="AE27" s="138">
        <f t="shared" si="1"/>
        <v>-6.6127847171197907E-3</v>
      </c>
    </row>
    <row r="28" spans="1:31" x14ac:dyDescent="0.25">
      <c r="W28" s="157">
        <v>42731</v>
      </c>
      <c r="X28" s="40">
        <v>109.34</v>
      </c>
      <c r="Y28" s="40">
        <v>109.87</v>
      </c>
      <c r="Z28" s="40">
        <v>109.32</v>
      </c>
      <c r="AA28" s="40">
        <v>109.45</v>
      </c>
      <c r="AB28" s="95">
        <v>856000</v>
      </c>
      <c r="AC28" s="40">
        <v>108.88</v>
      </c>
      <c r="AD28" s="2">
        <f t="shared" si="0"/>
        <v>0.55000000000001137</v>
      </c>
      <c r="AE28" s="138">
        <f t="shared" si="1"/>
        <v>1.5637935792476299E-3</v>
      </c>
    </row>
    <row r="29" spans="1:31" x14ac:dyDescent="0.25">
      <c r="W29" s="157">
        <v>42727</v>
      </c>
      <c r="X29" s="40">
        <v>108.66</v>
      </c>
      <c r="Y29" s="40">
        <v>109.79</v>
      </c>
      <c r="Z29" s="40">
        <v>108.19</v>
      </c>
      <c r="AA29" s="40">
        <v>109.28</v>
      </c>
      <c r="AB29" s="95">
        <v>2118500</v>
      </c>
      <c r="AC29" s="40">
        <v>108.71</v>
      </c>
      <c r="AD29" s="2">
        <f t="shared" si="0"/>
        <v>1.6000000000000085</v>
      </c>
      <c r="AE29" s="138">
        <f t="shared" si="1"/>
        <v>4.5278137128073048E-3</v>
      </c>
    </row>
    <row r="30" spans="1:31" x14ac:dyDescent="0.25">
      <c r="W30" s="157">
        <v>42726</v>
      </c>
      <c r="X30" s="40">
        <v>107.65</v>
      </c>
      <c r="Y30" s="40">
        <v>108.79</v>
      </c>
      <c r="Z30" s="40">
        <v>107.46</v>
      </c>
      <c r="AA30" s="40">
        <v>108.78</v>
      </c>
      <c r="AB30" s="95">
        <v>1645400</v>
      </c>
      <c r="AC30" s="40">
        <v>108.22</v>
      </c>
      <c r="AD30" s="2">
        <f t="shared" si="0"/>
        <v>1.3300000000000125</v>
      </c>
      <c r="AE30" s="138">
        <f t="shared" si="1"/>
        <v>6.7913294259931423E-3</v>
      </c>
    </row>
    <row r="31" spans="1:31" x14ac:dyDescent="0.25">
      <c r="W31" s="157">
        <v>42725</v>
      </c>
      <c r="X31" s="40">
        <v>108.33</v>
      </c>
      <c r="Y31" s="40">
        <v>108.98</v>
      </c>
      <c r="Z31" s="40">
        <v>107.57</v>
      </c>
      <c r="AA31" s="40">
        <v>108.05</v>
      </c>
      <c r="AB31" s="95">
        <v>1292200</v>
      </c>
      <c r="AC31" s="40">
        <v>107.49</v>
      </c>
      <c r="AD31" s="2">
        <f t="shared" si="0"/>
        <v>1.4100000000000108</v>
      </c>
      <c r="AE31" s="138">
        <f t="shared" si="1"/>
        <v>-1.115137998327298E-3</v>
      </c>
    </row>
    <row r="32" spans="1:31" x14ac:dyDescent="0.25">
      <c r="W32" s="157">
        <v>42724</v>
      </c>
      <c r="X32" s="40">
        <v>107.25</v>
      </c>
      <c r="Y32" s="40">
        <v>108.35</v>
      </c>
      <c r="Z32" s="40">
        <v>107.05</v>
      </c>
      <c r="AA32" s="40">
        <v>108.17</v>
      </c>
      <c r="AB32" s="95">
        <v>1197400</v>
      </c>
      <c r="AC32" s="40">
        <v>107.61</v>
      </c>
      <c r="AD32" s="2">
        <f t="shared" si="0"/>
        <v>1.2999999999999972</v>
      </c>
      <c r="AE32" s="138">
        <f t="shared" si="1"/>
        <v>1.1657422205509027E-2</v>
      </c>
    </row>
    <row r="33" spans="1:31" x14ac:dyDescent="0.25">
      <c r="L33" t="s">
        <v>65</v>
      </c>
      <c r="M33" s="2">
        <f>K51+M51-F51</f>
        <v>-168.6200000000008</v>
      </c>
      <c r="W33" s="157">
        <v>42723</v>
      </c>
      <c r="X33" s="40">
        <v>106.56</v>
      </c>
      <c r="Y33" s="40">
        <v>107.17</v>
      </c>
      <c r="Z33" s="40">
        <v>106.17</v>
      </c>
      <c r="AA33" s="40">
        <v>106.93</v>
      </c>
      <c r="AB33" s="95">
        <v>1302300</v>
      </c>
      <c r="AC33" s="40">
        <v>106.37</v>
      </c>
      <c r="AD33" s="2">
        <f t="shared" si="0"/>
        <v>1</v>
      </c>
      <c r="AE33" s="138">
        <f t="shared" si="1"/>
        <v>2.3558235959291185E-3</v>
      </c>
    </row>
    <row r="34" spans="1:31" x14ac:dyDescent="0.25">
      <c r="A34" s="387" t="s">
        <v>1</v>
      </c>
      <c r="B34" s="387" t="s">
        <v>2</v>
      </c>
      <c r="C34" s="387" t="s">
        <v>4</v>
      </c>
      <c r="D34" s="389" t="s">
        <v>5</v>
      </c>
      <c r="E34" s="389" t="s">
        <v>94</v>
      </c>
      <c r="F34" s="389" t="s">
        <v>60</v>
      </c>
      <c r="G34" s="387" t="s">
        <v>3</v>
      </c>
      <c r="H34" s="387" t="s">
        <v>6</v>
      </c>
      <c r="I34" s="387" t="s">
        <v>7</v>
      </c>
      <c r="J34" s="387" t="s">
        <v>95</v>
      </c>
      <c r="K34" s="387" t="s">
        <v>61</v>
      </c>
      <c r="L34" s="387" t="s">
        <v>77</v>
      </c>
      <c r="M34" s="387" t="s">
        <v>38</v>
      </c>
      <c r="W34" s="157">
        <v>42720</v>
      </c>
      <c r="X34" s="40">
        <v>108.09</v>
      </c>
      <c r="Y34" s="40">
        <v>108.18</v>
      </c>
      <c r="Z34" s="40">
        <v>106.11</v>
      </c>
      <c r="AA34" s="40">
        <v>106.67</v>
      </c>
      <c r="AB34" s="95">
        <v>2614000</v>
      </c>
      <c r="AC34" s="40">
        <v>106.12</v>
      </c>
      <c r="AD34" s="2">
        <f t="shared" si="0"/>
        <v>2.0700000000000074</v>
      </c>
      <c r="AE34" s="138">
        <f t="shared" si="1"/>
        <v>-1.3296141329614097E-2</v>
      </c>
    </row>
    <row r="35" spans="1:31" x14ac:dyDescent="0.25">
      <c r="A35" s="390" t="s">
        <v>47</v>
      </c>
      <c r="B35" s="380">
        <v>42185</v>
      </c>
      <c r="C35" s="381">
        <v>10</v>
      </c>
      <c r="D35" s="382">
        <v>88.85</v>
      </c>
      <c r="E35" s="382">
        <v>0</v>
      </c>
      <c r="F35" s="382">
        <f t="shared" ref="F35:F40" si="2">C35*D35</f>
        <v>888.5</v>
      </c>
      <c r="G35" s="380">
        <v>42310</v>
      </c>
      <c r="H35" s="385">
        <v>75</v>
      </c>
      <c r="I35" s="382">
        <v>80.650000000000006</v>
      </c>
      <c r="J35" s="381">
        <v>7.06</v>
      </c>
      <c r="K35" s="381">
        <f>H35*I35-J35</f>
        <v>6041.69</v>
      </c>
      <c r="L35" s="380">
        <v>42257</v>
      </c>
      <c r="M35" s="382">
        <v>35.4</v>
      </c>
      <c r="W35" s="157">
        <v>42719</v>
      </c>
      <c r="X35" s="40">
        <v>107.23</v>
      </c>
      <c r="Y35" s="40">
        <v>109.24</v>
      </c>
      <c r="Z35" s="40">
        <v>106.79</v>
      </c>
      <c r="AA35" s="40">
        <v>108.11</v>
      </c>
      <c r="AB35" s="95">
        <v>1374800</v>
      </c>
      <c r="AC35" s="40">
        <v>107.55</v>
      </c>
      <c r="AD35" s="2">
        <f t="shared" si="0"/>
        <v>2.4499999999999886</v>
      </c>
      <c r="AE35" s="138">
        <f t="shared" si="1"/>
        <v>4.9523453560083031E-3</v>
      </c>
    </row>
    <row r="36" spans="1:31" x14ac:dyDescent="0.25">
      <c r="A36" s="391" t="s">
        <v>71</v>
      </c>
      <c r="B36" s="380">
        <v>42214</v>
      </c>
      <c r="C36" s="381">
        <v>10</v>
      </c>
      <c r="D36" s="382">
        <v>83</v>
      </c>
      <c r="E36" s="382">
        <v>0</v>
      </c>
      <c r="F36" s="382">
        <f t="shared" si="2"/>
        <v>830</v>
      </c>
      <c r="G36" s="380">
        <v>42335</v>
      </c>
      <c r="H36" s="385">
        <v>60</v>
      </c>
      <c r="I36" s="382">
        <v>95.71</v>
      </c>
      <c r="J36" s="382">
        <v>0.11</v>
      </c>
      <c r="K36" s="381">
        <f>H36*I36-J36</f>
        <v>5742.49</v>
      </c>
      <c r="L36" s="381"/>
      <c r="M36" s="382"/>
      <c r="W36" s="157">
        <v>42718</v>
      </c>
      <c r="X36" s="40">
        <v>109.54</v>
      </c>
      <c r="Y36" s="40">
        <v>110.24</v>
      </c>
      <c r="Z36" s="40">
        <v>107.46</v>
      </c>
      <c r="AA36" s="40">
        <v>107.58</v>
      </c>
      <c r="AB36" s="95">
        <v>1867100</v>
      </c>
      <c r="AC36" s="40">
        <v>107.02</v>
      </c>
      <c r="AD36" s="2">
        <f t="shared" si="0"/>
        <v>2.7800000000000011</v>
      </c>
      <c r="AE36" s="138">
        <f t="shared" si="1"/>
        <v>-2.0501555921654813E-2</v>
      </c>
    </row>
    <row r="37" spans="1:31" x14ac:dyDescent="0.25">
      <c r="A37" s="381"/>
      <c r="B37" s="380">
        <v>42221</v>
      </c>
      <c r="C37" s="381">
        <v>30</v>
      </c>
      <c r="D37" s="382">
        <v>84.6</v>
      </c>
      <c r="E37" s="382">
        <v>0</v>
      </c>
      <c r="F37" s="382">
        <f t="shared" si="2"/>
        <v>2538</v>
      </c>
      <c r="G37" s="381"/>
      <c r="H37" s="385"/>
      <c r="I37" s="381"/>
      <c r="J37" s="381"/>
      <c r="K37" s="381"/>
      <c r="L37" s="381"/>
      <c r="M37" s="382"/>
      <c r="W37" s="157">
        <v>42717</v>
      </c>
      <c r="X37" s="40">
        <v>110.83</v>
      </c>
      <c r="Y37" s="40">
        <v>111.39</v>
      </c>
      <c r="Z37" s="40">
        <v>108.45</v>
      </c>
      <c r="AA37" s="40">
        <v>109.83</v>
      </c>
      <c r="AB37" s="95">
        <v>1793200</v>
      </c>
      <c r="AC37" s="40">
        <v>109.26</v>
      </c>
      <c r="AD37" s="2">
        <f t="shared" si="0"/>
        <v>2.9399999999999977</v>
      </c>
      <c r="AE37" s="138">
        <f t="shared" si="1"/>
        <v>-7.8096621867054239E-3</v>
      </c>
    </row>
    <row r="38" spans="1:31" x14ac:dyDescent="0.25">
      <c r="A38" s="381"/>
      <c r="B38" s="380">
        <v>42222</v>
      </c>
      <c r="C38" s="381">
        <v>10</v>
      </c>
      <c r="D38" s="382">
        <v>83.08</v>
      </c>
      <c r="E38" s="382">
        <v>0</v>
      </c>
      <c r="F38" s="382">
        <f t="shared" si="2"/>
        <v>830.8</v>
      </c>
      <c r="G38" s="381"/>
      <c r="H38" s="385"/>
      <c r="I38" s="381"/>
      <c r="J38" s="381"/>
      <c r="K38" s="381"/>
      <c r="L38" s="381"/>
      <c r="M38" s="382"/>
      <c r="W38" s="157">
        <v>42716</v>
      </c>
      <c r="X38" s="40">
        <v>110.78</v>
      </c>
      <c r="Y38" s="40">
        <v>111.43</v>
      </c>
      <c r="Z38" s="40">
        <v>109.4</v>
      </c>
      <c r="AA38" s="40">
        <v>110.69</v>
      </c>
      <c r="AB38" s="95">
        <v>1854500</v>
      </c>
      <c r="AC38" s="40">
        <v>110.12</v>
      </c>
      <c r="AD38" s="2">
        <f t="shared" si="0"/>
        <v>2.0300000000000011</v>
      </c>
      <c r="AE38" s="138">
        <f t="shared" si="1"/>
        <v>8.1795873852597012E-4</v>
      </c>
    </row>
    <row r="39" spans="1:31" x14ac:dyDescent="0.25">
      <c r="A39" s="381"/>
      <c r="B39" s="380">
        <v>42272</v>
      </c>
      <c r="C39" s="381">
        <v>15</v>
      </c>
      <c r="D39" s="382">
        <v>77.3</v>
      </c>
      <c r="E39" s="382">
        <v>0</v>
      </c>
      <c r="F39" s="382">
        <f t="shared" si="2"/>
        <v>1159.5</v>
      </c>
      <c r="G39" s="381"/>
      <c r="H39" s="385"/>
      <c r="I39" s="381"/>
      <c r="J39" s="381"/>
      <c r="K39" s="381"/>
      <c r="L39" s="381"/>
      <c r="M39" s="381"/>
      <c r="W39" s="157">
        <v>42713</v>
      </c>
      <c r="X39" s="40">
        <v>109.89</v>
      </c>
      <c r="Y39" s="40">
        <v>110.72</v>
      </c>
      <c r="Z39" s="40">
        <v>109.13</v>
      </c>
      <c r="AA39" s="40">
        <v>110.6</v>
      </c>
      <c r="AB39" s="95">
        <v>1457000</v>
      </c>
      <c r="AC39" s="40">
        <v>110.03</v>
      </c>
      <c r="AD39" s="2">
        <f t="shared" si="0"/>
        <v>1.5900000000000034</v>
      </c>
      <c r="AE39" s="138">
        <f t="shared" si="1"/>
        <v>5.2992233896755891E-3</v>
      </c>
    </row>
    <row r="40" spans="1:31" x14ac:dyDescent="0.25">
      <c r="A40" s="381"/>
      <c r="B40" s="380">
        <v>42335</v>
      </c>
      <c r="C40" s="381">
        <v>60</v>
      </c>
      <c r="D40" s="382">
        <v>95.69</v>
      </c>
      <c r="E40" s="382">
        <v>0</v>
      </c>
      <c r="F40" s="382">
        <f t="shared" si="2"/>
        <v>5741.4</v>
      </c>
      <c r="G40" s="381"/>
      <c r="H40" s="385"/>
      <c r="I40" s="381"/>
      <c r="J40" s="381"/>
      <c r="K40" s="381"/>
      <c r="L40" s="381"/>
      <c r="M40" s="381"/>
      <c r="W40" s="157">
        <v>42712</v>
      </c>
      <c r="X40" s="40">
        <v>109.88</v>
      </c>
      <c r="Y40" s="40">
        <v>110.38</v>
      </c>
      <c r="Z40" s="40">
        <v>109</v>
      </c>
      <c r="AA40" s="40">
        <v>110.02</v>
      </c>
      <c r="AB40" s="95">
        <v>1360500</v>
      </c>
      <c r="AC40" s="40">
        <v>109.45</v>
      </c>
      <c r="AD40" s="2">
        <f t="shared" si="0"/>
        <v>1.3799999999999955</v>
      </c>
      <c r="AE40" s="138">
        <f t="shared" si="1"/>
        <v>2.4729803993404076E-3</v>
      </c>
    </row>
    <row r="41" spans="1:31" x14ac:dyDescent="0.25">
      <c r="A41" s="381"/>
      <c r="B41" s="381"/>
      <c r="C41" s="381"/>
      <c r="D41" s="382"/>
      <c r="E41" s="382"/>
      <c r="F41" s="382"/>
      <c r="G41" s="381"/>
      <c r="H41" s="385"/>
      <c r="I41" s="381"/>
      <c r="J41" s="381"/>
      <c r="K41" s="381"/>
      <c r="L41" s="381"/>
      <c r="M41" s="381"/>
      <c r="W41" s="157">
        <v>42711</v>
      </c>
      <c r="X41" s="40">
        <v>106.64</v>
      </c>
      <c r="Y41" s="40">
        <v>109.86</v>
      </c>
      <c r="Z41" s="40">
        <v>106.05</v>
      </c>
      <c r="AA41" s="40">
        <v>109.75</v>
      </c>
      <c r="AB41" s="95">
        <v>1920600</v>
      </c>
      <c r="AC41" s="40">
        <v>109.18</v>
      </c>
      <c r="AD41" s="2">
        <f t="shared" si="0"/>
        <v>3.8100000000000023</v>
      </c>
      <c r="AE41" s="138">
        <f t="shared" si="1"/>
        <v>3.331440469430258E-2</v>
      </c>
    </row>
    <row r="42" spans="1:31" ht="20.25" thickBot="1" x14ac:dyDescent="0.35">
      <c r="A42" s="381"/>
      <c r="B42" s="381"/>
      <c r="C42" s="381"/>
      <c r="D42" s="382"/>
      <c r="E42" s="382"/>
      <c r="F42" s="382"/>
      <c r="G42" s="381"/>
      <c r="H42" s="381"/>
      <c r="I42" s="381"/>
      <c r="J42" s="381"/>
      <c r="K42" s="381"/>
      <c r="L42" s="381"/>
      <c r="M42" s="381"/>
      <c r="O42" s="154" t="s">
        <v>78</v>
      </c>
      <c r="P42" s="154"/>
      <c r="R42" s="34"/>
      <c r="T42" s="155" t="s">
        <v>92</v>
      </c>
      <c r="W42" s="157">
        <v>42710</v>
      </c>
      <c r="X42" s="40">
        <v>105.96</v>
      </c>
      <c r="Y42" s="40">
        <v>106.25</v>
      </c>
      <c r="Z42" s="40">
        <v>105.16</v>
      </c>
      <c r="AA42" s="40">
        <v>106.21</v>
      </c>
      <c r="AB42" s="95">
        <v>1356600</v>
      </c>
      <c r="AC42" s="40">
        <v>105.66</v>
      </c>
      <c r="AD42" s="2">
        <f t="shared" si="0"/>
        <v>1.0900000000000034</v>
      </c>
      <c r="AE42" s="138">
        <f t="shared" si="1"/>
        <v>2.3716914903708641E-3</v>
      </c>
    </row>
    <row r="43" spans="1:31" ht="15.75" thickTop="1" x14ac:dyDescent="0.25">
      <c r="A43" s="381"/>
      <c r="B43" s="381"/>
      <c r="C43" s="381"/>
      <c r="D43" s="382"/>
      <c r="E43" s="382"/>
      <c r="F43" s="382"/>
      <c r="G43" s="381"/>
      <c r="H43" s="381"/>
      <c r="I43" s="381"/>
      <c r="J43" s="381"/>
      <c r="K43" s="381"/>
      <c r="L43" s="381"/>
      <c r="M43" s="381"/>
      <c r="O43" s="83">
        <v>1.1000000000000001</v>
      </c>
      <c r="P43" s="83">
        <f t="shared" ref="P43:P63" si="3">O43*$Q$4</f>
        <v>132.506</v>
      </c>
      <c r="Q43" s="2"/>
      <c r="R43" s="34"/>
      <c r="T43" s="10" t="s">
        <v>98</v>
      </c>
      <c r="U43" s="88">
        <v>119.93</v>
      </c>
      <c r="W43" s="157">
        <v>42709</v>
      </c>
      <c r="X43" s="40">
        <v>106.2</v>
      </c>
      <c r="Y43" s="40">
        <v>106.92</v>
      </c>
      <c r="Z43" s="40">
        <v>105.62</v>
      </c>
      <c r="AA43" s="40">
        <v>105.96</v>
      </c>
      <c r="AB43" s="95">
        <v>1745400</v>
      </c>
      <c r="AC43" s="40">
        <v>105.41</v>
      </c>
      <c r="AD43" s="2">
        <f t="shared" si="0"/>
        <v>1.2999999999999972</v>
      </c>
      <c r="AE43" s="138">
        <f t="shared" si="1"/>
        <v>3.4269395525940993E-3</v>
      </c>
    </row>
    <row r="44" spans="1:31" x14ac:dyDescent="0.25">
      <c r="A44" s="381"/>
      <c r="B44" s="381"/>
      <c r="C44" s="381"/>
      <c r="D44" s="382"/>
      <c r="E44" s="382"/>
      <c r="F44" s="382"/>
      <c r="G44" s="381"/>
      <c r="H44" s="381"/>
      <c r="I44" s="381"/>
      <c r="J44" s="381"/>
      <c r="K44" s="381"/>
      <c r="L44" s="381"/>
      <c r="M44" s="381"/>
      <c r="O44" s="83">
        <v>1.0900000000000001</v>
      </c>
      <c r="P44" s="83">
        <f t="shared" si="3"/>
        <v>131.3014</v>
      </c>
      <c r="Q44" s="2"/>
      <c r="R44" s="34"/>
      <c r="T44" s="10" t="s">
        <v>99</v>
      </c>
      <c r="U44" s="88">
        <v>119.12</v>
      </c>
      <c r="W44" s="157">
        <v>42706</v>
      </c>
      <c r="X44" s="40">
        <v>106.65</v>
      </c>
      <c r="Y44" s="40">
        <v>107.1</v>
      </c>
      <c r="Z44" s="40">
        <v>105.09</v>
      </c>
      <c r="AA44" s="40">
        <v>105.6</v>
      </c>
      <c r="AB44" s="95">
        <v>1781800</v>
      </c>
      <c r="AC44" s="40">
        <v>105.05</v>
      </c>
      <c r="AD44" s="2">
        <f t="shared" si="0"/>
        <v>2.0099999999999909</v>
      </c>
      <c r="AE44" s="138">
        <f t="shared" si="1"/>
        <v>-1.1573202860368892E-2</v>
      </c>
    </row>
    <row r="45" spans="1:31" x14ac:dyDescent="0.25">
      <c r="A45" s="381"/>
      <c r="B45" s="381"/>
      <c r="C45" s="381"/>
      <c r="D45" s="382"/>
      <c r="E45" s="382"/>
      <c r="F45" s="382"/>
      <c r="G45" s="381"/>
      <c r="H45" s="381"/>
      <c r="I45" s="381"/>
      <c r="J45" s="381"/>
      <c r="K45" s="381"/>
      <c r="L45" s="381"/>
      <c r="M45" s="381"/>
      <c r="O45" s="83">
        <v>1.08</v>
      </c>
      <c r="P45" s="83">
        <f t="shared" si="3"/>
        <v>130.0968</v>
      </c>
      <c r="Q45" s="2"/>
      <c r="R45" s="34"/>
      <c r="T45" s="10" t="s">
        <v>100</v>
      </c>
      <c r="U45" s="88" t="s">
        <v>129</v>
      </c>
      <c r="W45" s="157">
        <v>42705</v>
      </c>
      <c r="X45" s="40">
        <v>106.87</v>
      </c>
      <c r="Y45" s="40">
        <v>107.89</v>
      </c>
      <c r="Z45" s="40">
        <v>106.58</v>
      </c>
      <c r="AA45" s="40">
        <v>106.83</v>
      </c>
      <c r="AB45" s="95">
        <v>2059500</v>
      </c>
      <c r="AC45" s="40">
        <v>106.28</v>
      </c>
      <c r="AD45" s="2">
        <f t="shared" si="0"/>
        <v>1.3100000000000023</v>
      </c>
      <c r="AE45" s="138">
        <f t="shared" si="1"/>
        <v>3.4935322443585548E-3</v>
      </c>
    </row>
    <row r="46" spans="1:31" x14ac:dyDescent="0.25">
      <c r="A46" s="381"/>
      <c r="B46" s="381"/>
      <c r="C46" s="381"/>
      <c r="D46" s="382"/>
      <c r="E46" s="382"/>
      <c r="F46" s="382"/>
      <c r="G46" s="381"/>
      <c r="H46" s="381"/>
      <c r="I46" s="381"/>
      <c r="J46" s="381"/>
      <c r="K46" s="381"/>
      <c r="L46" s="381"/>
      <c r="M46" s="381"/>
      <c r="O46" s="83">
        <v>1.07</v>
      </c>
      <c r="P46" s="83">
        <f t="shared" si="3"/>
        <v>128.8922</v>
      </c>
      <c r="Q46" s="2"/>
      <c r="R46" s="34"/>
      <c r="T46" s="10" t="s">
        <v>101</v>
      </c>
      <c r="U46" s="88" t="s">
        <v>129</v>
      </c>
      <c r="W46" s="157">
        <v>42704</v>
      </c>
      <c r="X46" s="40">
        <v>105</v>
      </c>
      <c r="Y46" s="40">
        <v>107.32</v>
      </c>
      <c r="Z46" s="40">
        <v>104.75</v>
      </c>
      <c r="AA46" s="40">
        <v>106.46</v>
      </c>
      <c r="AB46" s="95">
        <v>3335100</v>
      </c>
      <c r="AC46" s="40">
        <v>105.91</v>
      </c>
      <c r="AD46" s="2">
        <f t="shared" si="0"/>
        <v>2.5699999999999932</v>
      </c>
      <c r="AE46" s="138">
        <f t="shared" si="1"/>
        <v>2.0032745834537291E-2</v>
      </c>
    </row>
    <row r="47" spans="1:31" x14ac:dyDescent="0.25">
      <c r="A47" s="381"/>
      <c r="B47" s="381"/>
      <c r="C47" s="381"/>
      <c r="D47" s="382"/>
      <c r="E47" s="382"/>
      <c r="F47" s="382"/>
      <c r="G47" s="381"/>
      <c r="H47" s="381"/>
      <c r="I47" s="381"/>
      <c r="J47" s="381"/>
      <c r="K47" s="381"/>
      <c r="L47" s="381"/>
      <c r="M47" s="381"/>
      <c r="O47" s="83">
        <v>1.06</v>
      </c>
      <c r="P47" s="83">
        <f t="shared" si="3"/>
        <v>127.6876</v>
      </c>
      <c r="Q47" s="2"/>
      <c r="R47" s="34"/>
      <c r="T47" s="10" t="s">
        <v>102</v>
      </c>
      <c r="U47" s="88">
        <v>118.04</v>
      </c>
      <c r="W47" s="157">
        <v>42703</v>
      </c>
      <c r="X47" s="40">
        <v>103.82</v>
      </c>
      <c r="Y47" s="40">
        <v>104.86</v>
      </c>
      <c r="Z47" s="40">
        <v>103.23</v>
      </c>
      <c r="AA47" s="40">
        <v>104.37</v>
      </c>
      <c r="AB47" s="95">
        <v>2261800</v>
      </c>
      <c r="AC47" s="40">
        <v>103.83</v>
      </c>
      <c r="AD47" s="2">
        <f t="shared" si="0"/>
        <v>1.6299999999999955</v>
      </c>
      <c r="AE47" s="138">
        <f t="shared" si="1"/>
        <v>3.6732721121313094E-3</v>
      </c>
    </row>
    <row r="48" spans="1:31" x14ac:dyDescent="0.25">
      <c r="A48" s="381"/>
      <c r="B48" s="381"/>
      <c r="C48" s="381"/>
      <c r="D48" s="382"/>
      <c r="E48" s="382"/>
      <c r="F48" s="382"/>
      <c r="G48" s="381"/>
      <c r="H48" s="381"/>
      <c r="I48" s="381"/>
      <c r="J48" s="381"/>
      <c r="K48" s="381"/>
      <c r="L48" s="381"/>
      <c r="M48" s="381"/>
      <c r="O48" s="83">
        <v>1.05</v>
      </c>
      <c r="P48" s="83">
        <f t="shared" si="3"/>
        <v>126.483</v>
      </c>
      <c r="Q48" s="2"/>
      <c r="R48" s="34"/>
      <c r="T48" s="10" t="s">
        <v>103</v>
      </c>
      <c r="U48" s="88">
        <v>1.3261700000000001</v>
      </c>
      <c r="W48" s="157">
        <v>42702</v>
      </c>
      <c r="X48" s="40">
        <v>103.72</v>
      </c>
      <c r="Y48" s="40">
        <v>104.24</v>
      </c>
      <c r="Z48" s="40">
        <v>102.77</v>
      </c>
      <c r="AA48" s="40">
        <v>103.99</v>
      </c>
      <c r="AB48" s="95">
        <v>1627100</v>
      </c>
      <c r="AC48" s="40">
        <v>103.45</v>
      </c>
      <c r="AD48" s="2">
        <f t="shared" si="0"/>
        <v>1.4699999999999989</v>
      </c>
      <c r="AE48" s="138">
        <f t="shared" si="1"/>
        <v>-3.3718689788053702E-3</v>
      </c>
    </row>
    <row r="49" spans="1:31" x14ac:dyDescent="0.25">
      <c r="A49" s="381"/>
      <c r="B49" s="381"/>
      <c r="C49" s="381"/>
      <c r="D49" s="382"/>
      <c r="E49" s="382"/>
      <c r="F49" s="382"/>
      <c r="G49" s="381"/>
      <c r="H49" s="381"/>
      <c r="I49" s="381"/>
      <c r="J49" s="381"/>
      <c r="K49" s="381"/>
      <c r="L49" s="381"/>
      <c r="M49" s="381"/>
      <c r="O49" s="83">
        <v>1.04</v>
      </c>
      <c r="P49" s="83">
        <f t="shared" si="3"/>
        <v>125.2784</v>
      </c>
      <c r="Q49" s="2"/>
      <c r="R49" s="34"/>
      <c r="T49" s="10" t="s">
        <v>122</v>
      </c>
      <c r="U49" s="88" t="s">
        <v>473</v>
      </c>
      <c r="W49" s="157">
        <v>42699</v>
      </c>
      <c r="X49" s="40">
        <v>104.24</v>
      </c>
      <c r="Y49" s="40">
        <v>104.56</v>
      </c>
      <c r="Z49" s="40">
        <v>103.91</v>
      </c>
      <c r="AA49" s="40">
        <v>104.34</v>
      </c>
      <c r="AB49" s="95">
        <v>919900</v>
      </c>
      <c r="AC49" s="40">
        <v>103.8</v>
      </c>
      <c r="AD49" s="2">
        <f t="shared" si="0"/>
        <v>0.65000000000000568</v>
      </c>
      <c r="AE49" s="138">
        <f t="shared" si="1"/>
        <v>2.8985507246377384E-3</v>
      </c>
    </row>
    <row r="50" spans="1:31" x14ac:dyDescent="0.25">
      <c r="A50" s="381"/>
      <c r="B50" s="381"/>
      <c r="C50" s="381"/>
      <c r="D50" s="382"/>
      <c r="E50" s="382"/>
      <c r="F50" s="382"/>
      <c r="G50" s="381"/>
      <c r="H50" s="381"/>
      <c r="I50" s="381"/>
      <c r="J50" s="381"/>
      <c r="K50" s="381"/>
      <c r="L50" s="381"/>
      <c r="M50" s="381"/>
      <c r="O50" s="83">
        <v>1.03</v>
      </c>
      <c r="P50" s="83">
        <f t="shared" si="3"/>
        <v>124.07379999999999</v>
      </c>
      <c r="Q50" s="2"/>
      <c r="R50" s="34"/>
      <c r="T50" s="10"/>
      <c r="U50" s="88"/>
      <c r="W50" s="157">
        <v>42697</v>
      </c>
      <c r="X50" s="40">
        <v>103.75</v>
      </c>
      <c r="Y50" s="40">
        <v>104.77</v>
      </c>
      <c r="Z50" s="40">
        <v>103.75</v>
      </c>
      <c r="AA50" s="40">
        <v>104.04</v>
      </c>
      <c r="AB50" s="95">
        <v>1505300</v>
      </c>
      <c r="AC50" s="40">
        <v>103.5</v>
      </c>
      <c r="AD50" s="2">
        <f t="shared" si="0"/>
        <v>1.019999999999996</v>
      </c>
      <c r="AE50" s="138">
        <f t="shared" si="1"/>
        <v>1.1607661056296514E-3</v>
      </c>
    </row>
    <row r="51" spans="1:31" x14ac:dyDescent="0.25">
      <c r="A51" s="22" t="s">
        <v>81</v>
      </c>
      <c r="B51" s="12"/>
      <c r="C51" s="12">
        <f>SUM(C35:C41)</f>
        <v>135</v>
      </c>
      <c r="D51" s="13"/>
      <c r="E51" s="13"/>
      <c r="F51" s="13">
        <f>SUM(F35:F41)</f>
        <v>11988.2</v>
      </c>
      <c r="G51" s="13"/>
      <c r="H51" s="77">
        <f>SUM(H35:H41)</f>
        <v>135</v>
      </c>
      <c r="I51" s="13"/>
      <c r="J51" s="13"/>
      <c r="K51" s="13">
        <f>SUM(K35:K41)</f>
        <v>11784.18</v>
      </c>
      <c r="L51" s="13"/>
      <c r="M51" s="13">
        <f>SUM(M35:M38)</f>
        <v>35.4</v>
      </c>
      <c r="O51" s="83">
        <v>1.02</v>
      </c>
      <c r="P51" s="83">
        <f t="shared" si="3"/>
        <v>122.86919999999999</v>
      </c>
      <c r="Q51" s="2"/>
      <c r="R51" s="34"/>
      <c r="T51" s="10" t="s">
        <v>105</v>
      </c>
      <c r="U51" s="88" t="s">
        <v>604</v>
      </c>
      <c r="W51" s="157">
        <v>42696</v>
      </c>
      <c r="X51" s="40">
        <v>104.93</v>
      </c>
      <c r="Y51" s="40">
        <v>105.5</v>
      </c>
      <c r="Z51" s="40">
        <v>103.75</v>
      </c>
      <c r="AA51" s="40">
        <v>103.92</v>
      </c>
      <c r="AB51" s="95">
        <v>1828000</v>
      </c>
      <c r="AC51" s="40">
        <v>103.38</v>
      </c>
      <c r="AD51" s="2">
        <f t="shared" si="0"/>
        <v>1.75</v>
      </c>
      <c r="AE51" s="138">
        <f t="shared" si="1"/>
        <v>-6.5346915241207837E-3</v>
      </c>
    </row>
    <row r="52" spans="1:31" x14ac:dyDescent="0.25">
      <c r="O52" s="83">
        <v>1.01</v>
      </c>
      <c r="P52" s="83">
        <f t="shared" si="3"/>
        <v>121.66459999999999</v>
      </c>
      <c r="Q52" s="2"/>
      <c r="R52" s="34"/>
      <c r="T52" s="10" t="s">
        <v>106</v>
      </c>
      <c r="U52" s="88" t="s">
        <v>605</v>
      </c>
      <c r="W52" s="157">
        <v>42695</v>
      </c>
      <c r="X52" s="40">
        <v>103.76</v>
      </c>
      <c r="Y52" s="40">
        <v>105.3</v>
      </c>
      <c r="Z52" s="40">
        <v>103.62</v>
      </c>
      <c r="AA52" s="40">
        <v>104.6</v>
      </c>
      <c r="AB52" s="95">
        <v>1717700</v>
      </c>
      <c r="AC52" s="40">
        <v>104.06</v>
      </c>
      <c r="AD52" s="2">
        <f t="shared" si="0"/>
        <v>1.6799999999999926</v>
      </c>
      <c r="AE52" s="138">
        <f t="shared" si="1"/>
        <v>1.1174812943348655E-2</v>
      </c>
    </row>
    <row r="53" spans="1:31" x14ac:dyDescent="0.25">
      <c r="O53" s="83">
        <v>1</v>
      </c>
      <c r="P53" s="83">
        <f t="shared" si="3"/>
        <v>120.46</v>
      </c>
      <c r="Q53" s="2"/>
      <c r="R53" s="34"/>
      <c r="T53" s="10" t="s">
        <v>107</v>
      </c>
      <c r="U53" s="90">
        <v>2305295</v>
      </c>
      <c r="W53" s="157">
        <v>42692</v>
      </c>
      <c r="X53" s="40">
        <v>102.93</v>
      </c>
      <c r="Y53" s="40">
        <v>103.98</v>
      </c>
      <c r="Z53" s="40">
        <v>102.76</v>
      </c>
      <c r="AA53" s="40">
        <v>103.45</v>
      </c>
      <c r="AB53" s="95">
        <v>1870200</v>
      </c>
      <c r="AC53" s="40">
        <v>102.91</v>
      </c>
      <c r="AD53" s="2">
        <f t="shared" si="0"/>
        <v>1.2199999999999989</v>
      </c>
      <c r="AE53" s="138">
        <f t="shared" si="1"/>
        <v>3.0214424951267027E-3</v>
      </c>
    </row>
    <row r="54" spans="1:31" x14ac:dyDescent="0.25">
      <c r="O54" s="83">
        <v>0.99</v>
      </c>
      <c r="P54" s="83">
        <f t="shared" si="3"/>
        <v>119.25539999999999</v>
      </c>
      <c r="Q54" s="2"/>
      <c r="R54" s="34"/>
      <c r="T54" s="10" t="s">
        <v>110</v>
      </c>
      <c r="U54" s="90">
        <v>2124900</v>
      </c>
      <c r="W54" s="157">
        <v>42691</v>
      </c>
      <c r="X54" s="40">
        <v>103</v>
      </c>
      <c r="Y54" s="40">
        <v>103.44</v>
      </c>
      <c r="Z54" s="40">
        <v>102.59</v>
      </c>
      <c r="AA54" s="40">
        <v>103.14</v>
      </c>
      <c r="AB54" s="95">
        <v>2567600</v>
      </c>
      <c r="AC54" s="40">
        <v>102.6</v>
      </c>
      <c r="AD54" s="2">
        <f t="shared" si="0"/>
        <v>0.84999999999999432</v>
      </c>
      <c r="AE54" s="138">
        <f t="shared" si="1"/>
        <v>1.2686639992192106E-3</v>
      </c>
    </row>
    <row r="55" spans="1:31" x14ac:dyDescent="0.25">
      <c r="O55" s="83">
        <v>0.98</v>
      </c>
      <c r="P55" s="83">
        <f t="shared" si="3"/>
        <v>118.0508</v>
      </c>
      <c r="Q55" s="2"/>
      <c r="R55" s="34"/>
      <c r="T55" s="10" t="s">
        <v>108</v>
      </c>
      <c r="U55" s="88" t="s">
        <v>606</v>
      </c>
      <c r="W55" s="157">
        <v>42690</v>
      </c>
      <c r="X55" s="40">
        <v>104.07</v>
      </c>
      <c r="Y55" s="40">
        <v>104.38</v>
      </c>
      <c r="Z55" s="40">
        <v>102.7</v>
      </c>
      <c r="AA55" s="40">
        <v>103</v>
      </c>
      <c r="AB55" s="95">
        <v>2213600</v>
      </c>
      <c r="AC55" s="40">
        <v>102.47</v>
      </c>
      <c r="AD55" s="2">
        <f t="shared" si="0"/>
        <v>1.6799999999999926</v>
      </c>
      <c r="AE55" s="138">
        <f t="shared" si="1"/>
        <v>-1.5090349865436448E-2</v>
      </c>
    </row>
    <row r="56" spans="1:31" x14ac:dyDescent="0.25">
      <c r="O56" s="83">
        <v>0.97</v>
      </c>
      <c r="P56" s="83">
        <f t="shared" si="3"/>
        <v>116.8462</v>
      </c>
      <c r="T56" s="10" t="s">
        <v>111</v>
      </c>
      <c r="U56" s="88">
        <v>21.26</v>
      </c>
      <c r="W56" s="157">
        <v>42689</v>
      </c>
      <c r="X56" s="40">
        <v>103.99</v>
      </c>
      <c r="Y56" s="40">
        <v>104.78</v>
      </c>
      <c r="Z56" s="40">
        <v>102.79</v>
      </c>
      <c r="AA56" s="40">
        <v>104.58</v>
      </c>
      <c r="AB56" s="95">
        <v>1974200</v>
      </c>
      <c r="AC56" s="40">
        <v>104.04</v>
      </c>
      <c r="AD56" s="2">
        <f t="shared" si="0"/>
        <v>1.9899999999999949</v>
      </c>
      <c r="AE56" s="138">
        <f t="shared" si="1"/>
        <v>5.7032382793620329E-3</v>
      </c>
    </row>
    <row r="57" spans="1:31" x14ac:dyDescent="0.25">
      <c r="O57" s="83">
        <v>0.96</v>
      </c>
      <c r="P57" s="83">
        <f t="shared" si="3"/>
        <v>115.64159999999998</v>
      </c>
      <c r="T57" s="10" t="s">
        <v>112</v>
      </c>
      <c r="U57" s="88">
        <v>5.62</v>
      </c>
      <c r="W57" s="157">
        <v>42688</v>
      </c>
      <c r="X57" s="40">
        <v>101</v>
      </c>
      <c r="Y57" s="40">
        <v>104.87</v>
      </c>
      <c r="Z57" s="40">
        <v>100.91</v>
      </c>
      <c r="AA57" s="40">
        <v>103.99</v>
      </c>
      <c r="AB57" s="95">
        <v>3119900</v>
      </c>
      <c r="AC57" s="40">
        <v>103.45</v>
      </c>
      <c r="AD57" s="2">
        <f t="shared" si="0"/>
        <v>3.960000000000008</v>
      </c>
      <c r="AE57" s="138">
        <f t="shared" si="1"/>
        <v>3.0481123617890349E-2</v>
      </c>
    </row>
    <row r="58" spans="1:31" x14ac:dyDescent="0.25">
      <c r="O58" s="83">
        <v>0.95</v>
      </c>
      <c r="P58" s="83">
        <f t="shared" si="3"/>
        <v>114.43699999999998</v>
      </c>
      <c r="T58" s="10" t="s">
        <v>109</v>
      </c>
      <c r="U58" s="88" t="s">
        <v>607</v>
      </c>
      <c r="W58" s="157">
        <v>42685</v>
      </c>
      <c r="X58" s="40">
        <v>99.91</v>
      </c>
      <c r="Y58" s="40">
        <v>100.93</v>
      </c>
      <c r="Z58" s="40">
        <v>98.92</v>
      </c>
      <c r="AA58" s="40">
        <v>100.91</v>
      </c>
      <c r="AB58" s="95">
        <v>2738100</v>
      </c>
      <c r="AC58" s="40">
        <v>100.39</v>
      </c>
      <c r="AD58" s="2">
        <f t="shared" si="0"/>
        <v>2.0100000000000051</v>
      </c>
      <c r="AE58" s="138">
        <f t="shared" si="1"/>
        <v>4.1008201640326813E-3</v>
      </c>
    </row>
    <row r="59" spans="1:31" x14ac:dyDescent="0.25">
      <c r="O59" s="83">
        <v>0.94</v>
      </c>
      <c r="P59" s="83">
        <f t="shared" si="3"/>
        <v>113.23239999999998</v>
      </c>
      <c r="W59" s="157">
        <v>42684</v>
      </c>
      <c r="X59" s="40">
        <v>99.79</v>
      </c>
      <c r="Y59" s="40">
        <v>101.19</v>
      </c>
      <c r="Z59" s="40">
        <v>99.07</v>
      </c>
      <c r="AA59" s="40">
        <v>100.5</v>
      </c>
      <c r="AB59" s="95">
        <v>4422300</v>
      </c>
      <c r="AC59" s="40">
        <v>99.98</v>
      </c>
      <c r="AD59" s="2">
        <f t="shared" si="0"/>
        <v>2.1200000000000045</v>
      </c>
      <c r="AE59" s="138">
        <f t="shared" si="1"/>
        <v>1.7194017702716335E-2</v>
      </c>
    </row>
    <row r="60" spans="1:31" x14ac:dyDescent="0.25">
      <c r="O60" s="83">
        <v>0.93</v>
      </c>
      <c r="P60" s="83">
        <f t="shared" si="3"/>
        <v>112.0278</v>
      </c>
      <c r="W60" s="157">
        <v>42683</v>
      </c>
      <c r="X60" s="40">
        <v>95.71</v>
      </c>
      <c r="Y60" s="40">
        <v>100.73</v>
      </c>
      <c r="Z60" s="40">
        <v>95.1</v>
      </c>
      <c r="AA60" s="40">
        <v>98.8</v>
      </c>
      <c r="AB60" s="95">
        <v>5764400</v>
      </c>
      <c r="AC60" s="40">
        <v>98.29</v>
      </c>
      <c r="AD60" s="2">
        <f t="shared" si="0"/>
        <v>5.6300000000000097</v>
      </c>
      <c r="AE60" s="138">
        <f t="shared" si="1"/>
        <v>2.9214659685864008E-2</v>
      </c>
    </row>
    <row r="61" spans="1:31" x14ac:dyDescent="0.25">
      <c r="O61" s="83">
        <v>0.92</v>
      </c>
      <c r="P61" s="83">
        <f t="shared" si="3"/>
        <v>110.8232</v>
      </c>
      <c r="W61" s="157">
        <v>42682</v>
      </c>
      <c r="X61" s="40">
        <v>94.55</v>
      </c>
      <c r="Y61" s="40">
        <v>96.34</v>
      </c>
      <c r="Z61" s="40">
        <v>94.09</v>
      </c>
      <c r="AA61" s="40">
        <v>96</v>
      </c>
      <c r="AB61" s="95">
        <v>1553900</v>
      </c>
      <c r="AC61" s="40">
        <v>95.5</v>
      </c>
      <c r="AD61" s="2">
        <f t="shared" si="0"/>
        <v>2.25</v>
      </c>
      <c r="AE61" s="138">
        <f t="shared" si="1"/>
        <v>1.1009951302138443E-2</v>
      </c>
    </row>
    <row r="62" spans="1:31" x14ac:dyDescent="0.25">
      <c r="O62" s="83">
        <v>0.91</v>
      </c>
      <c r="P62" s="83">
        <f t="shared" si="3"/>
        <v>109.6186</v>
      </c>
      <c r="W62" s="157">
        <v>42681</v>
      </c>
      <c r="X62" s="40">
        <v>92.49</v>
      </c>
      <c r="Y62" s="40">
        <v>94.99</v>
      </c>
      <c r="Z62" s="40">
        <v>92.49</v>
      </c>
      <c r="AA62" s="40">
        <v>94.95</v>
      </c>
      <c r="AB62" s="95">
        <v>1490200</v>
      </c>
      <c r="AC62" s="40">
        <v>94.46</v>
      </c>
      <c r="AD62" s="2">
        <f t="shared" si="0"/>
        <v>2.5</v>
      </c>
      <c r="AE62" s="138">
        <f t="shared" si="1"/>
        <v>3.6427474215492639E-2</v>
      </c>
    </row>
    <row r="63" spans="1:31" x14ac:dyDescent="0.25">
      <c r="O63" s="83">
        <v>0.9</v>
      </c>
      <c r="P63" s="83">
        <f t="shared" si="3"/>
        <v>108.414</v>
      </c>
      <c r="W63" s="157">
        <v>42678</v>
      </c>
      <c r="X63" s="40">
        <v>91.79</v>
      </c>
      <c r="Y63" s="40">
        <v>92.39</v>
      </c>
      <c r="Z63" s="40">
        <v>91.28</v>
      </c>
      <c r="AA63" s="40">
        <v>91.62</v>
      </c>
      <c r="AB63" s="95">
        <v>766900</v>
      </c>
      <c r="AC63" s="40">
        <v>91.14</v>
      </c>
      <c r="AD63" s="2">
        <f t="shared" si="0"/>
        <v>1.1099999999999994</v>
      </c>
      <c r="AE63" s="138">
        <f t="shared" si="1"/>
        <v>-1.5337423312883347E-3</v>
      </c>
    </row>
    <row r="64" spans="1:31" x14ac:dyDescent="0.25">
      <c r="W64" s="157">
        <v>42677</v>
      </c>
      <c r="X64" s="40">
        <v>92.21</v>
      </c>
      <c r="Y64" s="40">
        <v>92.53</v>
      </c>
      <c r="Z64" s="40">
        <v>91.55</v>
      </c>
      <c r="AA64" s="40">
        <v>91.76</v>
      </c>
      <c r="AB64" s="95">
        <v>1295700</v>
      </c>
      <c r="AC64" s="40">
        <v>91.28</v>
      </c>
      <c r="AD64" s="2">
        <f t="shared" si="0"/>
        <v>0.98000000000000398</v>
      </c>
      <c r="AE64" s="138">
        <f t="shared" si="1"/>
        <v>-2.5133865151349966E-3</v>
      </c>
    </row>
    <row r="65" spans="23:31" x14ac:dyDescent="0.25">
      <c r="W65" s="157">
        <v>42676</v>
      </c>
      <c r="X65" s="40">
        <v>91.42</v>
      </c>
      <c r="Y65" s="40">
        <v>92.53</v>
      </c>
      <c r="Z65" s="40">
        <v>91.32</v>
      </c>
      <c r="AA65" s="40">
        <v>91.99</v>
      </c>
      <c r="AB65" s="95">
        <v>1687900</v>
      </c>
      <c r="AC65" s="40">
        <v>91.51</v>
      </c>
      <c r="AD65" s="2">
        <f t="shared" si="0"/>
        <v>1.210000000000008</v>
      </c>
      <c r="AE65" s="138" t="e">
        <f t="shared" si="1"/>
        <v>#DIV/0!</v>
      </c>
    </row>
    <row r="66" spans="23:31" x14ac:dyDescent="0.25">
      <c r="W66" s="157">
        <v>42676</v>
      </c>
      <c r="X66" s="40" t="s">
        <v>369</v>
      </c>
      <c r="Y66" s="40"/>
      <c r="Z66" s="40"/>
      <c r="AA66" s="40"/>
      <c r="AB66" s="95"/>
      <c r="AC66" s="40"/>
      <c r="AD66" s="2">
        <f t="shared" si="0"/>
        <v>0</v>
      </c>
      <c r="AE66" s="138">
        <f t="shared" si="1"/>
        <v>-1</v>
      </c>
    </row>
    <row r="67" spans="23:31" x14ac:dyDescent="0.25">
      <c r="W67" s="157">
        <v>42675</v>
      </c>
      <c r="X67" s="40">
        <v>93.28</v>
      </c>
      <c r="Y67" s="40">
        <v>93.29</v>
      </c>
      <c r="Z67" s="40">
        <v>90.98</v>
      </c>
      <c r="AA67" s="40">
        <v>91.6</v>
      </c>
      <c r="AB67" s="95">
        <v>1552300</v>
      </c>
      <c r="AC67" s="40">
        <v>90.54</v>
      </c>
      <c r="AD67" s="2">
        <f>Y67-Z67</f>
        <v>2.3100000000000023</v>
      </c>
      <c r="AE67" s="138" t="e">
        <f>AC67/#REF!-1</f>
        <v>#REF!</v>
      </c>
    </row>
    <row r="68" spans="23:31" x14ac:dyDescent="0.25">
      <c r="W68" s="157">
        <v>42674</v>
      </c>
      <c r="X68" s="40">
        <v>92.73</v>
      </c>
      <c r="Y68" s="40">
        <v>93.54</v>
      </c>
      <c r="Z68" s="40">
        <v>92.42</v>
      </c>
      <c r="AA68" s="40">
        <v>93</v>
      </c>
      <c r="AB68" s="95">
        <v>1833800</v>
      </c>
      <c r="AC68" s="40">
        <v>91.92</v>
      </c>
      <c r="AD68" s="2" t="e">
        <f>#REF!-#REF!</f>
        <v>#REF!</v>
      </c>
      <c r="AE68" s="138" t="e">
        <f>#REF!/AC70-1</f>
        <v>#REF!</v>
      </c>
    </row>
    <row r="69" spans="23:31" x14ac:dyDescent="0.25">
      <c r="W69" s="157">
        <v>42671</v>
      </c>
      <c r="X69" s="40">
        <v>91.51</v>
      </c>
      <c r="Y69" s="40">
        <v>93.16</v>
      </c>
      <c r="Z69" s="40">
        <v>91.36</v>
      </c>
      <c r="AA69" s="40">
        <v>92.27</v>
      </c>
      <c r="AB69" s="95">
        <v>2454700</v>
      </c>
      <c r="AC69" s="40">
        <v>91.2</v>
      </c>
      <c r="AD69" s="2">
        <f>Y70-Z70</f>
        <v>0</v>
      </c>
      <c r="AE69" s="138" t="e">
        <f>AC70/AC71-1</f>
        <v>#DIV/0!</v>
      </c>
    </row>
    <row r="70" spans="23:31" x14ac:dyDescent="0.25">
      <c r="W70" s="157" t="s">
        <v>121</v>
      </c>
      <c r="X70" s="40"/>
      <c r="Y70" s="40"/>
      <c r="Z70" s="40"/>
      <c r="AA70" s="40"/>
      <c r="AB70" s="95"/>
      <c r="AC70" s="40"/>
    </row>
  </sheetData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31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4:F27">
    <cfRule type="expression" dxfId="235" priority="25">
      <formula>F24&gt;0</formula>
    </cfRule>
    <cfRule type="expression" dxfId="234" priority="26">
      <formula>F24&lt;0</formula>
    </cfRule>
  </conditionalFormatting>
  <conditionalFormatting sqref="H21:H27">
    <cfRule type="expression" dxfId="233" priority="19">
      <formula>H21&gt;0</formula>
    </cfRule>
    <cfRule type="expression" dxfId="232" priority="20">
      <formula>H21&lt;0</formula>
    </cfRule>
  </conditionalFormatting>
  <conditionalFormatting sqref="F21:F23">
    <cfRule type="expression" dxfId="231" priority="5">
      <formula>F21&gt;0</formula>
    </cfRule>
    <cfRule type="expression" dxfId="230" priority="6">
      <formula>F21&lt;0</formula>
    </cfRule>
  </conditionalFormatting>
  <conditionalFormatting sqref="Q8">
    <cfRule type="expression" dxfId="229" priority="1">
      <formula>Q8&gt;0</formula>
    </cfRule>
    <cfRule type="expression" dxfId="228" priority="2">
      <formula>Q8&lt;0</formula>
    </cfRule>
  </conditionalFormatting>
  <conditionalFormatting sqref="Q7">
    <cfRule type="expression" dxfId="227" priority="3">
      <formula>Q7&gt;0</formula>
    </cfRule>
    <cfRule type="expression" dxfId="226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2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69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43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33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63"/>
      <c r="W2" s="133">
        <v>42768</v>
      </c>
      <c r="X2" s="10">
        <v>201.97</v>
      </c>
      <c r="Y2" s="10">
        <v>205.03</v>
      </c>
      <c r="Z2" s="10">
        <v>201</v>
      </c>
      <c r="AA2" s="10">
        <v>204.05</v>
      </c>
      <c r="AB2" s="95">
        <v>2266100</v>
      </c>
      <c r="AC2" s="10">
        <v>204.05</v>
      </c>
      <c r="AD2" s="2">
        <f>Y2-Z2</f>
        <v>4.0300000000000011</v>
      </c>
      <c r="AE2" s="138">
        <f>AC2/AC3-1</f>
        <v>1.7673916245275478E-3</v>
      </c>
    </row>
    <row r="3" spans="1:31" x14ac:dyDescent="0.25">
      <c r="A3" s="23" t="s">
        <v>71</v>
      </c>
      <c r="B3" s="164"/>
      <c r="C3" s="4"/>
      <c r="D3" s="3"/>
      <c r="E3" s="3"/>
      <c r="F3" s="3"/>
      <c r="G3" s="74"/>
      <c r="H3" s="4"/>
      <c r="I3" s="3"/>
      <c r="J3" s="3"/>
      <c r="K3" s="3"/>
      <c r="L3" s="74"/>
      <c r="M3" s="3"/>
      <c r="O3" s="11" t="s">
        <v>58</v>
      </c>
      <c r="Q3" s="2">
        <f>IF(Q2=0, Q4, (F18-K18-M18)/Q2)</f>
        <v>206.16</v>
      </c>
      <c r="T3" s="63"/>
      <c r="W3" s="133">
        <v>42767</v>
      </c>
      <c r="X3" s="10">
        <v>202.25</v>
      </c>
      <c r="Y3" s="10">
        <v>204.48</v>
      </c>
      <c r="Z3" s="10">
        <v>200.21</v>
      </c>
      <c r="AA3" s="10">
        <v>203.69</v>
      </c>
      <c r="AB3" s="95">
        <v>3115900</v>
      </c>
      <c r="AC3" s="10">
        <v>203.69</v>
      </c>
      <c r="AD3" s="2">
        <f t="shared" ref="AD3:AD66" si="0">Y3-Z3</f>
        <v>4.2699999999999818</v>
      </c>
      <c r="AE3" s="138">
        <f t="shared" ref="AE3:AE66" si="1">AC3/AC4-1</f>
        <v>2.1002506265664245E-2</v>
      </c>
    </row>
    <row r="4" spans="1:31" x14ac:dyDescent="0.25">
      <c r="B4" s="164"/>
      <c r="C4" s="4"/>
      <c r="D4" s="3"/>
      <c r="E4" s="3"/>
      <c r="F4" s="3"/>
      <c r="G4" s="74"/>
      <c r="H4" s="185"/>
      <c r="I4" s="3"/>
      <c r="J4" s="3"/>
      <c r="K4" s="3"/>
      <c r="L4" s="4"/>
      <c r="M4" s="3"/>
      <c r="O4" s="11" t="s">
        <v>66</v>
      </c>
      <c r="Q4" s="55">
        <v>206.16</v>
      </c>
      <c r="R4" s="505">
        <v>1.03E-2</v>
      </c>
      <c r="T4" s="63"/>
      <c r="W4" s="133">
        <v>42766</v>
      </c>
      <c r="X4" s="10">
        <v>202.47</v>
      </c>
      <c r="Y4" s="10">
        <v>202.47</v>
      </c>
      <c r="Z4" s="10">
        <v>198.86</v>
      </c>
      <c r="AA4" s="10">
        <v>199.5</v>
      </c>
      <c r="AB4" s="95">
        <v>2666900</v>
      </c>
      <c r="AC4" s="10">
        <v>199.5</v>
      </c>
      <c r="AD4" s="2">
        <f t="shared" si="0"/>
        <v>3.6099999999999852</v>
      </c>
      <c r="AE4" s="138">
        <f t="shared" si="1"/>
        <v>-1.8305284912902287E-2</v>
      </c>
    </row>
    <row r="5" spans="1:31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3"/>
      <c r="O5" s="11" t="s">
        <v>67</v>
      </c>
      <c r="Q5" s="3">
        <f>Q4*Q2</f>
        <v>0</v>
      </c>
      <c r="T5" s="63"/>
      <c r="W5" s="133">
        <v>42765</v>
      </c>
      <c r="X5" s="10">
        <v>204.45</v>
      </c>
      <c r="Y5" s="10">
        <v>204.87</v>
      </c>
      <c r="Z5" s="10">
        <v>200.61</v>
      </c>
      <c r="AA5" s="10">
        <v>203.22</v>
      </c>
      <c r="AB5" s="95">
        <v>3312700</v>
      </c>
      <c r="AC5" s="10">
        <v>203.22</v>
      </c>
      <c r="AD5" s="2">
        <f t="shared" si="0"/>
        <v>4.2599999999999909</v>
      </c>
      <c r="AE5" s="138">
        <f t="shared" si="1"/>
        <v>-1.2104418842059261E-2</v>
      </c>
    </row>
    <row r="6" spans="1:31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3"/>
      <c r="O6" s="11" t="s">
        <v>64</v>
      </c>
      <c r="Q6" s="2">
        <f>Q3*Q2</f>
        <v>0</v>
      </c>
      <c r="T6" s="63"/>
      <c r="W6" s="133">
        <v>42762</v>
      </c>
      <c r="X6" s="10">
        <v>205.38</v>
      </c>
      <c r="Y6" s="10">
        <v>205.79</v>
      </c>
      <c r="Z6" s="10">
        <v>203.54</v>
      </c>
      <c r="AA6" s="10">
        <v>205.71</v>
      </c>
      <c r="AB6" s="95">
        <v>2578000</v>
      </c>
      <c r="AC6" s="10">
        <v>205.71</v>
      </c>
      <c r="AD6" s="2">
        <f t="shared" si="0"/>
        <v>2.25</v>
      </c>
      <c r="AE6" s="138">
        <f t="shared" si="1"/>
        <v>7.5427339961797735E-3</v>
      </c>
    </row>
    <row r="7" spans="1:31" x14ac:dyDescent="0.25">
      <c r="B7" s="378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181</v>
      </c>
      <c r="Q7" s="2">
        <f>Q10+Q8</f>
        <v>780.73999999999796</v>
      </c>
      <c r="R7">
        <v>0</v>
      </c>
      <c r="T7" s="63"/>
      <c r="W7" s="133">
        <v>42761</v>
      </c>
      <c r="X7" s="10">
        <v>204.44</v>
      </c>
      <c r="Y7" s="10">
        <v>205.27</v>
      </c>
      <c r="Z7" s="10">
        <v>201.13</v>
      </c>
      <c r="AA7" s="10">
        <v>204.17</v>
      </c>
      <c r="AB7" s="95">
        <v>3882000</v>
      </c>
      <c r="AC7" s="10">
        <v>204.17</v>
      </c>
      <c r="AD7" s="2">
        <f t="shared" si="0"/>
        <v>4.1400000000000148</v>
      </c>
      <c r="AE7" s="138">
        <f t="shared" si="1"/>
        <v>8.3465033583562942E-3</v>
      </c>
    </row>
    <row r="8" spans="1:31" x14ac:dyDescent="0.25">
      <c r="B8" s="378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184</v>
      </c>
      <c r="P8" s="34"/>
      <c r="Q8" s="2">
        <f>K18+M18-F18+Q2*Q4</f>
        <v>0</v>
      </c>
      <c r="T8" s="63"/>
      <c r="W8" s="133">
        <v>42760</v>
      </c>
      <c r="X8" s="10">
        <v>199.92</v>
      </c>
      <c r="Y8" s="10">
        <v>202.59</v>
      </c>
      <c r="Z8" s="10">
        <v>198.03</v>
      </c>
      <c r="AA8" s="10">
        <v>202.48</v>
      </c>
      <c r="AB8" s="95">
        <v>6088800</v>
      </c>
      <c r="AC8" s="10">
        <v>202.48</v>
      </c>
      <c r="AD8" s="2">
        <f t="shared" si="0"/>
        <v>4.5600000000000023</v>
      </c>
      <c r="AE8" s="138">
        <f t="shared" si="1"/>
        <v>2.3919089759797618E-2</v>
      </c>
    </row>
    <row r="9" spans="1:31" x14ac:dyDescent="0.25">
      <c r="B9" s="379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214</v>
      </c>
      <c r="Q9" s="138">
        <f>IF(Q2=0, 0, Q8/Q6)</f>
        <v>0</v>
      </c>
      <c r="T9" s="67"/>
      <c r="W9" s="133">
        <v>42759</v>
      </c>
      <c r="X9" s="10">
        <v>192.72</v>
      </c>
      <c r="Y9" s="10">
        <v>199.64</v>
      </c>
      <c r="Z9" s="10">
        <v>192.28</v>
      </c>
      <c r="AA9" s="10">
        <v>197.75</v>
      </c>
      <c r="AB9" s="95">
        <v>5988300</v>
      </c>
      <c r="AC9" s="10">
        <v>197.75</v>
      </c>
      <c r="AD9" s="2">
        <f t="shared" si="0"/>
        <v>7.3599999999999852</v>
      </c>
      <c r="AE9" s="138">
        <f t="shared" si="1"/>
        <v>3.5340314136125706E-2</v>
      </c>
    </row>
    <row r="10" spans="1:31" x14ac:dyDescent="0.25">
      <c r="B10" s="379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213</v>
      </c>
      <c r="P10" s="34"/>
      <c r="Q10" s="2">
        <f>M32</f>
        <v>780.73999999999796</v>
      </c>
      <c r="W10" s="133">
        <v>42758</v>
      </c>
      <c r="X10" s="10">
        <v>191.01</v>
      </c>
      <c r="Y10" s="10">
        <v>191.53</v>
      </c>
      <c r="Z10" s="10">
        <v>188.42</v>
      </c>
      <c r="AA10" s="10">
        <v>191</v>
      </c>
      <c r="AB10" s="95">
        <v>3338200</v>
      </c>
      <c r="AC10" s="10">
        <v>191</v>
      </c>
      <c r="AD10" s="2">
        <f t="shared" si="0"/>
        <v>3.1100000000000136</v>
      </c>
      <c r="AE10" s="138">
        <f t="shared" si="1"/>
        <v>-4.1867280720120359E-4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178</v>
      </c>
      <c r="P11" s="34"/>
      <c r="Q11" s="138">
        <f>VALUE(TRIM(CLEAN(MID(U57, FIND("(", U57)+1, 5))))</f>
        <v>2.0500000000000001E-2</v>
      </c>
      <c r="W11" s="133">
        <v>42755</v>
      </c>
      <c r="X11" s="10">
        <v>188.6</v>
      </c>
      <c r="Y11" s="10">
        <v>191.54</v>
      </c>
      <c r="Z11" s="10">
        <v>188.1</v>
      </c>
      <c r="AA11" s="10">
        <v>191.08</v>
      </c>
      <c r="AB11" s="95">
        <v>5734300</v>
      </c>
      <c r="AC11" s="10">
        <v>191.08</v>
      </c>
      <c r="AD11" s="2">
        <f t="shared" si="0"/>
        <v>3.4399999999999977</v>
      </c>
      <c r="AE11" s="138">
        <f t="shared" si="1"/>
        <v>2.9747790472084645E-2</v>
      </c>
    </row>
    <row r="12" spans="1:31" x14ac:dyDescent="0.25">
      <c r="B12" s="74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3">
        <v>42754</v>
      </c>
      <c r="X12" s="10">
        <v>185.1</v>
      </c>
      <c r="Y12" s="10">
        <v>186.88</v>
      </c>
      <c r="Z12" s="10">
        <v>184.68</v>
      </c>
      <c r="AA12" s="10">
        <v>185.56</v>
      </c>
      <c r="AB12" s="95">
        <v>4560000</v>
      </c>
      <c r="AC12" s="10">
        <v>185.56</v>
      </c>
      <c r="AD12" s="2">
        <f t="shared" si="0"/>
        <v>2.1999999999999886</v>
      </c>
      <c r="AE12" s="138">
        <f t="shared" si="1"/>
        <v>2.9186033942276701E-3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3">
        <v>42753</v>
      </c>
      <c r="X13" s="10">
        <v>180.36</v>
      </c>
      <c r="Y13" s="10">
        <v>185.07</v>
      </c>
      <c r="Z13" s="10">
        <v>180</v>
      </c>
      <c r="AA13" s="10">
        <v>185.02</v>
      </c>
      <c r="AB13" s="95">
        <v>3562000</v>
      </c>
      <c r="AC13" s="10">
        <v>185.02</v>
      </c>
      <c r="AD13" s="2">
        <f t="shared" si="0"/>
        <v>5.0699999999999932</v>
      </c>
      <c r="AE13" s="138">
        <f t="shared" si="1"/>
        <v>3.2996482608452782E-2</v>
      </c>
    </row>
    <row r="14" spans="1:31" x14ac:dyDescent="0.25">
      <c r="W14" s="133">
        <v>42752</v>
      </c>
      <c r="X14" s="10">
        <v>179.48</v>
      </c>
      <c r="Y14" s="10">
        <v>179.63</v>
      </c>
      <c r="Z14" s="10">
        <v>177.56</v>
      </c>
      <c r="AA14" s="10">
        <v>179.11</v>
      </c>
      <c r="AB14" s="95">
        <v>2628500</v>
      </c>
      <c r="AC14" s="10">
        <v>179.11</v>
      </c>
      <c r="AD14" s="2">
        <f t="shared" si="0"/>
        <v>2.0699999999999932</v>
      </c>
      <c r="AE14" s="138">
        <f t="shared" si="1"/>
        <v>-7.4258797450815761E-3</v>
      </c>
    </row>
    <row r="15" spans="1:31" x14ac:dyDescent="0.25">
      <c r="W15" s="133">
        <v>42748</v>
      </c>
      <c r="X15" s="10">
        <v>178.9</v>
      </c>
      <c r="Y15" s="10">
        <v>180.78</v>
      </c>
      <c r="Z15" s="10">
        <v>178.39</v>
      </c>
      <c r="AA15" s="10">
        <v>180.45</v>
      </c>
      <c r="AB15" s="95">
        <v>2090200</v>
      </c>
      <c r="AC15" s="10">
        <v>180.45</v>
      </c>
      <c r="AD15" s="2">
        <f t="shared" si="0"/>
        <v>2.3900000000000148</v>
      </c>
      <c r="AE15" s="138">
        <f t="shared" si="1"/>
        <v>8.8896343508888531E-3</v>
      </c>
    </row>
    <row r="16" spans="1:31" x14ac:dyDescent="0.25">
      <c r="W16" s="133">
        <v>42747</v>
      </c>
      <c r="X16" s="10">
        <v>178.09</v>
      </c>
      <c r="Y16" s="10">
        <v>179.1</v>
      </c>
      <c r="Z16" s="10">
        <v>175.4</v>
      </c>
      <c r="AA16" s="10">
        <v>178.86</v>
      </c>
      <c r="AB16" s="95">
        <v>2311000</v>
      </c>
      <c r="AC16" s="10">
        <v>178.86</v>
      </c>
      <c r="AD16" s="2">
        <f t="shared" si="0"/>
        <v>3.6999999999999886</v>
      </c>
      <c r="AE16" s="138">
        <f t="shared" si="1"/>
        <v>-3.1211682086722536E-3</v>
      </c>
    </row>
    <row r="17" spans="1:31" x14ac:dyDescent="0.25">
      <c r="W17" s="133">
        <v>42746</v>
      </c>
      <c r="X17" s="10">
        <v>180.05</v>
      </c>
      <c r="Y17" s="10">
        <v>180.47</v>
      </c>
      <c r="Z17" s="10">
        <v>177.76</v>
      </c>
      <c r="AA17" s="10">
        <v>179.42</v>
      </c>
      <c r="AB17" s="95">
        <v>1873800</v>
      </c>
      <c r="AC17" s="10">
        <v>179.42</v>
      </c>
      <c r="AD17" s="2">
        <f t="shared" si="0"/>
        <v>2.710000000000008</v>
      </c>
      <c r="AE17" s="138">
        <f t="shared" si="1"/>
        <v>-6.3687212715290986E-3</v>
      </c>
    </row>
    <row r="18" spans="1:31" x14ac:dyDescent="0.25">
      <c r="A18" s="64" t="s">
        <v>81</v>
      </c>
      <c r="B18" s="65"/>
      <c r="C18" s="65">
        <f>SUM(C2:C13)</f>
        <v>0</v>
      </c>
      <c r="D18" s="66"/>
      <c r="E18" s="66"/>
      <c r="F18" s="66">
        <f>SUM(F2:F13)</f>
        <v>0</v>
      </c>
      <c r="G18" s="65"/>
      <c r="H18" s="65">
        <f>SUM(H2:H13)</f>
        <v>0</v>
      </c>
      <c r="I18" s="66"/>
      <c r="J18" s="66"/>
      <c r="K18" s="66">
        <f>SUM(K2:K13)</f>
        <v>0</v>
      </c>
      <c r="L18" s="65"/>
      <c r="M18" s="66">
        <f>SUM(M2:M13)</f>
        <v>0</v>
      </c>
      <c r="W18" s="133">
        <v>42745</v>
      </c>
      <c r="X18" s="10">
        <v>177.49</v>
      </c>
      <c r="Y18" s="10">
        <v>180.74</v>
      </c>
      <c r="Z18" s="10">
        <v>176.9</v>
      </c>
      <c r="AA18" s="10">
        <v>180.57</v>
      </c>
      <c r="AB18" s="95">
        <v>3018100</v>
      </c>
      <c r="AC18" s="10">
        <v>180.57</v>
      </c>
      <c r="AD18" s="2">
        <f t="shared" si="0"/>
        <v>3.8400000000000034</v>
      </c>
      <c r="AE18" s="138">
        <f t="shared" si="1"/>
        <v>2.0342430920494925E-2</v>
      </c>
    </row>
    <row r="19" spans="1:31" x14ac:dyDescent="0.25">
      <c r="W19" s="133">
        <v>42744</v>
      </c>
      <c r="X19" s="10">
        <v>176.65</v>
      </c>
      <c r="Y19" s="10">
        <v>178.3</v>
      </c>
      <c r="Z19" s="10">
        <v>176.64</v>
      </c>
      <c r="AA19" s="10">
        <v>176.97</v>
      </c>
      <c r="AB19" s="95">
        <v>2026500</v>
      </c>
      <c r="AC19" s="10">
        <v>176.97</v>
      </c>
      <c r="AD19" s="2">
        <f t="shared" si="0"/>
        <v>1.660000000000025</v>
      </c>
      <c r="AE19" s="138">
        <f t="shared" si="1"/>
        <v>2.1518772297410838E-3</v>
      </c>
    </row>
    <row r="20" spans="1:31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5" t="s">
        <v>65</v>
      </c>
      <c r="G20" s="229" t="s">
        <v>152</v>
      </c>
      <c r="H20" s="195" t="s">
        <v>88</v>
      </c>
      <c r="W20" s="133">
        <v>42741</v>
      </c>
      <c r="X20" s="10">
        <v>174.21</v>
      </c>
      <c r="Y20" s="10">
        <v>176.9</v>
      </c>
      <c r="Z20" s="10">
        <v>173.31</v>
      </c>
      <c r="AA20" s="10">
        <v>176.59</v>
      </c>
      <c r="AB20" s="95">
        <v>2314200</v>
      </c>
      <c r="AC20" s="10">
        <v>176.59</v>
      </c>
      <c r="AD20" s="2">
        <f t="shared" si="0"/>
        <v>3.5900000000000034</v>
      </c>
      <c r="AE20" s="138">
        <f t="shared" si="1"/>
        <v>1.3254532935506047E-2</v>
      </c>
    </row>
    <row r="21" spans="1:31" x14ac:dyDescent="0.25">
      <c r="B21" s="193"/>
      <c r="C21" s="10"/>
      <c r="D21" s="40"/>
      <c r="E21" s="40"/>
      <c r="F21" s="40"/>
      <c r="G21" s="40"/>
      <c r="H21" s="232"/>
      <c r="W21" s="133">
        <v>42740</v>
      </c>
      <c r="X21" s="10">
        <v>176.33</v>
      </c>
      <c r="Y21" s="10">
        <v>177</v>
      </c>
      <c r="Z21" s="10">
        <v>173.88</v>
      </c>
      <c r="AA21" s="10">
        <v>174.28</v>
      </c>
      <c r="AB21" s="95">
        <v>2480300</v>
      </c>
      <c r="AC21" s="10">
        <v>174.28</v>
      </c>
      <c r="AD21" s="2">
        <f t="shared" si="0"/>
        <v>3.1200000000000045</v>
      </c>
      <c r="AE21" s="138">
        <f t="shared" si="1"/>
        <v>-1.5756480487942537E-2</v>
      </c>
    </row>
    <row r="22" spans="1:31" x14ac:dyDescent="0.25">
      <c r="B22" s="193"/>
      <c r="C22" s="10"/>
      <c r="D22" s="202"/>
      <c r="E22" s="202"/>
      <c r="F22" s="40"/>
      <c r="G22" s="40"/>
      <c r="H22" s="232"/>
      <c r="W22" s="133">
        <v>42739</v>
      </c>
      <c r="X22" s="10">
        <v>178.26</v>
      </c>
      <c r="Y22" s="10">
        <v>179</v>
      </c>
      <c r="Z22" s="10">
        <v>176.68</v>
      </c>
      <c r="AA22" s="10">
        <v>177.07</v>
      </c>
      <c r="AB22" s="95">
        <v>2389100</v>
      </c>
      <c r="AC22" s="10">
        <v>177.07</v>
      </c>
      <c r="AD22" s="2">
        <f t="shared" si="0"/>
        <v>2.3199999999999932</v>
      </c>
      <c r="AE22" s="138">
        <f t="shared" si="1"/>
        <v>-7.1212291129304495E-3</v>
      </c>
    </row>
    <row r="23" spans="1:31" x14ac:dyDescent="0.25">
      <c r="B23" s="10"/>
      <c r="C23" s="10"/>
      <c r="D23" s="40"/>
      <c r="E23" s="40"/>
      <c r="F23" s="40"/>
      <c r="G23" s="40"/>
      <c r="H23" s="232"/>
      <c r="W23" s="133">
        <v>42738</v>
      </c>
      <c r="X23" s="10">
        <v>178.29</v>
      </c>
      <c r="Y23" s="10">
        <v>180.9</v>
      </c>
      <c r="Z23" s="10">
        <v>176.54</v>
      </c>
      <c r="AA23" s="10">
        <v>178.34</v>
      </c>
      <c r="AB23" s="95">
        <v>3208700</v>
      </c>
      <c r="AC23" s="10">
        <v>178.34</v>
      </c>
      <c r="AD23" s="2">
        <f t="shared" si="0"/>
        <v>4.3600000000000136</v>
      </c>
      <c r="AE23" s="138">
        <f t="shared" si="1"/>
        <v>8.881597556146259E-3</v>
      </c>
    </row>
    <row r="24" spans="1:31" x14ac:dyDescent="0.25">
      <c r="B24" s="10"/>
      <c r="C24" s="10"/>
      <c r="D24" s="40"/>
      <c r="E24" s="40"/>
      <c r="F24" s="40"/>
      <c r="G24" s="40"/>
      <c r="H24" s="232"/>
      <c r="W24" s="133">
        <v>42734</v>
      </c>
      <c r="X24" s="10">
        <v>180.37</v>
      </c>
      <c r="Y24" s="10">
        <v>180.9</v>
      </c>
      <c r="Z24" s="10">
        <v>176.02</v>
      </c>
      <c r="AA24" s="10">
        <v>176.77</v>
      </c>
      <c r="AB24" s="95">
        <v>2542100</v>
      </c>
      <c r="AC24" s="10">
        <v>176.77</v>
      </c>
      <c r="AD24" s="2">
        <f t="shared" si="0"/>
        <v>4.8799999999999955</v>
      </c>
      <c r="AE24" s="138">
        <f t="shared" si="1"/>
        <v>-1.7234669483515819E-2</v>
      </c>
    </row>
    <row r="25" spans="1:31" x14ac:dyDescent="0.25">
      <c r="B25" s="10"/>
      <c r="C25" s="10"/>
      <c r="D25" s="40"/>
      <c r="E25" s="40"/>
      <c r="F25" s="40"/>
      <c r="G25" s="40"/>
      <c r="H25" s="232"/>
      <c r="W25" s="133">
        <v>42733</v>
      </c>
      <c r="X25" s="10">
        <v>179.7</v>
      </c>
      <c r="Y25" s="10">
        <v>180.67</v>
      </c>
      <c r="Z25" s="10">
        <v>178.63</v>
      </c>
      <c r="AA25" s="10">
        <v>179.87</v>
      </c>
      <c r="AB25" s="95">
        <v>1367100</v>
      </c>
      <c r="AC25" s="10">
        <v>179.87</v>
      </c>
      <c r="AD25" s="2">
        <f t="shared" si="0"/>
        <v>2.039999999999992</v>
      </c>
      <c r="AE25" s="138">
        <f t="shared" si="1"/>
        <v>-1.7759032132748098E-3</v>
      </c>
    </row>
    <row r="26" spans="1:31" x14ac:dyDescent="0.25">
      <c r="B26" s="10"/>
      <c r="C26" s="10"/>
      <c r="D26" s="40"/>
      <c r="E26" s="40"/>
      <c r="F26" s="40"/>
      <c r="G26" s="40"/>
      <c r="H26" s="232"/>
      <c r="W26" s="133">
        <v>42732</v>
      </c>
      <c r="X26" s="10">
        <v>182.64</v>
      </c>
      <c r="Y26" s="10">
        <v>183</v>
      </c>
      <c r="Z26" s="10">
        <v>179.84</v>
      </c>
      <c r="AA26" s="10">
        <v>180.19</v>
      </c>
      <c r="AB26" s="95">
        <v>1387500</v>
      </c>
      <c r="AC26" s="10">
        <v>180.19</v>
      </c>
      <c r="AD26" s="2">
        <f t="shared" si="0"/>
        <v>3.1599999999999966</v>
      </c>
      <c r="AE26" s="138">
        <f t="shared" si="1"/>
        <v>-1.162854478635289E-2</v>
      </c>
    </row>
    <row r="27" spans="1:31" x14ac:dyDescent="0.25">
      <c r="B27" s="10"/>
      <c r="C27" s="10"/>
      <c r="D27" s="40"/>
      <c r="E27" s="40"/>
      <c r="F27" s="40"/>
      <c r="G27" s="40"/>
      <c r="H27" s="232"/>
      <c r="W27" s="133">
        <v>42731</v>
      </c>
      <c r="X27" s="10">
        <v>182.11</v>
      </c>
      <c r="Y27" s="10">
        <v>183.7</v>
      </c>
      <c r="Z27" s="10">
        <v>182.05</v>
      </c>
      <c r="AA27" s="10">
        <v>182.31</v>
      </c>
      <c r="AB27" s="95">
        <v>828300</v>
      </c>
      <c r="AC27" s="10">
        <v>182.31</v>
      </c>
      <c r="AD27" s="2">
        <f t="shared" si="0"/>
        <v>1.6499999999999773</v>
      </c>
      <c r="AE27" s="138">
        <f t="shared" si="1"/>
        <v>2.0336374628999732E-3</v>
      </c>
    </row>
    <row r="28" spans="1:31" x14ac:dyDescent="0.25">
      <c r="B28" s="10"/>
      <c r="C28" s="10"/>
      <c r="D28" s="40"/>
      <c r="E28" s="40"/>
      <c r="F28" s="40"/>
      <c r="G28" s="40"/>
      <c r="H28" s="232"/>
      <c r="W28" s="133">
        <v>42727</v>
      </c>
      <c r="X28" s="10">
        <v>180.05</v>
      </c>
      <c r="Y28" s="10">
        <v>181.98</v>
      </c>
      <c r="Z28" s="10">
        <v>179.66</v>
      </c>
      <c r="AA28" s="10">
        <v>181.94</v>
      </c>
      <c r="AB28" s="95">
        <v>897700</v>
      </c>
      <c r="AC28" s="10">
        <v>181.94</v>
      </c>
      <c r="AD28" s="2">
        <f t="shared" si="0"/>
        <v>2.3199999999999932</v>
      </c>
      <c r="AE28" s="138">
        <f t="shared" si="1"/>
        <v>7.4197120708747732E-3</v>
      </c>
    </row>
    <row r="29" spans="1:31" x14ac:dyDescent="0.25">
      <c r="B29" s="10"/>
      <c r="C29" s="10"/>
      <c r="D29" s="40"/>
      <c r="E29" s="40"/>
      <c r="F29" s="40"/>
      <c r="G29" s="40"/>
      <c r="H29" s="232"/>
      <c r="W29" s="133">
        <v>42726</v>
      </c>
      <c r="X29" s="10">
        <v>182.85</v>
      </c>
      <c r="Y29" s="10">
        <v>183</v>
      </c>
      <c r="Z29" s="10">
        <v>179.38</v>
      </c>
      <c r="AA29" s="10">
        <v>180.6</v>
      </c>
      <c r="AB29" s="95">
        <v>1755700</v>
      </c>
      <c r="AC29" s="10">
        <v>180.6</v>
      </c>
      <c r="AD29" s="2">
        <f t="shared" si="0"/>
        <v>3.6200000000000045</v>
      </c>
      <c r="AE29" s="138">
        <f t="shared" si="1"/>
        <v>-9.2709419057545039E-3</v>
      </c>
    </row>
    <row r="30" spans="1:31" x14ac:dyDescent="0.25">
      <c r="B30" s="10"/>
      <c r="C30" s="10"/>
      <c r="D30" s="40"/>
      <c r="E30" s="40"/>
      <c r="F30" s="40"/>
      <c r="G30" s="40"/>
      <c r="H30" s="232"/>
      <c r="W30" s="133">
        <v>42725</v>
      </c>
      <c r="X30" s="10">
        <v>183.73</v>
      </c>
      <c r="Y30" s="10">
        <v>183.99</v>
      </c>
      <c r="Z30" s="10">
        <v>181.78</v>
      </c>
      <c r="AA30" s="10">
        <v>182.29</v>
      </c>
      <c r="AB30" s="95">
        <v>2101300</v>
      </c>
      <c r="AC30" s="10">
        <v>182.29</v>
      </c>
      <c r="AD30" s="2">
        <f t="shared" si="0"/>
        <v>2.210000000000008</v>
      </c>
      <c r="AE30" s="138">
        <f t="shared" si="1"/>
        <v>1.2083264678419692E-3</v>
      </c>
    </row>
    <row r="31" spans="1:31" x14ac:dyDescent="0.25">
      <c r="W31" s="133">
        <v>42724</v>
      </c>
      <c r="X31" s="10">
        <v>181</v>
      </c>
      <c r="Y31" s="10">
        <v>183.28</v>
      </c>
      <c r="Z31" s="10">
        <v>180.14</v>
      </c>
      <c r="AA31" s="10">
        <v>182.07</v>
      </c>
      <c r="AB31" s="95">
        <v>2735200</v>
      </c>
      <c r="AC31" s="10">
        <v>182.07</v>
      </c>
      <c r="AD31" s="2">
        <f t="shared" si="0"/>
        <v>3.1400000000000148</v>
      </c>
      <c r="AE31" s="138">
        <f t="shared" si="1"/>
        <v>8.9216446858029208E-3</v>
      </c>
    </row>
    <row r="32" spans="1:31" x14ac:dyDescent="0.25">
      <c r="L32" t="s">
        <v>213</v>
      </c>
      <c r="M32" s="2">
        <f>M50+K50-F50</f>
        <v>780.73999999999796</v>
      </c>
      <c r="W32" s="133">
        <v>42723</v>
      </c>
      <c r="X32" s="10">
        <v>179.07</v>
      </c>
      <c r="Y32" s="10">
        <v>181.41</v>
      </c>
      <c r="Z32" s="10">
        <v>178.12</v>
      </c>
      <c r="AA32" s="10">
        <v>180.46</v>
      </c>
      <c r="AB32" s="95">
        <v>2221900</v>
      </c>
      <c r="AC32" s="10">
        <v>180.46</v>
      </c>
      <c r="AD32" s="2">
        <f t="shared" si="0"/>
        <v>3.289999999999992</v>
      </c>
      <c r="AE32" s="138">
        <f t="shared" si="1"/>
        <v>1.1433695774016428E-2</v>
      </c>
    </row>
    <row r="33" spans="1:31" x14ac:dyDescent="0.25">
      <c r="A33" s="11" t="s">
        <v>1</v>
      </c>
      <c r="B33" s="11" t="s">
        <v>2</v>
      </c>
      <c r="C33" s="11" t="s">
        <v>4</v>
      </c>
      <c r="D33" s="21" t="s">
        <v>5</v>
      </c>
      <c r="E33" s="21" t="s">
        <v>94</v>
      </c>
      <c r="F33" s="21" t="s">
        <v>69</v>
      </c>
      <c r="G33" s="11" t="s">
        <v>3</v>
      </c>
      <c r="H33" s="11" t="s">
        <v>6</v>
      </c>
      <c r="I33" s="21" t="s">
        <v>7</v>
      </c>
      <c r="J33" s="21" t="s">
        <v>95</v>
      </c>
      <c r="K33" s="21" t="s">
        <v>61</v>
      </c>
      <c r="L33" s="11" t="s">
        <v>37</v>
      </c>
      <c r="M33" s="11" t="s">
        <v>38</v>
      </c>
      <c r="W33" s="133">
        <v>42720</v>
      </c>
      <c r="X33" s="10">
        <v>180.75</v>
      </c>
      <c r="Y33" s="10">
        <v>181.09</v>
      </c>
      <c r="Z33" s="10">
        <v>177.48</v>
      </c>
      <c r="AA33" s="10">
        <v>178.42</v>
      </c>
      <c r="AB33" s="95">
        <v>4154100</v>
      </c>
      <c r="AC33" s="10">
        <v>178.42</v>
      </c>
      <c r="AD33" s="2">
        <f t="shared" si="0"/>
        <v>3.6100000000000136</v>
      </c>
      <c r="AE33" s="138">
        <f t="shared" si="1"/>
        <v>-8.8328426198545085E-3</v>
      </c>
    </row>
    <row r="34" spans="1:31" x14ac:dyDescent="0.25">
      <c r="A34" s="6" t="s">
        <v>33</v>
      </c>
      <c r="B34" s="1">
        <v>42166</v>
      </c>
      <c r="C34" s="7">
        <v>10</v>
      </c>
      <c r="D34" s="44">
        <v>139.16</v>
      </c>
      <c r="E34" s="44">
        <v>0</v>
      </c>
      <c r="F34" s="44">
        <f t="shared" ref="F34:F44" si="2">D34*C34</f>
        <v>1391.6</v>
      </c>
      <c r="G34" s="74">
        <v>42213</v>
      </c>
      <c r="H34" s="7">
        <v>10</v>
      </c>
      <c r="I34" s="44">
        <f>129.5</f>
        <v>129.5</v>
      </c>
      <c r="J34" s="44">
        <v>0.02</v>
      </c>
      <c r="K34" s="44">
        <f>H34*I34-J34</f>
        <v>1294.98</v>
      </c>
      <c r="L34" s="1">
        <v>42185</v>
      </c>
      <c r="M34" s="2">
        <v>4</v>
      </c>
      <c r="W34" s="133">
        <v>42719</v>
      </c>
      <c r="X34" s="10">
        <v>178.31</v>
      </c>
      <c r="Y34" s="10">
        <v>181.2</v>
      </c>
      <c r="Z34" s="10">
        <v>176.57</v>
      </c>
      <c r="AA34" s="10">
        <v>180.01</v>
      </c>
      <c r="AB34" s="95">
        <v>3810300</v>
      </c>
      <c r="AC34" s="10">
        <v>180.01</v>
      </c>
      <c r="AD34" s="2">
        <f t="shared" si="0"/>
        <v>4.6299999999999955</v>
      </c>
      <c r="AE34" s="138">
        <f t="shared" si="1"/>
        <v>1.345569192658469E-2</v>
      </c>
    </row>
    <row r="35" spans="1:31" x14ac:dyDescent="0.25">
      <c r="A35" s="23" t="s">
        <v>71</v>
      </c>
      <c r="B35" s="662">
        <v>42212</v>
      </c>
      <c r="C35" s="7">
        <v>10</v>
      </c>
      <c r="D35" s="44">
        <v>124.25</v>
      </c>
      <c r="E35" s="44">
        <v>0</v>
      </c>
      <c r="F35" s="44">
        <f t="shared" si="2"/>
        <v>1242.5</v>
      </c>
      <c r="G35" s="1">
        <v>42258</v>
      </c>
      <c r="H35" s="7">
        <v>45</v>
      </c>
      <c r="I35" s="44">
        <v>126.8</v>
      </c>
      <c r="J35" s="44">
        <v>0.1</v>
      </c>
      <c r="K35" s="44">
        <f>H35*I35-J35</f>
        <v>5705.9</v>
      </c>
      <c r="L35" s="1">
        <v>42277</v>
      </c>
      <c r="M35" s="2">
        <v>2.1</v>
      </c>
      <c r="W35" s="133">
        <v>42718</v>
      </c>
      <c r="X35" s="10">
        <v>178.75</v>
      </c>
      <c r="Y35" s="10">
        <v>179.22</v>
      </c>
      <c r="Z35" s="10">
        <v>176.23</v>
      </c>
      <c r="AA35" s="10">
        <v>177.62</v>
      </c>
      <c r="AB35" s="95">
        <v>4679500</v>
      </c>
      <c r="AC35" s="10">
        <v>177.62</v>
      </c>
      <c r="AD35" s="2">
        <f t="shared" si="0"/>
        <v>2.9900000000000091</v>
      </c>
      <c r="AE35" s="138" t="e">
        <f t="shared" si="1"/>
        <v>#DIV/0!</v>
      </c>
    </row>
    <row r="36" spans="1:31" x14ac:dyDescent="0.25">
      <c r="B36" s="662"/>
      <c r="C36" s="7">
        <v>10</v>
      </c>
      <c r="D36" s="44">
        <v>124.25</v>
      </c>
      <c r="E36" s="44">
        <v>0</v>
      </c>
      <c r="F36" s="44">
        <f t="shared" si="2"/>
        <v>1242.5</v>
      </c>
      <c r="G36" s="1">
        <v>42265</v>
      </c>
      <c r="H36" s="82">
        <v>10</v>
      </c>
      <c r="I36" s="44">
        <v>134.5</v>
      </c>
      <c r="J36" s="44">
        <v>0.02</v>
      </c>
      <c r="K36" s="44">
        <f>H36*I36-J36</f>
        <v>1344.98</v>
      </c>
      <c r="M36" s="2"/>
      <c r="W36" s="133">
        <v>42718</v>
      </c>
      <c r="X36" s="10" t="s">
        <v>363</v>
      </c>
      <c r="Y36" s="10"/>
      <c r="Z36" s="10"/>
      <c r="AA36" s="10"/>
      <c r="AB36" s="95"/>
      <c r="AC36" s="10"/>
      <c r="AD36" s="2">
        <f t="shared" si="0"/>
        <v>0</v>
      </c>
      <c r="AE36" s="138">
        <f t="shared" si="1"/>
        <v>-1</v>
      </c>
    </row>
    <row r="37" spans="1:31" x14ac:dyDescent="0.25">
      <c r="B37" s="1">
        <v>42220</v>
      </c>
      <c r="C37" s="7">
        <v>5</v>
      </c>
      <c r="D37" s="44">
        <v>123.2</v>
      </c>
      <c r="E37" s="44">
        <v>0</v>
      </c>
      <c r="F37" s="44">
        <f t="shared" si="2"/>
        <v>616</v>
      </c>
      <c r="G37" s="1">
        <v>42290</v>
      </c>
      <c r="H37" s="82">
        <v>5</v>
      </c>
      <c r="I37" s="44">
        <v>119.15</v>
      </c>
      <c r="J37" s="44">
        <v>0.01</v>
      </c>
      <c r="K37" s="44">
        <f>H37*I37-J37</f>
        <v>595.74</v>
      </c>
      <c r="M37" s="2"/>
      <c r="W37" s="133">
        <v>42717</v>
      </c>
      <c r="X37" s="10">
        <v>178.74</v>
      </c>
      <c r="Y37" s="10">
        <v>181.94</v>
      </c>
      <c r="Z37" s="10">
        <v>178</v>
      </c>
      <c r="AA37" s="10">
        <v>179.44</v>
      </c>
      <c r="AB37" s="95">
        <v>6907600</v>
      </c>
      <c r="AC37" s="10">
        <v>178.42</v>
      </c>
      <c r="AD37" s="2">
        <f t="shared" si="0"/>
        <v>3.9399999999999977</v>
      </c>
      <c r="AE37" s="138">
        <f t="shared" si="1"/>
        <v>7.1690657634770893E-3</v>
      </c>
    </row>
    <row r="38" spans="1:31" x14ac:dyDescent="0.25">
      <c r="B38" s="1">
        <v>42220</v>
      </c>
      <c r="C38" s="7">
        <v>20</v>
      </c>
      <c r="D38" s="44">
        <v>122.2</v>
      </c>
      <c r="E38" s="44">
        <v>0</v>
      </c>
      <c r="F38" s="44">
        <f t="shared" si="2"/>
        <v>2444</v>
      </c>
      <c r="G38" s="1">
        <v>42311</v>
      </c>
      <c r="H38" s="82">
        <v>45</v>
      </c>
      <c r="I38" s="44">
        <v>127.75</v>
      </c>
      <c r="J38" s="44">
        <v>0.11</v>
      </c>
      <c r="K38" s="44">
        <f>H38*I38-J38</f>
        <v>5748.64</v>
      </c>
      <c r="M38" s="2"/>
      <c r="W38" s="133">
        <v>42716</v>
      </c>
      <c r="X38" s="10">
        <v>178.05</v>
      </c>
      <c r="Y38" s="10">
        <v>180.77</v>
      </c>
      <c r="Z38" s="10">
        <v>176.56</v>
      </c>
      <c r="AA38" s="10">
        <v>178.16</v>
      </c>
      <c r="AB38" s="95">
        <v>3719400</v>
      </c>
      <c r="AC38" s="10">
        <v>177.15</v>
      </c>
      <c r="AD38" s="2">
        <f t="shared" si="0"/>
        <v>4.210000000000008</v>
      </c>
      <c r="AE38" s="138">
        <f t="shared" si="1"/>
        <v>-5.1665075532093541E-3</v>
      </c>
    </row>
    <row r="39" spans="1:31" x14ac:dyDescent="0.25">
      <c r="B39" s="662">
        <v>42240</v>
      </c>
      <c r="C39" s="7">
        <v>5</v>
      </c>
      <c r="D39" s="44">
        <v>120.5</v>
      </c>
      <c r="E39" s="44">
        <v>0</v>
      </c>
      <c r="F39" s="44">
        <f t="shared" si="2"/>
        <v>602.5</v>
      </c>
      <c r="M39" s="2"/>
      <c r="W39" s="133">
        <v>42713</v>
      </c>
      <c r="X39" s="10">
        <v>180.95</v>
      </c>
      <c r="Y39" s="10">
        <v>181.9</v>
      </c>
      <c r="Z39" s="10">
        <v>176.9</v>
      </c>
      <c r="AA39" s="10">
        <v>179.09</v>
      </c>
      <c r="AB39" s="95">
        <v>7574400</v>
      </c>
      <c r="AC39" s="10">
        <v>178.07</v>
      </c>
      <c r="AD39" s="2">
        <f t="shared" si="0"/>
        <v>5</v>
      </c>
      <c r="AE39" s="138">
        <f t="shared" si="1"/>
        <v>4.907505596795092E-2</v>
      </c>
    </row>
    <row r="40" spans="1:31" x14ac:dyDescent="0.25">
      <c r="B40" s="663"/>
      <c r="C40" s="7">
        <v>10</v>
      </c>
      <c r="D40" s="44">
        <v>120.5</v>
      </c>
      <c r="E40" s="44">
        <v>0</v>
      </c>
      <c r="F40" s="44">
        <f t="shared" si="2"/>
        <v>1205</v>
      </c>
      <c r="W40" s="133">
        <v>42712</v>
      </c>
      <c r="X40" s="10">
        <v>169.55</v>
      </c>
      <c r="Y40" s="10">
        <v>171.38</v>
      </c>
      <c r="Z40" s="10">
        <v>167.51</v>
      </c>
      <c r="AA40" s="10">
        <v>170.71</v>
      </c>
      <c r="AB40" s="95">
        <v>3836100</v>
      </c>
      <c r="AC40" s="10">
        <v>169.74</v>
      </c>
      <c r="AD40" s="2">
        <f t="shared" si="0"/>
        <v>3.8700000000000045</v>
      </c>
      <c r="AE40" s="138">
        <f t="shared" si="1"/>
        <v>1.282892774031863E-2</v>
      </c>
    </row>
    <row r="41" spans="1:31" ht="20.25" thickBot="1" x14ac:dyDescent="0.35">
      <c r="B41" s="1">
        <v>42286</v>
      </c>
      <c r="C41" s="7">
        <v>15</v>
      </c>
      <c r="D41" s="44">
        <v>117.5</v>
      </c>
      <c r="E41" s="44">
        <v>0</v>
      </c>
      <c r="F41" s="44">
        <f t="shared" si="2"/>
        <v>1762.5</v>
      </c>
      <c r="O41" s="638" t="s">
        <v>78</v>
      </c>
      <c r="P41" s="638"/>
      <c r="T41" s="91" t="s">
        <v>113</v>
      </c>
      <c r="W41" s="133">
        <v>42711</v>
      </c>
      <c r="X41" s="10">
        <v>164.76</v>
      </c>
      <c r="Y41" s="10">
        <v>168.55</v>
      </c>
      <c r="Z41" s="10">
        <v>163.66999999999999</v>
      </c>
      <c r="AA41" s="10">
        <v>168.55</v>
      </c>
      <c r="AB41" s="95">
        <v>3265900</v>
      </c>
      <c r="AC41" s="10">
        <v>167.59</v>
      </c>
      <c r="AD41" s="2">
        <f t="shared" si="0"/>
        <v>4.8800000000000239</v>
      </c>
      <c r="AE41" s="138">
        <f t="shared" si="1"/>
        <v>2.3013063118056509E-2</v>
      </c>
    </row>
    <row r="42" spans="1:31" ht="15.75" thickTop="1" x14ac:dyDescent="0.25">
      <c r="B42" s="1">
        <v>42286</v>
      </c>
      <c r="C42" s="7">
        <v>10</v>
      </c>
      <c r="D42" s="44">
        <v>115.6</v>
      </c>
      <c r="E42" s="44">
        <v>0</v>
      </c>
      <c r="F42" s="44">
        <f t="shared" si="2"/>
        <v>1156</v>
      </c>
      <c r="O42" s="83">
        <v>1.1000000000000001</v>
      </c>
      <c r="P42" s="83">
        <f>O42*$Q$4</f>
        <v>226.77600000000001</v>
      </c>
      <c r="Q42" s="2"/>
      <c r="T42" s="135" t="s">
        <v>98</v>
      </c>
      <c r="U42" s="98">
        <v>203.69</v>
      </c>
      <c r="W42" s="133">
        <v>42710</v>
      </c>
      <c r="X42" s="10">
        <v>166.81</v>
      </c>
      <c r="Y42" s="10">
        <v>167.97</v>
      </c>
      <c r="Z42" s="10">
        <v>163.44999999999999</v>
      </c>
      <c r="AA42" s="10">
        <v>164.76</v>
      </c>
      <c r="AB42" s="95">
        <v>3918400</v>
      </c>
      <c r="AC42" s="10">
        <v>163.82</v>
      </c>
      <c r="AD42" s="2">
        <f t="shared" si="0"/>
        <v>4.5200000000000102</v>
      </c>
      <c r="AE42" s="138">
        <f t="shared" si="1"/>
        <v>-8.2934802348810788E-3</v>
      </c>
    </row>
    <row r="43" spans="1:31" x14ac:dyDescent="0.25">
      <c r="B43" s="1">
        <v>42286</v>
      </c>
      <c r="C43" s="7">
        <v>10</v>
      </c>
      <c r="D43" s="44">
        <v>113.5</v>
      </c>
      <c r="E43" s="44">
        <v>0</v>
      </c>
      <c r="F43" s="44">
        <f t="shared" si="2"/>
        <v>1135</v>
      </c>
      <c r="O43" s="83">
        <v>1.0900000000000001</v>
      </c>
      <c r="P43" s="83">
        <f t="shared" ref="P43:P62" si="3">O43*$Q$4</f>
        <v>224.71440000000001</v>
      </c>
      <c r="Q43" s="2"/>
      <c r="T43" s="136" t="s">
        <v>99</v>
      </c>
      <c r="U43" s="88">
        <v>201.97</v>
      </c>
      <c r="W43" s="133">
        <v>42709</v>
      </c>
      <c r="X43" s="10">
        <v>166.01</v>
      </c>
      <c r="Y43" s="10">
        <v>166.61</v>
      </c>
      <c r="Z43" s="10">
        <v>162.4</v>
      </c>
      <c r="AA43" s="10">
        <v>166.13</v>
      </c>
      <c r="AB43" s="95">
        <v>2137200</v>
      </c>
      <c r="AC43" s="10">
        <v>165.19</v>
      </c>
      <c r="AD43" s="2">
        <f t="shared" si="0"/>
        <v>4.210000000000008</v>
      </c>
      <c r="AE43" s="138">
        <f t="shared" si="1"/>
        <v>1.1635740094310787E-2</v>
      </c>
    </row>
    <row r="44" spans="1:31" x14ac:dyDescent="0.25">
      <c r="B44" s="1">
        <v>42286</v>
      </c>
      <c r="C44" s="7">
        <v>10</v>
      </c>
      <c r="D44" s="44">
        <v>111.8</v>
      </c>
      <c r="E44" s="44">
        <v>0</v>
      </c>
      <c r="F44" s="44">
        <f t="shared" si="2"/>
        <v>1118</v>
      </c>
      <c r="G44" s="2"/>
      <c r="O44" s="83">
        <v>1.08</v>
      </c>
      <c r="P44" s="83">
        <f t="shared" si="3"/>
        <v>222.65280000000001</v>
      </c>
      <c r="Q44" s="2"/>
      <c r="T44" s="136" t="s">
        <v>100</v>
      </c>
      <c r="U44" s="88" t="s">
        <v>641</v>
      </c>
      <c r="W44" s="133">
        <v>42706</v>
      </c>
      <c r="X44" s="10">
        <v>163.57</v>
      </c>
      <c r="Y44" s="10">
        <v>164.92</v>
      </c>
      <c r="Z44" s="10">
        <v>160.62</v>
      </c>
      <c r="AA44" s="10">
        <v>164.22</v>
      </c>
      <c r="AB44" s="95">
        <v>2694500</v>
      </c>
      <c r="AC44" s="10">
        <v>163.29</v>
      </c>
      <c r="AD44" s="2">
        <f t="shared" si="0"/>
        <v>4.2999999999999829</v>
      </c>
      <c r="AE44" s="138">
        <f t="shared" si="1"/>
        <v>8.8347955022858304E-3</v>
      </c>
    </row>
    <row r="45" spans="1:31" x14ac:dyDescent="0.25">
      <c r="O45" s="83">
        <v>1.07</v>
      </c>
      <c r="P45" s="83">
        <f t="shared" si="3"/>
        <v>220.59120000000001</v>
      </c>
      <c r="Q45" s="2"/>
      <c r="T45" s="136" t="s">
        <v>101</v>
      </c>
      <c r="U45" s="88" t="s">
        <v>642</v>
      </c>
      <c r="W45" s="133">
        <v>42705</v>
      </c>
      <c r="X45" s="10">
        <v>170.01</v>
      </c>
      <c r="Y45" s="10">
        <v>170.49</v>
      </c>
      <c r="Z45" s="10">
        <v>161.21</v>
      </c>
      <c r="AA45" s="10">
        <v>162.79</v>
      </c>
      <c r="AB45" s="95">
        <v>4638900</v>
      </c>
      <c r="AC45" s="10">
        <v>161.86000000000001</v>
      </c>
      <c r="AD45" s="2">
        <f t="shared" si="0"/>
        <v>9.2800000000000011</v>
      </c>
      <c r="AE45" s="138">
        <f t="shared" si="1"/>
        <v>-4.5186408683341228E-2</v>
      </c>
    </row>
    <row r="46" spans="1:31" x14ac:dyDescent="0.25">
      <c r="O46" s="83">
        <v>1.06</v>
      </c>
      <c r="P46" s="83">
        <f t="shared" si="3"/>
        <v>218.52960000000002</v>
      </c>
      <c r="Q46" s="2"/>
      <c r="T46" s="136" t="s">
        <v>102</v>
      </c>
      <c r="U46" s="88">
        <v>214.23</v>
      </c>
      <c r="W46" s="133">
        <v>42704</v>
      </c>
      <c r="X46" s="10">
        <v>175.12</v>
      </c>
      <c r="Y46" s="10">
        <v>175.9</v>
      </c>
      <c r="Z46" s="10">
        <v>170.44</v>
      </c>
      <c r="AA46" s="10">
        <v>170.49</v>
      </c>
      <c r="AB46" s="95">
        <v>3124900</v>
      </c>
      <c r="AC46" s="10">
        <v>169.52</v>
      </c>
      <c r="AD46" s="2">
        <f t="shared" si="0"/>
        <v>5.460000000000008</v>
      </c>
      <c r="AE46" s="138">
        <f t="shared" si="1"/>
        <v>-2.8260246488965191E-2</v>
      </c>
    </row>
    <row r="47" spans="1:31" x14ac:dyDescent="0.25">
      <c r="O47" s="83">
        <v>1.05</v>
      </c>
      <c r="P47" s="83">
        <f t="shared" si="3"/>
        <v>216.46800000000002</v>
      </c>
      <c r="Q47" s="2"/>
      <c r="T47" s="136" t="s">
        <v>103</v>
      </c>
      <c r="U47" s="88">
        <v>1.11208</v>
      </c>
      <c r="W47" s="133">
        <v>42703</v>
      </c>
      <c r="X47" s="10">
        <v>173.86</v>
      </c>
      <c r="Y47" s="10">
        <v>176.98</v>
      </c>
      <c r="Z47" s="10">
        <v>173.43</v>
      </c>
      <c r="AA47" s="10">
        <v>175.45</v>
      </c>
      <c r="AB47" s="95">
        <v>1851400</v>
      </c>
      <c r="AC47" s="10">
        <v>174.45</v>
      </c>
      <c r="AD47" s="2">
        <f t="shared" si="0"/>
        <v>3.5499999999999829</v>
      </c>
      <c r="AE47" s="138">
        <f t="shared" si="1"/>
        <v>4.5491189680986199E-3</v>
      </c>
    </row>
    <row r="48" spans="1:31" x14ac:dyDescent="0.25">
      <c r="O48" s="83">
        <v>1.04</v>
      </c>
      <c r="P48" s="83">
        <f t="shared" si="3"/>
        <v>214.40639999999999</v>
      </c>
      <c r="Q48" s="2"/>
      <c r="T48" s="136" t="s">
        <v>104</v>
      </c>
      <c r="U48" s="88" t="s">
        <v>129</v>
      </c>
      <c r="W48" s="133">
        <v>42702</v>
      </c>
      <c r="X48" s="10">
        <v>176.06</v>
      </c>
      <c r="Y48" s="10">
        <v>177.07</v>
      </c>
      <c r="Z48" s="10">
        <v>174.54</v>
      </c>
      <c r="AA48" s="10">
        <v>174.65</v>
      </c>
      <c r="AB48" s="95">
        <v>2657000</v>
      </c>
      <c r="AC48" s="10">
        <v>173.66</v>
      </c>
      <c r="AD48" s="2">
        <f t="shared" si="0"/>
        <v>2.5300000000000011</v>
      </c>
      <c r="AE48" s="138">
        <f t="shared" si="1"/>
        <v>-1.1891891891891881E-2</v>
      </c>
    </row>
    <row r="49" spans="1:31" x14ac:dyDescent="0.25">
      <c r="O49" s="83">
        <v>1.03</v>
      </c>
      <c r="P49" s="83">
        <f t="shared" si="3"/>
        <v>212.34479999999999</v>
      </c>
      <c r="Q49" s="2"/>
      <c r="T49" s="136"/>
      <c r="U49" s="88"/>
      <c r="W49" s="133">
        <v>42699</v>
      </c>
      <c r="X49" s="10">
        <v>176.78</v>
      </c>
      <c r="Y49" s="10">
        <v>177.02</v>
      </c>
      <c r="Z49" s="10">
        <v>175.57</v>
      </c>
      <c r="AA49" s="10">
        <v>176.75</v>
      </c>
      <c r="AB49" s="95">
        <v>819800</v>
      </c>
      <c r="AC49" s="10">
        <v>175.75</v>
      </c>
      <c r="AD49" s="2">
        <f t="shared" si="0"/>
        <v>1.4500000000000171</v>
      </c>
      <c r="AE49" s="138">
        <f t="shared" si="1"/>
        <v>-1.8174589651842599E-3</v>
      </c>
    </row>
    <row r="50" spans="1:31" x14ac:dyDescent="0.25">
      <c r="A50" s="64" t="s">
        <v>81</v>
      </c>
      <c r="B50" s="65"/>
      <c r="C50" s="65">
        <f>SUM(C34:C45)</f>
        <v>115</v>
      </c>
      <c r="D50" s="66"/>
      <c r="E50" s="66"/>
      <c r="F50" s="66">
        <f>SUM(F34:F45)</f>
        <v>13915.6</v>
      </c>
      <c r="G50" s="65"/>
      <c r="H50" s="65">
        <f>SUM(H34:H45)</f>
        <v>115</v>
      </c>
      <c r="I50" s="66"/>
      <c r="J50" s="66"/>
      <c r="K50" s="66">
        <f>SUM(K34:K45)</f>
        <v>14690.239999999998</v>
      </c>
      <c r="L50" s="65"/>
      <c r="M50" s="66">
        <f>SUM(M34:M45)</f>
        <v>6.1</v>
      </c>
      <c r="O50" s="83">
        <v>1.02</v>
      </c>
      <c r="P50" s="83">
        <f t="shared" si="3"/>
        <v>210.28319999999999</v>
      </c>
      <c r="Q50" s="2"/>
      <c r="T50" s="136" t="s">
        <v>105</v>
      </c>
      <c r="U50" s="88" t="s">
        <v>643</v>
      </c>
      <c r="W50" s="133">
        <v>42697</v>
      </c>
      <c r="X50" s="10">
        <v>176.36</v>
      </c>
      <c r="Y50" s="10">
        <v>177.76</v>
      </c>
      <c r="Z50" s="10">
        <v>175.24</v>
      </c>
      <c r="AA50" s="10">
        <v>177.08</v>
      </c>
      <c r="AB50" s="95">
        <v>2212300</v>
      </c>
      <c r="AC50" s="10">
        <v>176.07</v>
      </c>
      <c r="AD50" s="2">
        <f t="shared" si="0"/>
        <v>2.5199999999999818</v>
      </c>
      <c r="AE50" s="138">
        <f t="shared" si="1"/>
        <v>3.4088972217483082E-4</v>
      </c>
    </row>
    <row r="51" spans="1:31" x14ac:dyDescent="0.25">
      <c r="O51" s="83">
        <v>1.01</v>
      </c>
      <c r="P51" s="83">
        <f t="shared" si="3"/>
        <v>208.2216</v>
      </c>
      <c r="Q51" s="2"/>
      <c r="T51" s="136" t="s">
        <v>106</v>
      </c>
      <c r="U51" s="88" t="s">
        <v>484</v>
      </c>
      <c r="W51" s="133">
        <v>42696</v>
      </c>
      <c r="X51" s="10">
        <v>173.72</v>
      </c>
      <c r="Y51" s="10">
        <v>177.42</v>
      </c>
      <c r="Z51" s="10">
        <v>173.31</v>
      </c>
      <c r="AA51" s="10">
        <v>177.02</v>
      </c>
      <c r="AB51" s="95">
        <v>3102400</v>
      </c>
      <c r="AC51" s="10">
        <v>176.01</v>
      </c>
      <c r="AD51" s="2">
        <f t="shared" si="0"/>
        <v>4.1099999999999852</v>
      </c>
      <c r="AE51" s="138">
        <f t="shared" si="1"/>
        <v>2.5699300699300709E-2</v>
      </c>
    </row>
    <row r="52" spans="1:31" x14ac:dyDescent="0.25">
      <c r="O52" s="83">
        <v>1</v>
      </c>
      <c r="P52" s="83">
        <f t="shared" si="3"/>
        <v>206.16</v>
      </c>
      <c r="Q52" s="2"/>
      <c r="T52" s="136" t="s">
        <v>107</v>
      </c>
      <c r="U52" s="90">
        <v>2271170</v>
      </c>
      <c r="W52" s="133">
        <v>42695</v>
      </c>
      <c r="X52" s="10">
        <v>169.13</v>
      </c>
      <c r="Y52" s="10">
        <v>172.76</v>
      </c>
      <c r="Z52" s="10">
        <v>169.13</v>
      </c>
      <c r="AA52" s="10">
        <v>172.58</v>
      </c>
      <c r="AB52" s="95">
        <v>2138400</v>
      </c>
      <c r="AC52" s="10">
        <v>171.6</v>
      </c>
      <c r="AD52" s="2">
        <f t="shared" si="0"/>
        <v>3.6299999999999955</v>
      </c>
      <c r="AE52" s="138">
        <f t="shared" si="1"/>
        <v>2.6315789473684292E-2</v>
      </c>
    </row>
    <row r="53" spans="1:31" x14ac:dyDescent="0.25">
      <c r="O53" s="83">
        <v>0.99</v>
      </c>
      <c r="P53" s="83">
        <f t="shared" si="3"/>
        <v>204.0984</v>
      </c>
      <c r="Q53" s="2"/>
      <c r="T53" s="136" t="s">
        <v>110</v>
      </c>
      <c r="U53" s="90">
        <v>2990010</v>
      </c>
      <c r="W53" s="133">
        <v>42692</v>
      </c>
      <c r="X53" s="10">
        <v>166.75</v>
      </c>
      <c r="Y53" s="10">
        <v>169.16</v>
      </c>
      <c r="Z53" s="10">
        <v>166.75</v>
      </c>
      <c r="AA53" s="10">
        <v>168.16</v>
      </c>
      <c r="AB53" s="95">
        <v>1952400</v>
      </c>
      <c r="AC53" s="10">
        <v>167.2</v>
      </c>
      <c r="AD53" s="2">
        <f t="shared" si="0"/>
        <v>2.4099999999999966</v>
      </c>
      <c r="AE53" s="138">
        <f t="shared" si="1"/>
        <v>6.6831236076825284E-3</v>
      </c>
    </row>
    <row r="54" spans="1:31" x14ac:dyDescent="0.25">
      <c r="O54" s="83">
        <v>0.98</v>
      </c>
      <c r="P54" s="83">
        <f t="shared" si="3"/>
        <v>202.0368</v>
      </c>
      <c r="Q54" s="2"/>
      <c r="T54" s="136" t="s">
        <v>108</v>
      </c>
      <c r="U54" s="88" t="s">
        <v>644</v>
      </c>
      <c r="W54" s="133">
        <v>42691</v>
      </c>
      <c r="X54" s="10">
        <v>167.35</v>
      </c>
      <c r="Y54" s="10">
        <v>169.02</v>
      </c>
      <c r="Z54" s="10">
        <v>166.02</v>
      </c>
      <c r="AA54" s="10">
        <v>167.04</v>
      </c>
      <c r="AB54" s="95">
        <v>1810000</v>
      </c>
      <c r="AC54" s="10">
        <v>166.09</v>
      </c>
      <c r="AD54" s="2">
        <f t="shared" si="0"/>
        <v>3</v>
      </c>
      <c r="AE54" s="138">
        <f t="shared" si="1"/>
        <v>-4.733940556088112E-3</v>
      </c>
    </row>
    <row r="55" spans="1:31" x14ac:dyDescent="0.25">
      <c r="O55" s="83">
        <v>0.97</v>
      </c>
      <c r="P55" s="83">
        <f t="shared" si="3"/>
        <v>199.9752</v>
      </c>
      <c r="T55" s="136" t="s">
        <v>111</v>
      </c>
      <c r="U55" s="88" t="s">
        <v>129</v>
      </c>
      <c r="W55" s="133">
        <v>42690</v>
      </c>
      <c r="X55" s="10">
        <v>166.3</v>
      </c>
      <c r="Y55" s="10">
        <v>168.17</v>
      </c>
      <c r="Z55" s="10">
        <v>165.75</v>
      </c>
      <c r="AA55" s="10">
        <v>167.83</v>
      </c>
      <c r="AB55" s="95">
        <v>1333300</v>
      </c>
      <c r="AC55" s="10">
        <v>166.88</v>
      </c>
      <c r="AD55" s="2">
        <f t="shared" si="0"/>
        <v>2.4199999999999875</v>
      </c>
      <c r="AE55" s="138">
        <f t="shared" si="1"/>
        <v>8.338368580060429E-3</v>
      </c>
    </row>
    <row r="56" spans="1:31" x14ac:dyDescent="0.25">
      <c r="O56" s="83">
        <v>0.96</v>
      </c>
      <c r="P56" s="83">
        <f t="shared" si="3"/>
        <v>197.9136</v>
      </c>
      <c r="T56" s="136" t="s">
        <v>112</v>
      </c>
      <c r="U56" s="88">
        <v>-4.75</v>
      </c>
      <c r="W56" s="133">
        <v>42689</v>
      </c>
      <c r="X56" s="10">
        <v>164.83</v>
      </c>
      <c r="Y56" s="10">
        <v>167.5</v>
      </c>
      <c r="Z56" s="10">
        <v>163.61000000000001</v>
      </c>
      <c r="AA56" s="10">
        <v>166.45</v>
      </c>
      <c r="AB56" s="95">
        <v>2538000</v>
      </c>
      <c r="AC56" s="10">
        <v>165.5</v>
      </c>
      <c r="AD56" s="2">
        <f t="shared" si="0"/>
        <v>3.8899999999999864</v>
      </c>
      <c r="AE56" s="138">
        <f t="shared" si="1"/>
        <v>1.6272643536997311E-2</v>
      </c>
    </row>
    <row r="57" spans="1:31" x14ac:dyDescent="0.25">
      <c r="O57" s="83">
        <v>0.95</v>
      </c>
      <c r="P57" s="83">
        <f t="shared" si="3"/>
        <v>195.85199999999998</v>
      </c>
      <c r="T57" s="136" t="s">
        <v>109</v>
      </c>
      <c r="U57" s="88" t="s">
        <v>645</v>
      </c>
      <c r="W57" s="133">
        <v>42688</v>
      </c>
      <c r="X57" s="10">
        <v>166.47</v>
      </c>
      <c r="Y57" s="10">
        <v>167.77</v>
      </c>
      <c r="Z57" s="10">
        <v>163.02000000000001</v>
      </c>
      <c r="AA57" s="10">
        <v>163.78</v>
      </c>
      <c r="AB57" s="95">
        <v>2818700</v>
      </c>
      <c r="AC57" s="10">
        <v>162.85</v>
      </c>
      <c r="AD57" s="2">
        <f t="shared" si="0"/>
        <v>4.75</v>
      </c>
      <c r="AE57" s="138">
        <f t="shared" si="1"/>
        <v>-2.2450327150489224E-2</v>
      </c>
    </row>
    <row r="58" spans="1:31" x14ac:dyDescent="0.25">
      <c r="O58" s="83">
        <v>0.94</v>
      </c>
      <c r="P58" s="83">
        <f t="shared" si="3"/>
        <v>193.79039999999998</v>
      </c>
      <c r="W58" s="133">
        <v>42685</v>
      </c>
      <c r="X58" s="10">
        <v>167.35</v>
      </c>
      <c r="Y58" s="10">
        <v>170</v>
      </c>
      <c r="Z58" s="10">
        <v>165.73</v>
      </c>
      <c r="AA58" s="10">
        <v>167.54</v>
      </c>
      <c r="AB58" s="95">
        <v>2979300</v>
      </c>
      <c r="AC58" s="10">
        <v>166.59</v>
      </c>
      <c r="AD58" s="2">
        <f t="shared" si="0"/>
        <v>4.2700000000000102</v>
      </c>
      <c r="AE58" s="138">
        <f t="shared" si="1"/>
        <v>-2.395353015150592E-3</v>
      </c>
    </row>
    <row r="59" spans="1:31" x14ac:dyDescent="0.25">
      <c r="O59" s="83">
        <v>0.93</v>
      </c>
      <c r="P59" s="83">
        <f t="shared" si="3"/>
        <v>191.72880000000001</v>
      </c>
      <c r="W59" s="133">
        <v>42684</v>
      </c>
      <c r="X59" s="10">
        <v>173.72</v>
      </c>
      <c r="Y59" s="10">
        <v>174.5</v>
      </c>
      <c r="Z59" s="10">
        <v>163.30000000000001</v>
      </c>
      <c r="AA59" s="10">
        <v>167.94</v>
      </c>
      <c r="AB59" s="95">
        <v>5121700</v>
      </c>
      <c r="AC59" s="10">
        <v>166.99</v>
      </c>
      <c r="AD59" s="2">
        <f t="shared" si="0"/>
        <v>11.199999999999989</v>
      </c>
      <c r="AE59" s="138">
        <f t="shared" si="1"/>
        <v>-3.1549034390767283E-2</v>
      </c>
    </row>
    <row r="60" spans="1:31" x14ac:dyDescent="0.25">
      <c r="O60" s="83">
        <v>0.92</v>
      </c>
      <c r="P60" s="83">
        <f t="shared" si="3"/>
        <v>189.66720000000001</v>
      </c>
      <c r="W60" s="133">
        <v>42683</v>
      </c>
      <c r="X60" s="10">
        <v>171.47</v>
      </c>
      <c r="Y60" s="10">
        <v>176.5</v>
      </c>
      <c r="Z60" s="10">
        <v>171.16</v>
      </c>
      <c r="AA60" s="10">
        <v>173.42</v>
      </c>
      <c r="AB60" s="95">
        <v>3250600</v>
      </c>
      <c r="AC60" s="10">
        <v>172.43</v>
      </c>
      <c r="AD60" s="2">
        <f t="shared" si="0"/>
        <v>5.3400000000000034</v>
      </c>
      <c r="AE60" s="138">
        <f t="shared" si="1"/>
        <v>-2.0228422069435759E-2</v>
      </c>
    </row>
    <row r="61" spans="1:31" x14ac:dyDescent="0.25">
      <c r="O61" s="83">
        <v>0.91</v>
      </c>
      <c r="P61" s="83">
        <f t="shared" si="3"/>
        <v>187.60560000000001</v>
      </c>
      <c r="W61" s="133">
        <v>42682</v>
      </c>
      <c r="X61" s="10">
        <v>177.07</v>
      </c>
      <c r="Y61" s="10">
        <v>178.02</v>
      </c>
      <c r="Z61" s="10">
        <v>175.11</v>
      </c>
      <c r="AA61" s="10">
        <v>177</v>
      </c>
      <c r="AB61" s="95">
        <v>1892300</v>
      </c>
      <c r="AC61" s="10">
        <v>175.99</v>
      </c>
      <c r="AD61" s="2">
        <f t="shared" si="0"/>
        <v>2.9099999999999966</v>
      </c>
      <c r="AE61" s="138">
        <f t="shared" si="1"/>
        <v>2.2733731173629756E-4</v>
      </c>
    </row>
    <row r="62" spans="1:31" x14ac:dyDescent="0.25">
      <c r="O62" s="83">
        <v>0.9</v>
      </c>
      <c r="P62" s="83">
        <f t="shared" si="3"/>
        <v>185.54400000000001</v>
      </c>
      <c r="W62" s="133">
        <v>42681</v>
      </c>
      <c r="X62" s="10">
        <v>174.39</v>
      </c>
      <c r="Y62" s="10">
        <v>177.88</v>
      </c>
      <c r="Z62" s="10">
        <v>174.11</v>
      </c>
      <c r="AA62" s="10">
        <v>176.96</v>
      </c>
      <c r="AB62" s="95">
        <v>2612600</v>
      </c>
      <c r="AC62" s="10">
        <v>175.95</v>
      </c>
      <c r="AD62" s="2">
        <f t="shared" si="0"/>
        <v>3.7699999999999818</v>
      </c>
      <c r="AE62" s="138">
        <f t="shared" si="1"/>
        <v>2.7805362462760552E-2</v>
      </c>
    </row>
    <row r="63" spans="1:31" x14ac:dyDescent="0.25">
      <c r="W63" s="133">
        <v>42678</v>
      </c>
      <c r="X63" s="10">
        <v>170.4</v>
      </c>
      <c r="Y63" s="10">
        <v>174.53</v>
      </c>
      <c r="Z63" s="10">
        <v>170.23</v>
      </c>
      <c r="AA63" s="10">
        <v>172.17</v>
      </c>
      <c r="AB63" s="95">
        <v>2175300</v>
      </c>
      <c r="AC63" s="10">
        <v>171.19</v>
      </c>
      <c r="AD63" s="2">
        <f t="shared" si="0"/>
        <v>4.3000000000000114</v>
      </c>
      <c r="AE63" s="138">
        <f t="shared" si="1"/>
        <v>-4.7671646997267114E-3</v>
      </c>
    </row>
    <row r="64" spans="1:31" x14ac:dyDescent="0.25">
      <c r="W64" s="133">
        <v>42677</v>
      </c>
      <c r="X64" s="10">
        <v>172.45</v>
      </c>
      <c r="Y64" s="10">
        <v>175.34</v>
      </c>
      <c r="Z64" s="10">
        <v>172.15</v>
      </c>
      <c r="AA64" s="10">
        <v>172.99</v>
      </c>
      <c r="AB64" s="95">
        <v>2065400</v>
      </c>
      <c r="AC64" s="10">
        <v>172.01</v>
      </c>
      <c r="AD64" s="2">
        <f t="shared" si="0"/>
        <v>3.1899999999999977</v>
      </c>
      <c r="AE64" s="138">
        <f t="shared" si="1"/>
        <v>2.5061195943580916E-3</v>
      </c>
    </row>
    <row r="65" spans="23:31" x14ac:dyDescent="0.25">
      <c r="W65" s="133">
        <v>42676</v>
      </c>
      <c r="X65" s="10">
        <v>172.91</v>
      </c>
      <c r="Y65" s="10">
        <v>174.15</v>
      </c>
      <c r="Z65" s="10">
        <v>169.81</v>
      </c>
      <c r="AA65" s="10">
        <v>172.56</v>
      </c>
      <c r="AB65" s="95">
        <v>4350100</v>
      </c>
      <c r="AC65" s="10">
        <v>171.58</v>
      </c>
      <c r="AD65" s="2">
        <f t="shared" si="0"/>
        <v>4.3400000000000034</v>
      </c>
      <c r="AE65" s="138">
        <f t="shared" si="1"/>
        <v>2.2283126787416618E-2</v>
      </c>
    </row>
    <row r="66" spans="23:31" x14ac:dyDescent="0.25">
      <c r="W66" s="133">
        <v>42675</v>
      </c>
      <c r="X66" s="10">
        <v>170.72</v>
      </c>
      <c r="Y66" s="10">
        <v>171.55</v>
      </c>
      <c r="Z66" s="10">
        <v>165.83</v>
      </c>
      <c r="AA66" s="10">
        <v>168.8</v>
      </c>
      <c r="AB66" s="95">
        <v>2845200</v>
      </c>
      <c r="AC66" s="10">
        <v>167.84</v>
      </c>
      <c r="AD66" s="2">
        <f t="shared" si="0"/>
        <v>5.7199999999999989</v>
      </c>
      <c r="AE66" s="138">
        <f t="shared" si="1"/>
        <v>-8.6822987419525877E-3</v>
      </c>
    </row>
    <row r="67" spans="23:31" x14ac:dyDescent="0.25">
      <c r="W67" s="133">
        <v>42674</v>
      </c>
      <c r="X67" s="10">
        <v>170</v>
      </c>
      <c r="Y67" s="10">
        <v>171.66</v>
      </c>
      <c r="Z67" s="10">
        <v>168.69</v>
      </c>
      <c r="AA67" s="10">
        <v>170.28</v>
      </c>
      <c r="AB67" s="95">
        <v>2031700</v>
      </c>
      <c r="AC67" s="10">
        <v>169.31</v>
      </c>
      <c r="AD67" s="2">
        <f>Y67-Z67</f>
        <v>2.9699999999999989</v>
      </c>
      <c r="AE67" s="138">
        <f>AC67/AC68-1</f>
        <v>5.4635073341648965E-3</v>
      </c>
    </row>
    <row r="68" spans="23:31" x14ac:dyDescent="0.25">
      <c r="W68" s="133">
        <v>42671</v>
      </c>
      <c r="X68" s="10">
        <v>172.49</v>
      </c>
      <c r="Y68" s="10">
        <v>172.87</v>
      </c>
      <c r="Z68" s="10">
        <v>169.04</v>
      </c>
      <c r="AA68" s="10">
        <v>169.35</v>
      </c>
      <c r="AB68" s="95">
        <v>2065100</v>
      </c>
      <c r="AC68" s="10">
        <v>168.39</v>
      </c>
      <c r="AD68" s="2">
        <f>Y68-Z68</f>
        <v>3.8300000000000125</v>
      </c>
      <c r="AE68" s="138" t="e">
        <f>AC68/AC69-1</f>
        <v>#DIV/0!</v>
      </c>
    </row>
    <row r="69" spans="23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225" priority="11">
      <formula>F21&gt;0</formula>
    </cfRule>
    <cfRule type="expression" dxfId="224" priority="12">
      <formula>F21&lt;0</formula>
    </cfRule>
  </conditionalFormatting>
  <conditionalFormatting sqref="H21:H23">
    <cfRule type="expression" dxfId="223" priority="9">
      <formula>H21&gt;0</formula>
    </cfRule>
    <cfRule type="expression" dxfId="222" priority="10">
      <formula>H21&lt;0</formula>
    </cfRule>
  </conditionalFormatting>
  <conditionalFormatting sqref="Q8">
    <cfRule type="expression" dxfId="221" priority="1">
      <formula>Q8&gt;0</formula>
    </cfRule>
    <cfRule type="expression" dxfId="220" priority="2">
      <formula>Q8&lt;0</formula>
    </cfRule>
  </conditionalFormatting>
  <conditionalFormatting sqref="Q7">
    <cfRule type="expression" dxfId="219" priority="3">
      <formula>Q7&gt;0</formula>
    </cfRule>
    <cfRule type="expression" dxfId="218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9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12.42578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13</v>
      </c>
      <c r="B2" s="74"/>
      <c r="C2" s="4"/>
      <c r="D2" s="3"/>
      <c r="E2" s="3"/>
      <c r="F2" s="3"/>
      <c r="G2" s="4"/>
      <c r="H2" s="4"/>
      <c r="I2" s="3"/>
      <c r="J2" s="3"/>
      <c r="K2" s="3"/>
      <c r="L2" s="74"/>
      <c r="M2" s="4"/>
      <c r="O2" s="11" t="s">
        <v>57</v>
      </c>
      <c r="Q2">
        <f>C18-H18</f>
        <v>0</v>
      </c>
      <c r="T2" s="1">
        <v>42570</v>
      </c>
      <c r="U2" t="s">
        <v>257</v>
      </c>
      <c r="W2" s="133">
        <v>42768</v>
      </c>
      <c r="X2" s="10">
        <v>70.73</v>
      </c>
      <c r="Y2" s="10">
        <v>72.34</v>
      </c>
      <c r="Z2" s="10">
        <v>70.55</v>
      </c>
      <c r="AA2" s="10">
        <v>72.14</v>
      </c>
      <c r="AB2" s="95">
        <v>3101700</v>
      </c>
      <c r="AC2" s="10">
        <v>72.14</v>
      </c>
      <c r="AD2" s="2">
        <f>Y2-Z2</f>
        <v>1.7900000000000063</v>
      </c>
      <c r="AE2" s="138">
        <f>AC2/AC3-1</f>
        <v>9.2333519865697156E-3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3"/>
      <c r="I3" s="3"/>
      <c r="J3" s="3"/>
      <c r="K3" s="3"/>
      <c r="O3" s="11" t="s">
        <v>58</v>
      </c>
      <c r="Q3" s="230">
        <f>IF(Q2=0, Q4, (F18-K18-M18)/Q2)</f>
        <v>73.06</v>
      </c>
      <c r="T3" s="1"/>
      <c r="W3" s="133">
        <v>42767</v>
      </c>
      <c r="X3" s="10">
        <v>70.95</v>
      </c>
      <c r="Y3" s="10">
        <v>71.86</v>
      </c>
      <c r="Z3" s="10">
        <v>70.69</v>
      </c>
      <c r="AA3" s="10">
        <v>71.48</v>
      </c>
      <c r="AB3" s="95">
        <v>3414200</v>
      </c>
      <c r="AC3" s="10">
        <v>71.48</v>
      </c>
      <c r="AD3" s="2">
        <f t="shared" ref="AD3:AD66" si="0">Y3-Z3</f>
        <v>1.1700000000000017</v>
      </c>
      <c r="AE3" s="138">
        <f t="shared" ref="AE3:AE66" si="1">AC3/AC4-1</f>
        <v>1.4332340002838118E-2</v>
      </c>
    </row>
    <row r="4" spans="1:31" x14ac:dyDescent="0.25">
      <c r="B4" s="74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5">
        <v>73.06</v>
      </c>
      <c r="R4" s="505">
        <v>1.2800000000000001E-2</v>
      </c>
      <c r="T4" s="163"/>
      <c r="W4" s="133">
        <v>42766</v>
      </c>
      <c r="X4" s="10">
        <v>71.78</v>
      </c>
      <c r="Y4" s="10">
        <v>71.78</v>
      </c>
      <c r="Z4" s="10">
        <v>69.34</v>
      </c>
      <c r="AA4" s="10">
        <v>70.47</v>
      </c>
      <c r="AB4" s="95">
        <v>5445000</v>
      </c>
      <c r="AC4" s="10">
        <v>70.47</v>
      </c>
      <c r="AD4" s="2">
        <f t="shared" si="0"/>
        <v>2.4399999999999977</v>
      </c>
      <c r="AE4" s="138">
        <f t="shared" si="1"/>
        <v>-1.7428890128276642E-2</v>
      </c>
    </row>
    <row r="5" spans="1:31" x14ac:dyDescent="0.25">
      <c r="B5" s="74"/>
      <c r="C5" s="4"/>
      <c r="D5" s="3"/>
      <c r="E5" s="3"/>
      <c r="F5" s="3"/>
      <c r="G5" s="74"/>
      <c r="H5" s="4"/>
      <c r="I5" s="3"/>
      <c r="J5" s="3"/>
      <c r="K5" s="3"/>
      <c r="O5" s="11" t="s">
        <v>67</v>
      </c>
      <c r="Q5" s="3">
        <f>Q4*Q2</f>
        <v>0</v>
      </c>
      <c r="W5" s="133">
        <v>42765</v>
      </c>
      <c r="X5" s="10">
        <v>72.989999999999995</v>
      </c>
      <c r="Y5" s="10">
        <v>72.989999999999995</v>
      </c>
      <c r="Z5" s="10">
        <v>70</v>
      </c>
      <c r="AA5" s="10">
        <v>71.72</v>
      </c>
      <c r="AB5" s="95">
        <v>3898300</v>
      </c>
      <c r="AC5" s="10">
        <v>71.72</v>
      </c>
      <c r="AD5" s="2">
        <f t="shared" si="0"/>
        <v>2.9899999999999949</v>
      </c>
      <c r="AE5" s="138">
        <f t="shared" si="1"/>
        <v>-3.628056973931737E-2</v>
      </c>
    </row>
    <row r="6" spans="1:31" x14ac:dyDescent="0.25">
      <c r="B6" s="74"/>
      <c r="C6" s="4"/>
      <c r="D6" s="3"/>
      <c r="E6" s="3"/>
      <c r="F6" s="3"/>
      <c r="G6" s="74"/>
      <c r="H6" s="4"/>
      <c r="I6" s="3"/>
      <c r="J6" s="3"/>
      <c r="K6" s="3"/>
      <c r="O6" s="11" t="s">
        <v>64</v>
      </c>
      <c r="Q6" s="2">
        <f>Q3*Q2</f>
        <v>0</v>
      </c>
      <c r="W6" s="133">
        <v>42762</v>
      </c>
      <c r="X6" s="10">
        <v>75.75</v>
      </c>
      <c r="Y6" s="10">
        <v>75.98</v>
      </c>
      <c r="Z6" s="10">
        <v>74.040000000000006</v>
      </c>
      <c r="AA6" s="10">
        <v>74.42</v>
      </c>
      <c r="AB6" s="95">
        <v>4377000</v>
      </c>
      <c r="AC6" s="10">
        <v>74.42</v>
      </c>
      <c r="AD6" s="2">
        <f t="shared" si="0"/>
        <v>1.9399999999999977</v>
      </c>
      <c r="AE6" s="138">
        <f t="shared" si="1"/>
        <v>-1.2735473600424485E-2</v>
      </c>
    </row>
    <row r="7" spans="1:31" x14ac:dyDescent="0.25">
      <c r="B7" s="74"/>
      <c r="C7" s="4"/>
      <c r="D7" s="3"/>
      <c r="E7" s="3"/>
      <c r="F7" s="3"/>
      <c r="G7" s="74"/>
      <c r="H7" s="4"/>
      <c r="I7" s="3"/>
      <c r="J7" s="3"/>
      <c r="K7" s="3"/>
      <c r="O7" s="11" t="s">
        <v>181</v>
      </c>
      <c r="Q7" s="2">
        <f>Q10+Q8</f>
        <v>1461.5600000000013</v>
      </c>
      <c r="R7">
        <v>0</v>
      </c>
      <c r="W7" s="133">
        <v>42761</v>
      </c>
      <c r="X7" s="10">
        <v>74.47</v>
      </c>
      <c r="Y7" s="10">
        <v>76</v>
      </c>
      <c r="Z7" s="10">
        <v>74.12</v>
      </c>
      <c r="AA7" s="10">
        <v>75.38</v>
      </c>
      <c r="AB7" s="95">
        <v>5428600</v>
      </c>
      <c r="AC7" s="10">
        <v>75.38</v>
      </c>
      <c r="AD7" s="2">
        <f t="shared" si="0"/>
        <v>1.8799999999999955</v>
      </c>
      <c r="AE7" s="138">
        <f t="shared" si="1"/>
        <v>2.432395705938295E-2</v>
      </c>
    </row>
    <row r="8" spans="1:31" x14ac:dyDescent="0.25">
      <c r="B8" s="74"/>
      <c r="C8" s="4"/>
      <c r="D8" s="3"/>
      <c r="E8" s="3"/>
      <c r="F8" s="3"/>
      <c r="G8" s="74"/>
      <c r="H8" s="4"/>
      <c r="I8" s="3"/>
      <c r="J8" s="3"/>
      <c r="K8" s="3"/>
      <c r="O8" s="11" t="s">
        <v>184</v>
      </c>
      <c r="P8" s="34"/>
      <c r="Q8" s="2">
        <f>K18+M18-F18+Q2*Q4</f>
        <v>0</v>
      </c>
      <c r="W8" s="133">
        <v>42760</v>
      </c>
      <c r="X8" s="10">
        <v>73.58</v>
      </c>
      <c r="Y8" s="10">
        <v>74.599999999999994</v>
      </c>
      <c r="Z8" s="10">
        <v>73.040000000000006</v>
      </c>
      <c r="AA8" s="10">
        <v>73.59</v>
      </c>
      <c r="AB8" s="95">
        <v>2762500</v>
      </c>
      <c r="AC8" s="10">
        <v>73.59</v>
      </c>
      <c r="AD8" s="2">
        <f t="shared" si="0"/>
        <v>1.5599999999999881</v>
      </c>
      <c r="AE8" s="138">
        <f t="shared" si="1"/>
        <v>5.6026236676687269E-3</v>
      </c>
    </row>
    <row r="9" spans="1:31" x14ac:dyDescent="0.25">
      <c r="B9" s="74"/>
      <c r="C9" s="4"/>
      <c r="D9" s="3"/>
      <c r="E9" s="3"/>
      <c r="F9" s="3"/>
      <c r="G9" s="74"/>
      <c r="H9" s="4"/>
      <c r="I9" s="3"/>
      <c r="J9" s="3"/>
      <c r="K9" s="3"/>
      <c r="O9" s="11" t="s">
        <v>214</v>
      </c>
      <c r="Q9" s="138">
        <f>IF(Q2=0, 0, Q8/Q6)</f>
        <v>0</v>
      </c>
      <c r="W9" s="133">
        <v>42759</v>
      </c>
      <c r="X9" s="10">
        <v>73.08</v>
      </c>
      <c r="Y9" s="10">
        <v>73.58</v>
      </c>
      <c r="Z9" s="10">
        <v>72.66</v>
      </c>
      <c r="AA9" s="10">
        <v>73.180000000000007</v>
      </c>
      <c r="AB9" s="95">
        <v>2654800</v>
      </c>
      <c r="AC9" s="10">
        <v>73.180000000000007</v>
      </c>
      <c r="AD9" s="2">
        <f t="shared" si="0"/>
        <v>0.92000000000000171</v>
      </c>
      <c r="AE9" s="138">
        <f t="shared" si="1"/>
        <v>5.9106529209622671E-3</v>
      </c>
    </row>
    <row r="10" spans="1:31" x14ac:dyDescent="0.25">
      <c r="B10" s="74"/>
      <c r="C10" s="4"/>
      <c r="D10" s="3"/>
      <c r="E10" s="3"/>
      <c r="F10" s="3"/>
      <c r="G10" s="74"/>
      <c r="H10" s="4"/>
      <c r="I10" s="3"/>
      <c r="J10" s="3"/>
      <c r="K10" s="3"/>
      <c r="O10" s="11" t="s">
        <v>213</v>
      </c>
      <c r="P10" s="34"/>
      <c r="Q10" s="2">
        <f>M75</f>
        <v>1461.5600000000013</v>
      </c>
      <c r="W10" s="133">
        <v>42758</v>
      </c>
      <c r="X10" s="10">
        <v>74.66</v>
      </c>
      <c r="Y10" s="10">
        <v>75.09</v>
      </c>
      <c r="Z10" s="10">
        <v>72.64</v>
      </c>
      <c r="AA10" s="10">
        <v>72.75</v>
      </c>
      <c r="AB10" s="95">
        <v>4157900</v>
      </c>
      <c r="AC10" s="10">
        <v>72.75</v>
      </c>
      <c r="AD10" s="2">
        <f t="shared" si="0"/>
        <v>2.4500000000000028</v>
      </c>
      <c r="AE10" s="138">
        <f t="shared" si="1"/>
        <v>-3.3094098883572509E-2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O11" s="11" t="s">
        <v>178</v>
      </c>
      <c r="P11" s="34"/>
      <c r="Q11" s="138">
        <f>IF(U58="N/A (N/A)", 0, VALUE(TRIM(CLEAN(MID(U58, FIND("(", U58)+1, 5)))))</f>
        <v>0</v>
      </c>
      <c r="W11" s="133">
        <v>42755</v>
      </c>
      <c r="X11" s="10">
        <v>74.3</v>
      </c>
      <c r="Y11" s="10">
        <v>75.48</v>
      </c>
      <c r="Z11" s="10">
        <v>74.09</v>
      </c>
      <c r="AA11" s="10">
        <v>75.239999999999995</v>
      </c>
      <c r="AB11" s="95">
        <v>2883800</v>
      </c>
      <c r="AC11" s="10">
        <v>75.239999999999995</v>
      </c>
      <c r="AD11" s="2">
        <f t="shared" si="0"/>
        <v>1.3900000000000006</v>
      </c>
      <c r="AE11" s="138">
        <f t="shared" si="1"/>
        <v>1.6482031883274795E-2</v>
      </c>
    </row>
    <row r="12" spans="1:31" x14ac:dyDescent="0.25">
      <c r="W12" s="133">
        <v>42754</v>
      </c>
      <c r="X12" s="10">
        <v>74.06</v>
      </c>
      <c r="Y12" s="10">
        <v>74.84</v>
      </c>
      <c r="Z12" s="10">
        <v>73.260000000000005</v>
      </c>
      <c r="AA12" s="10">
        <v>74.02</v>
      </c>
      <c r="AB12" s="95">
        <v>2763300</v>
      </c>
      <c r="AC12" s="10">
        <v>74.02</v>
      </c>
      <c r="AD12" s="2">
        <f t="shared" si="0"/>
        <v>1.5799999999999983</v>
      </c>
      <c r="AE12" s="138">
        <f t="shared" si="1"/>
        <v>2.7027027027015649E-4</v>
      </c>
    </row>
    <row r="13" spans="1:31" x14ac:dyDescent="0.25">
      <c r="W13" s="133">
        <v>42753</v>
      </c>
      <c r="X13" s="10">
        <v>73</v>
      </c>
      <c r="Y13" s="10">
        <v>74.930000000000007</v>
      </c>
      <c r="Z13" s="10">
        <v>72.41</v>
      </c>
      <c r="AA13" s="10">
        <v>74</v>
      </c>
      <c r="AB13" s="95">
        <v>4568900</v>
      </c>
      <c r="AC13" s="10">
        <v>74</v>
      </c>
      <c r="AD13" s="2">
        <f t="shared" si="0"/>
        <v>2.5200000000000102</v>
      </c>
      <c r="AE13" s="138">
        <f t="shared" si="1"/>
        <v>3.5259018171955869E-3</v>
      </c>
    </row>
    <row r="14" spans="1:31" x14ac:dyDescent="0.25">
      <c r="W14" s="133">
        <v>42752</v>
      </c>
      <c r="X14" s="10">
        <v>73.94</v>
      </c>
      <c r="Y14" s="10">
        <v>75.09</v>
      </c>
      <c r="Z14" s="10">
        <v>73.55</v>
      </c>
      <c r="AA14" s="10">
        <v>73.739999999999995</v>
      </c>
      <c r="AB14" s="95">
        <v>3109800</v>
      </c>
      <c r="AC14" s="10">
        <v>73.739999999999995</v>
      </c>
      <c r="AD14" s="2">
        <f t="shared" si="0"/>
        <v>1.5400000000000063</v>
      </c>
      <c r="AE14" s="138">
        <f t="shared" si="1"/>
        <v>-7.8040904198062311E-3</v>
      </c>
    </row>
    <row r="15" spans="1:31" x14ac:dyDescent="0.25">
      <c r="W15" s="133">
        <v>42748</v>
      </c>
      <c r="X15" s="10">
        <v>74.03</v>
      </c>
      <c r="Y15" s="10">
        <v>74.75</v>
      </c>
      <c r="Z15" s="10">
        <v>73.89</v>
      </c>
      <c r="AA15" s="10">
        <v>74.319999999999993</v>
      </c>
      <c r="AB15" s="95">
        <v>2149500</v>
      </c>
      <c r="AC15" s="10">
        <v>74.319999999999993</v>
      </c>
      <c r="AD15" s="2">
        <f t="shared" si="0"/>
        <v>0.85999999999999943</v>
      </c>
      <c r="AE15" s="138">
        <f t="shared" si="1"/>
        <v>4.3243243243242802E-3</v>
      </c>
    </row>
    <row r="16" spans="1:31" x14ac:dyDescent="0.25">
      <c r="W16" s="133">
        <v>42747</v>
      </c>
      <c r="X16" s="10">
        <v>74.64</v>
      </c>
      <c r="Y16" s="10">
        <v>75.64</v>
      </c>
      <c r="Z16" s="10">
        <v>72.900000000000006</v>
      </c>
      <c r="AA16" s="10">
        <v>74</v>
      </c>
      <c r="AB16" s="95">
        <v>4127800</v>
      </c>
      <c r="AC16" s="10">
        <v>74</v>
      </c>
      <c r="AD16" s="2">
        <f t="shared" si="0"/>
        <v>2.7399999999999949</v>
      </c>
      <c r="AE16" s="138">
        <f t="shared" si="1"/>
        <v>-1.3859275053304976E-2</v>
      </c>
    </row>
    <row r="17" spans="1:31" x14ac:dyDescent="0.25">
      <c r="W17" s="133">
        <v>42746</v>
      </c>
      <c r="X17" s="10">
        <v>75.510000000000005</v>
      </c>
      <c r="Y17" s="10">
        <v>76.75</v>
      </c>
      <c r="Z17" s="10">
        <v>74.94</v>
      </c>
      <c r="AA17" s="10">
        <v>75.040000000000006</v>
      </c>
      <c r="AB17" s="95">
        <v>5180000</v>
      </c>
      <c r="AC17" s="10">
        <v>75.040000000000006</v>
      </c>
      <c r="AD17" s="2">
        <f t="shared" si="0"/>
        <v>1.8100000000000023</v>
      </c>
      <c r="AE17" s="138">
        <f t="shared" si="1"/>
        <v>1.873472712462676E-2</v>
      </c>
    </row>
    <row r="18" spans="1:31" x14ac:dyDescent="0.25">
      <c r="A18" s="32" t="s">
        <v>81</v>
      </c>
      <c r="B18" s="14"/>
      <c r="C18" s="14">
        <f>SUM(C2:C11)</f>
        <v>0</v>
      </c>
      <c r="D18" s="18"/>
      <c r="E18" s="18"/>
      <c r="F18" s="18">
        <f>SUM(F2:F10)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3">
        <v>42745</v>
      </c>
      <c r="X18" s="10">
        <v>71.47</v>
      </c>
      <c r="Y18" s="10">
        <v>74.34</v>
      </c>
      <c r="Z18" s="10">
        <v>71.44</v>
      </c>
      <c r="AA18" s="10">
        <v>73.66</v>
      </c>
      <c r="AB18" s="95">
        <v>3356900</v>
      </c>
      <c r="AC18" s="10">
        <v>73.66</v>
      </c>
      <c r="AD18" s="2">
        <f t="shared" si="0"/>
        <v>2.9000000000000057</v>
      </c>
      <c r="AE18" s="138">
        <f t="shared" si="1"/>
        <v>3.338945005611671E-2</v>
      </c>
    </row>
    <row r="19" spans="1:31" ht="15.75" thickBot="1" x14ac:dyDescent="0.3">
      <c r="A19" s="356" t="s">
        <v>198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SumByColor($A$19,H3:H17)</f>
        <v>0</v>
      </c>
      <c r="I19" s="358"/>
      <c r="J19" s="358"/>
      <c r="K19" s="359">
        <f>SumByColor($A$19,K3:K17)</f>
        <v>0</v>
      </c>
      <c r="L19" s="358"/>
      <c r="M19" s="359">
        <f t="shared" ref="M19" si="2">SumByColor($A$19,M2:M17)</f>
        <v>0</v>
      </c>
      <c r="W19" s="133">
        <v>42744</v>
      </c>
      <c r="X19" s="10">
        <v>71.06</v>
      </c>
      <c r="Y19" s="10">
        <v>72</v>
      </c>
      <c r="Z19" s="10">
        <v>70.88</v>
      </c>
      <c r="AA19" s="10">
        <v>71.28</v>
      </c>
      <c r="AB19" s="95">
        <v>1930800</v>
      </c>
      <c r="AC19" s="10">
        <v>71.28</v>
      </c>
      <c r="AD19" s="2">
        <f t="shared" si="0"/>
        <v>1.1200000000000045</v>
      </c>
      <c r="AE19" s="138">
        <f t="shared" si="1"/>
        <v>-1.2610340479193294E-3</v>
      </c>
    </row>
    <row r="20" spans="1:31" x14ac:dyDescent="0.25">
      <c r="W20" s="133">
        <v>42741</v>
      </c>
      <c r="X20" s="10">
        <v>70.98</v>
      </c>
      <c r="Y20" s="10">
        <v>71.89</v>
      </c>
      <c r="Z20" s="10">
        <v>69.75</v>
      </c>
      <c r="AA20" s="10">
        <v>71.37</v>
      </c>
      <c r="AB20" s="95">
        <v>3648100</v>
      </c>
      <c r="AC20" s="10">
        <v>71.37</v>
      </c>
      <c r="AD20" s="2">
        <f t="shared" si="0"/>
        <v>2.1400000000000006</v>
      </c>
      <c r="AE20" s="138">
        <f t="shared" si="1"/>
        <v>6.2032990272098409E-3</v>
      </c>
    </row>
    <row r="21" spans="1:31" x14ac:dyDescent="0.25">
      <c r="W21" s="133">
        <v>42740</v>
      </c>
      <c r="X21" s="10">
        <v>71.989999999999995</v>
      </c>
      <c r="Y21" s="10">
        <v>73</v>
      </c>
      <c r="Z21" s="10">
        <v>70.31</v>
      </c>
      <c r="AA21" s="10">
        <v>70.930000000000007</v>
      </c>
      <c r="AB21" s="95">
        <v>3577600</v>
      </c>
      <c r="AC21" s="10">
        <v>70.930000000000007</v>
      </c>
      <c r="AD21" s="2">
        <f t="shared" si="0"/>
        <v>2.6899999999999977</v>
      </c>
      <c r="AE21" s="138">
        <f t="shared" si="1"/>
        <v>-2.8622295261572006E-2</v>
      </c>
    </row>
    <row r="22" spans="1:31" x14ac:dyDescent="0.25">
      <c r="W22" s="133">
        <v>42739</v>
      </c>
      <c r="X22" s="10">
        <v>72.45</v>
      </c>
      <c r="Y22" s="10">
        <v>73.790000000000006</v>
      </c>
      <c r="Z22" s="10">
        <v>72.45</v>
      </c>
      <c r="AA22" s="10">
        <v>73.02</v>
      </c>
      <c r="AB22" s="95">
        <v>2196800</v>
      </c>
      <c r="AC22" s="10">
        <v>73.02</v>
      </c>
      <c r="AD22" s="2">
        <f t="shared" si="0"/>
        <v>1.3400000000000034</v>
      </c>
      <c r="AE22" s="138">
        <f t="shared" si="1"/>
        <v>4.2635125842387378E-3</v>
      </c>
    </row>
    <row r="23" spans="1:31" x14ac:dyDescent="0.25">
      <c r="W23" s="133">
        <v>42738</v>
      </c>
      <c r="X23" s="10">
        <v>74.02</v>
      </c>
      <c r="Y23" s="10">
        <v>74.02</v>
      </c>
      <c r="Z23" s="10">
        <v>72.150000000000006</v>
      </c>
      <c r="AA23" s="10">
        <v>72.709999999999994</v>
      </c>
      <c r="AB23" s="95">
        <v>2516000</v>
      </c>
      <c r="AC23" s="10">
        <v>72.709999999999994</v>
      </c>
      <c r="AD23" s="2">
        <f t="shared" si="0"/>
        <v>1.8699999999999903</v>
      </c>
      <c r="AE23" s="138">
        <f t="shared" si="1"/>
        <v>-2.3326015367728381E-3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155</v>
      </c>
      <c r="W24" s="133">
        <v>42734</v>
      </c>
      <c r="X24" s="10">
        <v>73.430000000000007</v>
      </c>
      <c r="Y24" s="10">
        <v>73.430000000000007</v>
      </c>
      <c r="Z24" s="10">
        <v>72.37</v>
      </c>
      <c r="AA24" s="10">
        <v>72.88</v>
      </c>
      <c r="AB24" s="95">
        <v>1704600</v>
      </c>
      <c r="AC24" s="10">
        <v>72.88</v>
      </c>
      <c r="AD24" s="2">
        <f t="shared" si="0"/>
        <v>1.0600000000000023</v>
      </c>
      <c r="AE24" s="138">
        <f t="shared" si="1"/>
        <v>-5.4585152838428908E-3</v>
      </c>
    </row>
    <row r="25" spans="1:31" x14ac:dyDescent="0.25">
      <c r="B25" s="193">
        <v>42485</v>
      </c>
      <c r="C25" s="237">
        <v>80</v>
      </c>
      <c r="D25" s="238">
        <v>49.5</v>
      </c>
      <c r="E25" s="40">
        <v>49.37</v>
      </c>
      <c r="F25" s="40">
        <f t="shared" ref="F25:F39" si="3">C25*(E25-D25)</f>
        <v>-10.400000000000205</v>
      </c>
      <c r="G25" s="40">
        <f t="shared" ref="G25:G39" si="4">D25*C25</f>
        <v>3960</v>
      </c>
      <c r="H25" s="231">
        <f t="shared" ref="H25:H39" si="5">(E25-D25)/D25</f>
        <v>-2.6262626262626779E-3</v>
      </c>
      <c r="I25" s="40"/>
      <c r="W25" s="133">
        <v>42733</v>
      </c>
      <c r="X25" s="10">
        <v>73.53</v>
      </c>
      <c r="Y25" s="10">
        <v>74.19</v>
      </c>
      <c r="Z25" s="10">
        <v>72.930000000000007</v>
      </c>
      <c r="AA25" s="10">
        <v>73.28</v>
      </c>
      <c r="AB25" s="95">
        <v>1272400</v>
      </c>
      <c r="AC25" s="10">
        <v>73.28</v>
      </c>
      <c r="AD25" s="2">
        <f t="shared" si="0"/>
        <v>1.2599999999999909</v>
      </c>
      <c r="AE25" s="138">
        <f t="shared" si="1"/>
        <v>-3.3999728002176433E-3</v>
      </c>
    </row>
    <row r="26" spans="1:31" x14ac:dyDescent="0.25">
      <c r="B26" s="193">
        <v>42488</v>
      </c>
      <c r="C26" s="10">
        <v>80</v>
      </c>
      <c r="D26" s="40">
        <v>49.5</v>
      </c>
      <c r="E26" s="40">
        <v>48.06</v>
      </c>
      <c r="F26" s="40">
        <f t="shared" si="3"/>
        <v>-115.19999999999982</v>
      </c>
      <c r="G26" s="40">
        <f t="shared" si="4"/>
        <v>3960</v>
      </c>
      <c r="H26" s="231">
        <f t="shared" si="5"/>
        <v>-2.9090909090909046E-2</v>
      </c>
      <c r="I26" s="40"/>
      <c r="W26" s="133">
        <v>42732</v>
      </c>
      <c r="X26" s="10">
        <v>75</v>
      </c>
      <c r="Y26" s="10">
        <v>75.180000000000007</v>
      </c>
      <c r="Z26" s="10">
        <v>73.349999999999994</v>
      </c>
      <c r="AA26" s="10">
        <v>73.53</v>
      </c>
      <c r="AB26" s="95">
        <v>1935400</v>
      </c>
      <c r="AC26" s="10">
        <v>73.53</v>
      </c>
      <c r="AD26" s="2">
        <f t="shared" si="0"/>
        <v>1.8300000000000125</v>
      </c>
      <c r="AE26" s="138">
        <f t="shared" si="1"/>
        <v>-1.5267175572519109E-2</v>
      </c>
    </row>
    <row r="27" spans="1:31" x14ac:dyDescent="0.25">
      <c r="B27" s="193">
        <v>42489</v>
      </c>
      <c r="C27" s="10">
        <v>100</v>
      </c>
      <c r="D27" s="40">
        <v>48.99</v>
      </c>
      <c r="E27" s="40">
        <v>45.81</v>
      </c>
      <c r="F27" s="40">
        <f t="shared" si="3"/>
        <v>-318</v>
      </c>
      <c r="G27" s="40">
        <f t="shared" si="4"/>
        <v>4899</v>
      </c>
      <c r="H27" s="231">
        <f t="shared" si="5"/>
        <v>-6.4911206368646654E-2</v>
      </c>
      <c r="I27" s="40"/>
      <c r="W27" s="133">
        <v>42731</v>
      </c>
      <c r="X27" s="10">
        <v>74.78</v>
      </c>
      <c r="Y27" s="10">
        <v>75.22</v>
      </c>
      <c r="Z27" s="10">
        <v>74.5</v>
      </c>
      <c r="AA27" s="10">
        <v>74.67</v>
      </c>
      <c r="AB27" s="95">
        <v>1092400</v>
      </c>
      <c r="AC27" s="10">
        <v>74.67</v>
      </c>
      <c r="AD27" s="2">
        <f t="shared" si="0"/>
        <v>0.71999999999999886</v>
      </c>
      <c r="AE27" s="138">
        <f t="shared" si="1"/>
        <v>-1.6044925792219056E-3</v>
      </c>
    </row>
    <row r="28" spans="1:31" x14ac:dyDescent="0.25">
      <c r="B28" s="193">
        <v>42489</v>
      </c>
      <c r="C28" s="7">
        <v>150</v>
      </c>
      <c r="D28" s="44">
        <v>47.963299999999997</v>
      </c>
      <c r="E28" s="40">
        <v>45.81</v>
      </c>
      <c r="F28" s="40">
        <f t="shared" si="3"/>
        <v>-322.99499999999915</v>
      </c>
      <c r="G28" s="40">
        <f t="shared" si="4"/>
        <v>7194.4949999999999</v>
      </c>
      <c r="H28" s="231">
        <f t="shared" si="5"/>
        <v>-4.4894742438489316E-2</v>
      </c>
      <c r="I28" s="40">
        <v>43.25</v>
      </c>
      <c r="W28" s="133">
        <v>42727</v>
      </c>
      <c r="X28" s="10">
        <v>74.400000000000006</v>
      </c>
      <c r="Y28" s="10">
        <v>74.83</v>
      </c>
      <c r="Z28" s="10">
        <v>74.13</v>
      </c>
      <c r="AA28" s="10">
        <v>74.790000000000006</v>
      </c>
      <c r="AB28" s="95">
        <v>1616800</v>
      </c>
      <c r="AC28" s="10">
        <v>74.790000000000006</v>
      </c>
      <c r="AD28" s="2">
        <f t="shared" si="0"/>
        <v>0.70000000000000284</v>
      </c>
      <c r="AE28" s="138">
        <f t="shared" si="1"/>
        <v>8.0873433077235379E-3</v>
      </c>
    </row>
    <row r="29" spans="1:31" x14ac:dyDescent="0.25">
      <c r="B29" s="193">
        <v>42495</v>
      </c>
      <c r="C29" s="10">
        <v>175</v>
      </c>
      <c r="D29" s="40">
        <v>47.54</v>
      </c>
      <c r="E29" s="40">
        <v>44.99</v>
      </c>
      <c r="F29" s="40">
        <f t="shared" si="3"/>
        <v>-446.24999999999949</v>
      </c>
      <c r="G29" s="40">
        <f t="shared" si="4"/>
        <v>8319.5</v>
      </c>
      <c r="H29" s="231">
        <f t="shared" si="5"/>
        <v>-5.363904080774079E-2</v>
      </c>
      <c r="I29" s="40"/>
      <c r="W29" s="133">
        <v>42726</v>
      </c>
      <c r="X29" s="10">
        <v>75.62</v>
      </c>
      <c r="Y29" s="10">
        <v>75.73</v>
      </c>
      <c r="Z29" s="10">
        <v>73.8</v>
      </c>
      <c r="AA29" s="10">
        <v>74.19</v>
      </c>
      <c r="AB29" s="95">
        <v>2292700</v>
      </c>
      <c r="AC29" s="10">
        <v>74.19</v>
      </c>
      <c r="AD29" s="2">
        <f t="shared" si="0"/>
        <v>1.9300000000000068</v>
      </c>
      <c r="AE29" s="138">
        <f t="shared" si="1"/>
        <v>-2.0206022187004735E-2</v>
      </c>
    </row>
    <row r="30" spans="1:31" x14ac:dyDescent="0.25">
      <c r="B30" s="193">
        <v>42502</v>
      </c>
      <c r="C30" s="10">
        <v>200</v>
      </c>
      <c r="D30" s="40">
        <v>47.108800000000002</v>
      </c>
      <c r="E30" s="40">
        <v>43.78</v>
      </c>
      <c r="F30" s="40">
        <f t="shared" si="3"/>
        <v>-665.76000000000022</v>
      </c>
      <c r="G30" s="40">
        <f t="shared" si="4"/>
        <v>9421.76</v>
      </c>
      <c r="H30" s="231">
        <f t="shared" si="5"/>
        <v>-7.066195700166425E-2</v>
      </c>
      <c r="I30" s="40"/>
      <c r="W30" s="133">
        <v>42725</v>
      </c>
      <c r="X30" s="10">
        <v>75.73</v>
      </c>
      <c r="Y30" s="10">
        <v>76.099999999999994</v>
      </c>
      <c r="Z30" s="10">
        <v>75.16</v>
      </c>
      <c r="AA30" s="10">
        <v>75.72</v>
      </c>
      <c r="AB30" s="95">
        <v>1542100</v>
      </c>
      <c r="AC30" s="10">
        <v>75.72</v>
      </c>
      <c r="AD30" s="2">
        <f t="shared" si="0"/>
        <v>0.93999999999999773</v>
      </c>
      <c r="AE30" s="138">
        <f t="shared" si="1"/>
        <v>-4.3392504930965803E-3</v>
      </c>
    </row>
    <row r="31" spans="1:31" x14ac:dyDescent="0.25">
      <c r="B31" s="193">
        <v>42515</v>
      </c>
      <c r="C31" s="10">
        <v>200</v>
      </c>
      <c r="D31" s="40">
        <v>47.108800000000002</v>
      </c>
      <c r="E31" s="40">
        <v>45.13</v>
      </c>
      <c r="F31" s="40">
        <f t="shared" si="3"/>
        <v>-395.75999999999993</v>
      </c>
      <c r="G31" s="40">
        <f t="shared" si="4"/>
        <v>9421.76</v>
      </c>
      <c r="H31" s="231">
        <f t="shared" si="5"/>
        <v>-4.2004890805964056E-2</v>
      </c>
      <c r="I31" s="40"/>
      <c r="W31" s="133">
        <v>42724</v>
      </c>
      <c r="X31" s="10">
        <v>75.319999999999993</v>
      </c>
      <c r="Y31" s="10">
        <v>76.31</v>
      </c>
      <c r="Z31" s="10">
        <v>74.78</v>
      </c>
      <c r="AA31" s="10">
        <v>76.05</v>
      </c>
      <c r="AB31" s="95">
        <v>2814900</v>
      </c>
      <c r="AC31" s="10">
        <v>76.05</v>
      </c>
      <c r="AD31" s="2">
        <f t="shared" si="0"/>
        <v>1.5300000000000011</v>
      </c>
      <c r="AE31" s="138">
        <f t="shared" si="1"/>
        <v>2.1079484425349015E-2</v>
      </c>
    </row>
    <row r="32" spans="1:31" x14ac:dyDescent="0.25">
      <c r="B32" s="193">
        <v>42527</v>
      </c>
      <c r="C32" s="10">
        <v>200</v>
      </c>
      <c r="D32" s="40">
        <v>47.108800000000002</v>
      </c>
      <c r="E32" s="40">
        <v>44.53</v>
      </c>
      <c r="F32" s="40">
        <f t="shared" si="3"/>
        <v>-515.76000000000022</v>
      </c>
      <c r="G32" s="40">
        <f t="shared" si="4"/>
        <v>9421.76</v>
      </c>
      <c r="H32" s="231">
        <f t="shared" si="5"/>
        <v>-5.4741364670719717E-2</v>
      </c>
      <c r="I32" s="40"/>
      <c r="W32" s="133">
        <v>42723</v>
      </c>
      <c r="X32" s="10">
        <v>74.25</v>
      </c>
      <c r="Y32" s="10">
        <v>75.38</v>
      </c>
      <c r="Z32" s="10">
        <v>73.77</v>
      </c>
      <c r="AA32" s="10">
        <v>74.48</v>
      </c>
      <c r="AB32" s="95">
        <v>2585800</v>
      </c>
      <c r="AC32" s="10">
        <v>74.48</v>
      </c>
      <c r="AD32" s="2">
        <f t="shared" si="0"/>
        <v>1.6099999999999994</v>
      </c>
      <c r="AE32" s="138">
        <f t="shared" si="1"/>
        <v>8.0623488309594649E-4</v>
      </c>
    </row>
    <row r="33" spans="2:31" x14ac:dyDescent="0.25">
      <c r="B33" s="193">
        <v>42528</v>
      </c>
      <c r="C33" s="10">
        <v>200</v>
      </c>
      <c r="D33" s="40">
        <v>47.108800000000002</v>
      </c>
      <c r="E33" s="40">
        <v>45.81</v>
      </c>
      <c r="F33" s="40">
        <f t="shared" si="3"/>
        <v>-259.76</v>
      </c>
      <c r="G33" s="40">
        <f t="shared" si="4"/>
        <v>9421.76</v>
      </c>
      <c r="H33" s="231">
        <f t="shared" si="5"/>
        <v>-2.7570220425907684E-2</v>
      </c>
      <c r="I33" s="40"/>
      <c r="W33" s="133">
        <v>42720</v>
      </c>
      <c r="X33" s="10">
        <v>74.91</v>
      </c>
      <c r="Y33" s="10">
        <v>76.2</v>
      </c>
      <c r="Z33" s="10">
        <v>74.06</v>
      </c>
      <c r="AA33" s="10">
        <v>74.42</v>
      </c>
      <c r="AB33" s="95">
        <v>6057900</v>
      </c>
      <c r="AC33" s="10">
        <v>74.42</v>
      </c>
      <c r="AD33" s="2">
        <f t="shared" si="0"/>
        <v>2.1400000000000006</v>
      </c>
      <c r="AE33" s="138">
        <f t="shared" si="1"/>
        <v>-4.9471854526006442E-3</v>
      </c>
    </row>
    <row r="34" spans="2:31" x14ac:dyDescent="0.25">
      <c r="B34" s="193">
        <v>42535</v>
      </c>
      <c r="C34" s="10">
        <v>240</v>
      </c>
      <c r="D34" s="40">
        <v>46.455599999999997</v>
      </c>
      <c r="E34" s="40">
        <v>42.09</v>
      </c>
      <c r="F34" s="40">
        <f t="shared" si="3"/>
        <v>-1047.7439999999983</v>
      </c>
      <c r="G34" s="40">
        <f t="shared" si="4"/>
        <v>11149.343999999999</v>
      </c>
      <c r="H34" s="231">
        <f t="shared" si="5"/>
        <v>-9.3973600599281767E-2</v>
      </c>
      <c r="I34" s="40"/>
      <c r="W34" s="133">
        <v>42719</v>
      </c>
      <c r="X34" s="10">
        <v>73.819999999999993</v>
      </c>
      <c r="Y34" s="10">
        <v>76.8</v>
      </c>
      <c r="Z34" s="10">
        <v>73.819999999999993</v>
      </c>
      <c r="AA34" s="10">
        <v>74.790000000000006</v>
      </c>
      <c r="AB34" s="95">
        <v>4739200</v>
      </c>
      <c r="AC34" s="10">
        <v>74.790000000000006</v>
      </c>
      <c r="AD34" s="2">
        <f t="shared" si="0"/>
        <v>2.980000000000004</v>
      </c>
      <c r="AE34" s="138">
        <f t="shared" si="1"/>
        <v>2.5363312311488917E-2</v>
      </c>
    </row>
    <row r="35" spans="2:31" x14ac:dyDescent="0.25">
      <c r="B35" s="193">
        <v>42541</v>
      </c>
      <c r="C35" s="10">
        <v>240</v>
      </c>
      <c r="D35" s="40">
        <v>46.455599999999997</v>
      </c>
      <c r="E35" s="40">
        <v>43.4</v>
      </c>
      <c r="F35" s="40">
        <f t="shared" si="3"/>
        <v>-733.3439999999996</v>
      </c>
      <c r="G35" s="40">
        <f t="shared" si="4"/>
        <v>11149.343999999999</v>
      </c>
      <c r="H35" s="231">
        <f t="shared" si="5"/>
        <v>-6.5774632121853957E-2</v>
      </c>
      <c r="I35" s="40"/>
      <c r="W35" s="133">
        <v>42718</v>
      </c>
      <c r="X35" s="10">
        <v>72.599999999999994</v>
      </c>
      <c r="Y35" s="10">
        <v>74</v>
      </c>
      <c r="Z35" s="10">
        <v>72</v>
      </c>
      <c r="AA35" s="10">
        <v>72.94</v>
      </c>
      <c r="AB35" s="95">
        <v>3786600</v>
      </c>
      <c r="AC35" s="10">
        <v>72.94</v>
      </c>
      <c r="AD35" s="2">
        <f t="shared" si="0"/>
        <v>2</v>
      </c>
      <c r="AE35" s="138">
        <f t="shared" si="1"/>
        <v>5.375603032391485E-3</v>
      </c>
    </row>
    <row r="36" spans="2:31" x14ac:dyDescent="0.25">
      <c r="B36" s="193">
        <v>42542</v>
      </c>
      <c r="C36" s="10">
        <v>240</v>
      </c>
      <c r="D36" s="40">
        <v>46.46</v>
      </c>
      <c r="E36" s="40">
        <v>44.86</v>
      </c>
      <c r="F36" s="40">
        <f t="shared" si="3"/>
        <v>-384.00000000000034</v>
      </c>
      <c r="G36" s="40">
        <f t="shared" si="4"/>
        <v>11150.4</v>
      </c>
      <c r="H36" s="231">
        <f t="shared" si="5"/>
        <v>-3.4438226431338814E-2</v>
      </c>
      <c r="I36" s="40"/>
      <c r="W36" s="133">
        <v>42717</v>
      </c>
      <c r="X36" s="10">
        <v>73.38</v>
      </c>
      <c r="Y36" s="10">
        <v>73.98</v>
      </c>
      <c r="Z36" s="10">
        <v>72.14</v>
      </c>
      <c r="AA36" s="10">
        <v>72.55</v>
      </c>
      <c r="AB36" s="95">
        <v>2729400</v>
      </c>
      <c r="AC36" s="10">
        <v>72.55</v>
      </c>
      <c r="AD36" s="2">
        <f t="shared" si="0"/>
        <v>1.8400000000000034</v>
      </c>
      <c r="AE36" s="138">
        <f t="shared" si="1"/>
        <v>-9.4210813762970469E-3</v>
      </c>
    </row>
    <row r="37" spans="2:31" x14ac:dyDescent="0.25">
      <c r="B37" s="193">
        <v>42543</v>
      </c>
      <c r="C37" s="10">
        <v>240</v>
      </c>
      <c r="D37" s="40">
        <v>46.46</v>
      </c>
      <c r="E37" s="40">
        <v>45.09</v>
      </c>
      <c r="F37" s="40">
        <f t="shared" si="3"/>
        <v>-328.79999999999939</v>
      </c>
      <c r="G37" s="40">
        <f t="shared" si="4"/>
        <v>11150.4</v>
      </c>
      <c r="H37" s="231">
        <f t="shared" si="5"/>
        <v>-2.948773138183378E-2</v>
      </c>
      <c r="I37" s="40"/>
      <c r="W37" s="133">
        <v>42716</v>
      </c>
      <c r="X37" s="10">
        <v>74.3</v>
      </c>
      <c r="Y37" s="10">
        <v>74.36</v>
      </c>
      <c r="Z37" s="10">
        <v>72.69</v>
      </c>
      <c r="AA37" s="10">
        <v>73.239999999999995</v>
      </c>
      <c r="AB37" s="95">
        <v>3107000</v>
      </c>
      <c r="AC37" s="10">
        <v>73.239999999999995</v>
      </c>
      <c r="AD37" s="2">
        <f t="shared" si="0"/>
        <v>1.6700000000000017</v>
      </c>
      <c r="AE37" s="138">
        <f t="shared" si="1"/>
        <v>-2.5675136357589556E-2</v>
      </c>
    </row>
    <row r="38" spans="2:31" x14ac:dyDescent="0.25">
      <c r="B38" s="193">
        <v>42545</v>
      </c>
      <c r="C38" s="10">
        <v>340</v>
      </c>
      <c r="D38" s="40">
        <v>45.227499999999999</v>
      </c>
      <c r="E38" s="40">
        <v>42.28</v>
      </c>
      <c r="F38" s="40">
        <f t="shared" si="3"/>
        <v>-1002.1499999999993</v>
      </c>
      <c r="G38" s="40">
        <f t="shared" si="4"/>
        <v>15377.35</v>
      </c>
      <c r="H38" s="231">
        <f t="shared" si="5"/>
        <v>-6.5170526781272414E-2</v>
      </c>
      <c r="I38" s="40"/>
      <c r="W38" s="133">
        <v>42713</v>
      </c>
      <c r="X38" s="10">
        <v>75.02</v>
      </c>
      <c r="Y38" s="10">
        <v>76.13</v>
      </c>
      <c r="Z38" s="10">
        <v>74.44</v>
      </c>
      <c r="AA38" s="10">
        <v>75.17</v>
      </c>
      <c r="AB38" s="95">
        <v>5143000</v>
      </c>
      <c r="AC38" s="10">
        <v>75.17</v>
      </c>
      <c r="AD38" s="2">
        <f t="shared" si="0"/>
        <v>1.6899999999999977</v>
      </c>
      <c r="AE38" s="138">
        <f t="shared" si="1"/>
        <v>3.3406653835578837E-2</v>
      </c>
    </row>
    <row r="39" spans="2:31" x14ac:dyDescent="0.25">
      <c r="B39" s="193">
        <v>42548</v>
      </c>
      <c r="C39" s="10">
        <v>450</v>
      </c>
      <c r="D39" s="40">
        <v>44.223399999999998</v>
      </c>
      <c r="E39" s="40">
        <v>37.75</v>
      </c>
      <c r="F39" s="40">
        <f t="shared" si="3"/>
        <v>-2913.0299999999993</v>
      </c>
      <c r="G39" s="40">
        <f t="shared" si="4"/>
        <v>19900.53</v>
      </c>
      <c r="H39" s="231">
        <f t="shared" si="5"/>
        <v>-0.14637951853543596</v>
      </c>
      <c r="I39" s="40"/>
      <c r="W39" s="133">
        <v>42712</v>
      </c>
      <c r="X39" s="10">
        <v>72.459999999999994</v>
      </c>
      <c r="Y39" s="10">
        <v>73.08</v>
      </c>
      <c r="Z39" s="10">
        <v>71.5</v>
      </c>
      <c r="AA39" s="10">
        <v>72.739999999999995</v>
      </c>
      <c r="AB39" s="95">
        <v>2861300</v>
      </c>
      <c r="AC39" s="10">
        <v>72.739999999999995</v>
      </c>
      <c r="AD39" s="2">
        <f t="shared" si="0"/>
        <v>1.5799999999999983</v>
      </c>
      <c r="AE39" s="138">
        <f t="shared" si="1"/>
        <v>4.2799944774263299E-3</v>
      </c>
    </row>
    <row r="40" spans="2:31" ht="20.25" thickBot="1" x14ac:dyDescent="0.35">
      <c r="B40" s="193">
        <v>42549</v>
      </c>
      <c r="C40" s="448">
        <v>450</v>
      </c>
      <c r="D40" s="449">
        <v>44.223399999999998</v>
      </c>
      <c r="E40" s="40">
        <v>38.950000000000003</v>
      </c>
      <c r="F40" s="40">
        <f t="shared" ref="F40" si="6">C40*(E40-D40)</f>
        <v>-2373.0299999999979</v>
      </c>
      <c r="G40" s="40">
        <f t="shared" ref="G40" si="7">D40*C40</f>
        <v>19900.53</v>
      </c>
      <c r="H40" s="231">
        <f t="shared" ref="H40" si="8">(E40-D40)/D40</f>
        <v>-0.11924456283325108</v>
      </c>
      <c r="I40" s="40"/>
      <c r="O40" s="638" t="s">
        <v>78</v>
      </c>
      <c r="P40" s="638"/>
      <c r="W40" s="133">
        <v>42711</v>
      </c>
      <c r="X40" s="10">
        <v>70.680000000000007</v>
      </c>
      <c r="Y40" s="10">
        <v>73</v>
      </c>
      <c r="Z40" s="10">
        <v>70.25</v>
      </c>
      <c r="AA40" s="10">
        <v>72.430000000000007</v>
      </c>
      <c r="AB40" s="95">
        <v>4046400</v>
      </c>
      <c r="AC40" s="10">
        <v>72.430000000000007</v>
      </c>
      <c r="AD40" s="2">
        <f t="shared" si="0"/>
        <v>2.75</v>
      </c>
      <c r="AE40" s="138">
        <f t="shared" si="1"/>
        <v>2.0572072706777522E-2</v>
      </c>
    </row>
    <row r="41" spans="2:31" ht="15.75" thickTop="1" x14ac:dyDescent="0.25">
      <c r="B41" s="193">
        <v>42550</v>
      </c>
      <c r="C41" s="10">
        <v>450</v>
      </c>
      <c r="D41" s="40">
        <v>44.223399999999998</v>
      </c>
      <c r="E41" s="40">
        <v>40.57</v>
      </c>
      <c r="F41" s="40">
        <f t="shared" ref="F41" si="9">C41*(E41-D41)</f>
        <v>-1644.0299999999991</v>
      </c>
      <c r="G41" s="40">
        <f t="shared" ref="G41" si="10">D41*C41</f>
        <v>19900.53</v>
      </c>
      <c r="H41" s="231">
        <f t="shared" ref="H41" si="11">(E41-D41)/D41</f>
        <v>-8.261237263530162E-2</v>
      </c>
      <c r="I41" s="40"/>
      <c r="O41" s="83">
        <v>1.1000000000000001</v>
      </c>
      <c r="P41" s="83">
        <f>O41*$Q$4</f>
        <v>80.366000000000014</v>
      </c>
      <c r="Q41" s="2"/>
      <c r="W41" s="133">
        <v>42710</v>
      </c>
      <c r="X41" s="10">
        <v>69.41</v>
      </c>
      <c r="Y41" s="10">
        <v>71.040000000000006</v>
      </c>
      <c r="Z41" s="10">
        <v>69.010000000000005</v>
      </c>
      <c r="AA41" s="10">
        <v>70.97</v>
      </c>
      <c r="AB41" s="95">
        <v>4367900</v>
      </c>
      <c r="AC41" s="10">
        <v>70.97</v>
      </c>
      <c r="AD41" s="2">
        <f t="shared" si="0"/>
        <v>2.0300000000000011</v>
      </c>
      <c r="AE41" s="138">
        <f t="shared" si="1"/>
        <v>3.9701142689715807E-2</v>
      </c>
    </row>
    <row r="42" spans="2:31" ht="20.25" thickBot="1" x14ac:dyDescent="0.35">
      <c r="B42" s="193">
        <v>42552</v>
      </c>
      <c r="C42" s="10">
        <v>450</v>
      </c>
      <c r="D42" s="40">
        <v>44.223399999999998</v>
      </c>
      <c r="E42" s="40">
        <v>41.37</v>
      </c>
      <c r="F42" s="40">
        <f t="shared" ref="F42" si="12">C42*(E42-D42)</f>
        <v>-1284.0300000000002</v>
      </c>
      <c r="G42" s="40">
        <f t="shared" ref="G42" si="13">D42*C42</f>
        <v>19900.53</v>
      </c>
      <c r="H42" s="231">
        <f t="shared" ref="H42" si="14">(E42-D42)/D42</f>
        <v>-6.4522402167178472E-2</v>
      </c>
      <c r="I42" s="40"/>
      <c r="O42" s="83">
        <v>1.0900000000000001</v>
      </c>
      <c r="P42" s="83">
        <f t="shared" ref="P42:P61" si="15">O42*$Q$4</f>
        <v>79.635400000000004</v>
      </c>
      <c r="Q42" s="2"/>
      <c r="T42" s="91" t="s">
        <v>113</v>
      </c>
      <c r="W42" s="133">
        <v>42709</v>
      </c>
      <c r="X42" s="10">
        <v>69.91</v>
      </c>
      <c r="Y42" s="10">
        <v>69.95</v>
      </c>
      <c r="Z42" s="10">
        <v>68</v>
      </c>
      <c r="AA42" s="10">
        <v>68.260000000000005</v>
      </c>
      <c r="AB42" s="95">
        <v>3394300</v>
      </c>
      <c r="AC42" s="10">
        <v>68.260000000000005</v>
      </c>
      <c r="AD42" s="2">
        <f t="shared" si="0"/>
        <v>1.9500000000000028</v>
      </c>
      <c r="AE42" s="138">
        <f t="shared" si="1"/>
        <v>-1.4580626533852947E-2</v>
      </c>
    </row>
    <row r="43" spans="2:31" ht="15.75" thickTop="1" x14ac:dyDescent="0.25">
      <c r="B43" s="193">
        <v>42556</v>
      </c>
      <c r="C43" s="10">
        <v>450</v>
      </c>
      <c r="D43" s="40">
        <v>44.223399999999998</v>
      </c>
      <c r="E43" s="40">
        <v>40.29</v>
      </c>
      <c r="F43" s="40">
        <f t="shared" ref="F43:F44" si="16">C43*(E43-D43)</f>
        <v>-1770.0299999999995</v>
      </c>
      <c r="G43" s="40">
        <f t="shared" ref="G43:G44" si="17">D43*C43</f>
        <v>19900.53</v>
      </c>
      <c r="H43" s="231">
        <f t="shared" ref="H43:H44" si="18">(E43-D43)/D43</f>
        <v>-8.8943862299144777E-2</v>
      </c>
      <c r="I43" s="40"/>
      <c r="O43" s="83">
        <v>1.08</v>
      </c>
      <c r="P43" s="83">
        <f t="shared" si="15"/>
        <v>78.904800000000009</v>
      </c>
      <c r="Q43" s="2"/>
      <c r="T43" s="128" t="s">
        <v>98</v>
      </c>
      <c r="U43" s="98">
        <v>71.48</v>
      </c>
      <c r="W43" s="133">
        <v>42706</v>
      </c>
      <c r="X43" s="10">
        <v>69.12</v>
      </c>
      <c r="Y43" s="10">
        <v>69.760000000000005</v>
      </c>
      <c r="Z43" s="10">
        <v>68.540000000000006</v>
      </c>
      <c r="AA43" s="10">
        <v>69.27</v>
      </c>
      <c r="AB43" s="95">
        <v>2577300</v>
      </c>
      <c r="AC43" s="10">
        <v>69.27</v>
      </c>
      <c r="AD43" s="2">
        <f t="shared" si="0"/>
        <v>1.2199999999999989</v>
      </c>
      <c r="AE43" s="138">
        <f t="shared" si="1"/>
        <v>1.1683949174821073E-2</v>
      </c>
    </row>
    <row r="44" spans="2:31" x14ac:dyDescent="0.25">
      <c r="B44" s="193">
        <v>42557</v>
      </c>
      <c r="C44" s="448">
        <v>450</v>
      </c>
      <c r="D44" s="449">
        <v>43.823700000000002</v>
      </c>
      <c r="E44" s="40">
        <v>39.31</v>
      </c>
      <c r="F44" s="40">
        <f t="shared" si="16"/>
        <v>-2031.165</v>
      </c>
      <c r="G44" s="40">
        <f t="shared" si="17"/>
        <v>19720.665000000001</v>
      </c>
      <c r="H44" s="231">
        <f t="shared" si="18"/>
        <v>-0.10299678028098951</v>
      </c>
      <c r="I44" s="40"/>
      <c r="O44" s="83">
        <v>1.07</v>
      </c>
      <c r="P44" s="83">
        <f t="shared" si="15"/>
        <v>78.174200000000013</v>
      </c>
      <c r="Q44" s="2"/>
      <c r="T44" s="93" t="s">
        <v>99</v>
      </c>
      <c r="U44" s="88">
        <v>70.73</v>
      </c>
      <c r="W44" s="133">
        <v>42705</v>
      </c>
      <c r="X44" s="10">
        <v>68.67</v>
      </c>
      <c r="Y44" s="10">
        <v>69.87</v>
      </c>
      <c r="Z44" s="10">
        <v>68.3</v>
      </c>
      <c r="AA44" s="10">
        <v>68.47</v>
      </c>
      <c r="AB44" s="95">
        <v>3212700</v>
      </c>
      <c r="AC44" s="10">
        <v>68.47</v>
      </c>
      <c r="AD44" s="2">
        <f t="shared" si="0"/>
        <v>1.5700000000000074</v>
      </c>
      <c r="AE44" s="138">
        <f t="shared" si="1"/>
        <v>-6.9615663524293936E-3</v>
      </c>
    </row>
    <row r="45" spans="2:31" x14ac:dyDescent="0.25">
      <c r="B45" s="193">
        <v>42558</v>
      </c>
      <c r="C45" s="10">
        <v>450</v>
      </c>
      <c r="D45" s="40">
        <v>43.823700000000002</v>
      </c>
      <c r="E45" s="40">
        <v>41.48</v>
      </c>
      <c r="F45" s="40">
        <f t="shared" ref="F45:F46" si="19">C45*(E45-D45)</f>
        <v>-1054.6650000000025</v>
      </c>
      <c r="G45" s="40">
        <f t="shared" ref="G45:G46" si="20">D45*C45</f>
        <v>19720.665000000001</v>
      </c>
      <c r="H45" s="231">
        <f t="shared" ref="H45:H46" si="21">(E45-D45)/D45</f>
        <v>-5.3480194506625535E-2</v>
      </c>
      <c r="I45" s="40"/>
      <c r="O45" s="83">
        <v>1.06</v>
      </c>
      <c r="P45" s="83">
        <f t="shared" si="15"/>
        <v>77.443600000000004</v>
      </c>
      <c r="Q45" s="2"/>
      <c r="T45" s="93" t="s">
        <v>100</v>
      </c>
      <c r="U45" s="88" t="s">
        <v>129</v>
      </c>
      <c r="W45" s="133">
        <v>42704</v>
      </c>
      <c r="X45" s="10">
        <v>68.510000000000005</v>
      </c>
      <c r="Y45" s="10">
        <v>69.69</v>
      </c>
      <c r="Z45" s="10">
        <v>67.58</v>
      </c>
      <c r="AA45" s="10">
        <v>68.95</v>
      </c>
      <c r="AB45" s="95">
        <v>4114300</v>
      </c>
      <c r="AC45" s="10">
        <v>68.95</v>
      </c>
      <c r="AD45" s="2">
        <f t="shared" si="0"/>
        <v>2.1099999999999994</v>
      </c>
      <c r="AE45" s="138">
        <f t="shared" si="1"/>
        <v>-1.1044176706827225E-2</v>
      </c>
    </row>
    <row r="46" spans="2:31" x14ac:dyDescent="0.25">
      <c r="B46" s="193">
        <v>42562</v>
      </c>
      <c r="C46" s="10">
        <v>400</v>
      </c>
      <c r="D46" s="40">
        <v>43.966799999999999</v>
      </c>
      <c r="E46" s="40">
        <v>42.41</v>
      </c>
      <c r="F46" s="40">
        <f t="shared" si="19"/>
        <v>-622.72000000000105</v>
      </c>
      <c r="G46" s="40">
        <f t="shared" si="20"/>
        <v>17586.72</v>
      </c>
      <c r="H46" s="231">
        <f t="shared" si="21"/>
        <v>-3.5408535531355541E-2</v>
      </c>
      <c r="I46" s="40"/>
      <c r="O46" s="83">
        <v>1.05</v>
      </c>
      <c r="P46" s="83">
        <f t="shared" si="15"/>
        <v>76.713000000000008</v>
      </c>
      <c r="Q46" s="2"/>
      <c r="T46" s="93" t="s">
        <v>101</v>
      </c>
      <c r="U46" s="88" t="s">
        <v>129</v>
      </c>
      <c r="W46" s="133">
        <v>42703</v>
      </c>
      <c r="X46" s="10">
        <v>69.17</v>
      </c>
      <c r="Y46" s="10">
        <v>70.150000000000006</v>
      </c>
      <c r="Z46" s="10">
        <v>68.94</v>
      </c>
      <c r="AA46" s="10">
        <v>69.72</v>
      </c>
      <c r="AB46" s="95">
        <v>2450100</v>
      </c>
      <c r="AC46" s="10">
        <v>69.72</v>
      </c>
      <c r="AD46" s="2">
        <f t="shared" si="0"/>
        <v>1.210000000000008</v>
      </c>
      <c r="AE46" s="138">
        <f t="shared" si="1"/>
        <v>6.7870036101083109E-3</v>
      </c>
    </row>
    <row r="47" spans="2:31" x14ac:dyDescent="0.25">
      <c r="B47" s="193">
        <v>42563</v>
      </c>
      <c r="C47" s="10">
        <v>400</v>
      </c>
      <c r="D47" s="40">
        <v>43.966799999999999</v>
      </c>
      <c r="E47" s="40">
        <v>46.16</v>
      </c>
      <c r="F47" s="40">
        <f t="shared" ref="F47:F48" si="22">C47*(E47-D47)</f>
        <v>877.27999999999895</v>
      </c>
      <c r="G47" s="40">
        <f t="shared" ref="G47:G48" si="23">D47*C47</f>
        <v>17586.72</v>
      </c>
      <c r="H47" s="231">
        <f t="shared" ref="H47:H48" si="24">(E47-D47)/D47</f>
        <v>4.9883093606994312E-2</v>
      </c>
      <c r="I47" s="40"/>
      <c r="O47" s="83">
        <v>1.04</v>
      </c>
      <c r="P47" s="83">
        <f t="shared" si="15"/>
        <v>75.982399999999998</v>
      </c>
      <c r="Q47" s="2"/>
      <c r="T47" s="93" t="s">
        <v>102</v>
      </c>
      <c r="U47" s="88">
        <v>85.19</v>
      </c>
      <c r="W47" s="133">
        <v>42702</v>
      </c>
      <c r="X47" s="10">
        <v>69.95</v>
      </c>
      <c r="Y47" s="10">
        <v>70.150000000000006</v>
      </c>
      <c r="Z47" s="10">
        <v>68.61</v>
      </c>
      <c r="AA47" s="10">
        <v>69.25</v>
      </c>
      <c r="AB47" s="95">
        <v>4966800</v>
      </c>
      <c r="AC47" s="10">
        <v>69.25</v>
      </c>
      <c r="AD47" s="2">
        <f t="shared" si="0"/>
        <v>1.5400000000000063</v>
      </c>
      <c r="AE47" s="138">
        <f t="shared" si="1"/>
        <v>-1.198459123983453E-2</v>
      </c>
    </row>
    <row r="48" spans="2:31" x14ac:dyDescent="0.25">
      <c r="B48" s="193">
        <v>42569</v>
      </c>
      <c r="C48" s="10">
        <v>360</v>
      </c>
      <c r="D48" s="40">
        <v>43.573300000000003</v>
      </c>
      <c r="E48" s="40">
        <v>47.71</v>
      </c>
      <c r="F48" s="40">
        <f t="shared" si="22"/>
        <v>1489.2119999999991</v>
      </c>
      <c r="G48" s="40">
        <f t="shared" si="23"/>
        <v>15686.388000000001</v>
      </c>
      <c r="H48" s="231">
        <f t="shared" si="24"/>
        <v>9.4936578133857141E-2</v>
      </c>
      <c r="I48" s="40"/>
      <c r="O48" s="83">
        <v>1.03</v>
      </c>
      <c r="P48" s="83">
        <f t="shared" si="15"/>
        <v>75.251800000000003</v>
      </c>
      <c r="Q48" s="2"/>
      <c r="T48" s="93" t="s">
        <v>103</v>
      </c>
      <c r="U48" s="88">
        <v>0.62712000000000001</v>
      </c>
      <c r="W48" s="133">
        <v>42699</v>
      </c>
      <c r="X48" s="10">
        <v>69.81</v>
      </c>
      <c r="Y48" s="10">
        <v>70.180000000000007</v>
      </c>
      <c r="Z48" s="10">
        <v>69.55</v>
      </c>
      <c r="AA48" s="10">
        <v>70.09</v>
      </c>
      <c r="AB48" s="95">
        <v>1410400</v>
      </c>
      <c r="AC48" s="10">
        <v>70.09</v>
      </c>
      <c r="AD48" s="2">
        <f t="shared" si="0"/>
        <v>0.63000000000000966</v>
      </c>
      <c r="AE48" s="138">
        <f t="shared" si="1"/>
        <v>3.0051516886091534E-3</v>
      </c>
    </row>
    <row r="49" spans="2:31" x14ac:dyDescent="0.25">
      <c r="B49" s="193">
        <v>42570</v>
      </c>
      <c r="C49" s="10">
        <v>360</v>
      </c>
      <c r="D49" s="40">
        <v>43.573300000000003</v>
      </c>
      <c r="E49" s="40">
        <v>47.85</v>
      </c>
      <c r="F49" s="40">
        <f t="shared" ref="F49" si="25">C49*(E49-D49)</f>
        <v>1539.6119999999994</v>
      </c>
      <c r="G49" s="40">
        <f t="shared" ref="G49" si="26">D49*C49</f>
        <v>15686.388000000001</v>
      </c>
      <c r="H49" s="231">
        <f t="shared" ref="H49" si="27">(E49-D49)/D49</f>
        <v>9.8149554887970336E-2</v>
      </c>
      <c r="I49" s="40"/>
      <c r="O49" s="83">
        <v>1.02</v>
      </c>
      <c r="P49" s="83">
        <f t="shared" si="15"/>
        <v>74.521200000000007</v>
      </c>
      <c r="Q49" s="2"/>
      <c r="T49" s="93" t="s">
        <v>122</v>
      </c>
      <c r="U49" s="88" t="s">
        <v>425</v>
      </c>
      <c r="W49" s="133">
        <v>42697</v>
      </c>
      <c r="X49" s="10">
        <v>69.349999999999994</v>
      </c>
      <c r="Y49" s="10">
        <v>69.98</v>
      </c>
      <c r="Z49" s="10">
        <v>68.83</v>
      </c>
      <c r="AA49" s="10">
        <v>69.88</v>
      </c>
      <c r="AB49" s="95">
        <v>3760700</v>
      </c>
      <c r="AC49" s="10">
        <v>69.88</v>
      </c>
      <c r="AD49" s="2">
        <f t="shared" si="0"/>
        <v>1.1500000000000057</v>
      </c>
      <c r="AE49" s="138">
        <f t="shared" si="1"/>
        <v>5.4676258992805149E-3</v>
      </c>
    </row>
    <row r="50" spans="2:31" x14ac:dyDescent="0.25">
      <c r="B50" s="193">
        <v>42571</v>
      </c>
      <c r="C50" s="10">
        <v>360</v>
      </c>
      <c r="D50" s="40">
        <v>43.573300000000003</v>
      </c>
      <c r="E50" s="40">
        <v>48.3</v>
      </c>
      <c r="F50" s="40">
        <f t="shared" ref="F50" si="28">C50*(E50-D50)</f>
        <v>1701.6119999999978</v>
      </c>
      <c r="G50" s="40">
        <f t="shared" ref="G50" si="29">D50*C50</f>
        <v>15686.388000000001</v>
      </c>
      <c r="H50" s="231">
        <f t="shared" ref="H50" si="30">(E50-D50)/D50</f>
        <v>0.10847698016904833</v>
      </c>
      <c r="I50" s="40"/>
      <c r="O50" s="83">
        <v>1.01</v>
      </c>
      <c r="P50" s="83">
        <f t="shared" si="15"/>
        <v>73.790599999999998</v>
      </c>
      <c r="Q50" s="2"/>
      <c r="T50" s="93"/>
      <c r="U50" s="88"/>
      <c r="W50" s="133">
        <v>42696</v>
      </c>
      <c r="X50" s="10">
        <v>69.08</v>
      </c>
      <c r="Y50" s="10">
        <v>70.150000000000006</v>
      </c>
      <c r="Z50" s="10">
        <v>69</v>
      </c>
      <c r="AA50" s="10">
        <v>69.5</v>
      </c>
      <c r="AB50" s="95">
        <v>4979200</v>
      </c>
      <c r="AC50" s="10">
        <v>69.5</v>
      </c>
      <c r="AD50" s="2">
        <f t="shared" si="0"/>
        <v>1.1500000000000057</v>
      </c>
      <c r="AE50" s="138">
        <f t="shared" si="1"/>
        <v>7.3923757066243212E-3</v>
      </c>
    </row>
    <row r="51" spans="2:31" x14ac:dyDescent="0.25">
      <c r="B51" s="193">
        <v>42572</v>
      </c>
      <c r="C51" s="10">
        <v>360</v>
      </c>
      <c r="D51" s="40">
        <v>43.573300000000003</v>
      </c>
      <c r="E51" s="40">
        <v>46.66</v>
      </c>
      <c r="F51" s="40">
        <f t="shared" ref="F51" si="31">C51*(E51-D51)</f>
        <v>1111.2119999999977</v>
      </c>
      <c r="G51" s="40">
        <f t="shared" ref="G51" si="32">D51*C51</f>
        <v>15686.388000000001</v>
      </c>
      <c r="H51" s="231">
        <f t="shared" ref="H51" si="33">(E51-D51)/D51</f>
        <v>7.0839252478008166E-2</v>
      </c>
      <c r="I51" s="40"/>
      <c r="O51" s="83">
        <v>1</v>
      </c>
      <c r="P51" s="83">
        <f t="shared" si="15"/>
        <v>73.06</v>
      </c>
      <c r="Q51" s="2"/>
      <c r="T51" s="93" t="s">
        <v>105</v>
      </c>
      <c r="U51" s="88" t="s">
        <v>688</v>
      </c>
      <c r="W51" s="133">
        <v>42695</v>
      </c>
      <c r="X51" s="10">
        <v>68.22</v>
      </c>
      <c r="Y51" s="10">
        <v>69.290000000000006</v>
      </c>
      <c r="Z51" s="10">
        <v>67.760000000000005</v>
      </c>
      <c r="AA51" s="10">
        <v>68.989999999999995</v>
      </c>
      <c r="AB51" s="95">
        <v>8990100</v>
      </c>
      <c r="AC51" s="10">
        <v>68.989999999999995</v>
      </c>
      <c r="AD51" s="2">
        <f t="shared" si="0"/>
        <v>1.5300000000000011</v>
      </c>
      <c r="AE51" s="138">
        <f t="shared" si="1"/>
        <v>1.0250402694391481E-2</v>
      </c>
    </row>
    <row r="52" spans="2:31" x14ac:dyDescent="0.25">
      <c r="B52" s="193">
        <v>42575</v>
      </c>
      <c r="C52" s="10">
        <v>360</v>
      </c>
      <c r="D52" s="40">
        <v>43.573300000000003</v>
      </c>
      <c r="E52" s="40">
        <v>47.57</v>
      </c>
      <c r="F52" s="40">
        <f t="shared" ref="F52" si="34">C52*(E52-D52)</f>
        <v>1438.811999999999</v>
      </c>
      <c r="G52" s="40">
        <f t="shared" ref="G52" si="35">D52*C52</f>
        <v>15686.388000000001</v>
      </c>
      <c r="H52" s="231">
        <f t="shared" ref="H52" si="36">(E52-D52)/D52</f>
        <v>9.1723601379743946E-2</v>
      </c>
      <c r="I52" s="40"/>
      <c r="O52" s="83">
        <v>0.99</v>
      </c>
      <c r="P52" s="83">
        <f t="shared" si="15"/>
        <v>72.329400000000007</v>
      </c>
      <c r="Q52" s="2"/>
      <c r="T52" s="93" t="s">
        <v>106</v>
      </c>
      <c r="U52" s="88" t="s">
        <v>365</v>
      </c>
      <c r="W52" s="133">
        <v>42692</v>
      </c>
      <c r="X52" s="10">
        <v>68.05</v>
      </c>
      <c r="Y52" s="10">
        <v>68.47</v>
      </c>
      <c r="Z52" s="10">
        <v>67.239999999999995</v>
      </c>
      <c r="AA52" s="10">
        <v>68.290000000000006</v>
      </c>
      <c r="AB52" s="95">
        <v>4957600</v>
      </c>
      <c r="AC52" s="10">
        <v>68.290000000000006</v>
      </c>
      <c r="AD52" s="2">
        <f t="shared" si="0"/>
        <v>1.230000000000004</v>
      </c>
      <c r="AE52" s="138">
        <f t="shared" si="1"/>
        <v>6.3365753020927507E-3</v>
      </c>
    </row>
    <row r="53" spans="2:31" x14ac:dyDescent="0.25">
      <c r="B53" s="193">
        <v>42576</v>
      </c>
      <c r="C53" s="10">
        <v>360</v>
      </c>
      <c r="D53" s="40">
        <v>43.573300000000003</v>
      </c>
      <c r="E53" s="40">
        <v>46.89</v>
      </c>
      <c r="F53" s="40">
        <f t="shared" ref="F53" si="37">C53*(E53-D53)</f>
        <v>1194.011999999999</v>
      </c>
      <c r="G53" s="40">
        <f t="shared" ref="G53" si="38">D53*C53</f>
        <v>15686.388000000001</v>
      </c>
      <c r="H53" s="231">
        <f t="shared" ref="H53" si="39">(E53-D53)/D53</f>
        <v>7.6117714288337052E-2</v>
      </c>
      <c r="I53" s="40"/>
      <c r="O53" s="83">
        <v>0.98</v>
      </c>
      <c r="P53" s="83">
        <f t="shared" si="15"/>
        <v>71.598799999999997</v>
      </c>
      <c r="Q53" s="2"/>
      <c r="T53" s="93" t="s">
        <v>107</v>
      </c>
      <c r="U53" s="90">
        <v>3104856</v>
      </c>
      <c r="W53" s="133">
        <v>42691</v>
      </c>
      <c r="X53" s="10">
        <v>65.62</v>
      </c>
      <c r="Y53" s="10">
        <v>68.02</v>
      </c>
      <c r="Z53" s="10">
        <v>65.510000000000005</v>
      </c>
      <c r="AA53" s="10">
        <v>67.86</v>
      </c>
      <c r="AB53" s="95">
        <v>4904200</v>
      </c>
      <c r="AC53" s="10">
        <v>67.86</v>
      </c>
      <c r="AD53" s="2">
        <f t="shared" si="0"/>
        <v>2.5099999999999909</v>
      </c>
      <c r="AE53" s="138">
        <f t="shared" si="1"/>
        <v>3.6030534351145116E-2</v>
      </c>
    </row>
    <row r="54" spans="2:31" x14ac:dyDescent="0.25">
      <c r="B54" s="193">
        <v>42577</v>
      </c>
      <c r="C54" s="10">
        <v>360</v>
      </c>
      <c r="D54" s="40">
        <v>43.573300000000003</v>
      </c>
      <c r="E54" s="40">
        <v>47.73</v>
      </c>
      <c r="F54" s="40">
        <f t="shared" ref="F54" si="40">C54*(E54-D54)</f>
        <v>1496.4119999999978</v>
      </c>
      <c r="G54" s="40">
        <f t="shared" ref="G54" si="41">D54*C54</f>
        <v>15686.388000000001</v>
      </c>
      <c r="H54" s="231">
        <f t="shared" ref="H54" si="42">(E54-D54)/D54</f>
        <v>9.5395574813016068E-2</v>
      </c>
      <c r="I54" s="40"/>
      <c r="O54" s="83">
        <v>0.97</v>
      </c>
      <c r="P54" s="83">
        <f t="shared" si="15"/>
        <v>70.868200000000002</v>
      </c>
      <c r="T54" s="93" t="s">
        <v>110</v>
      </c>
      <c r="U54" s="90">
        <v>3863800</v>
      </c>
      <c r="W54" s="133">
        <v>42690</v>
      </c>
      <c r="X54" s="10">
        <v>65.75</v>
      </c>
      <c r="Y54" s="10">
        <v>66.66</v>
      </c>
      <c r="Z54" s="10">
        <v>64.900000000000006</v>
      </c>
      <c r="AA54" s="10">
        <v>65.5</v>
      </c>
      <c r="AB54" s="95">
        <v>4937100</v>
      </c>
      <c r="AC54" s="10">
        <v>65.5</v>
      </c>
      <c r="AD54" s="2">
        <f t="shared" si="0"/>
        <v>1.7599999999999909</v>
      </c>
      <c r="AE54" s="138">
        <f t="shared" si="1"/>
        <v>-8.4771419921284563E-3</v>
      </c>
    </row>
    <row r="55" spans="2:31" x14ac:dyDescent="0.25">
      <c r="B55" s="193">
        <v>42580</v>
      </c>
      <c r="C55" s="10">
        <v>360</v>
      </c>
      <c r="D55" s="40">
        <v>43.573300000000003</v>
      </c>
      <c r="E55" s="40">
        <v>46.89</v>
      </c>
      <c r="F55" s="40">
        <f t="shared" ref="F55" si="43">C55*(E55-D55)</f>
        <v>1194.011999999999</v>
      </c>
      <c r="G55" s="40">
        <f t="shared" ref="G55" si="44">D55*C55</f>
        <v>15686.388000000001</v>
      </c>
      <c r="H55" s="231">
        <f t="shared" ref="H55" si="45">(E55-D55)/D55</f>
        <v>7.6117714288337052E-2</v>
      </c>
      <c r="I55" s="40"/>
      <c r="O55" s="83">
        <v>0.96</v>
      </c>
      <c r="P55" s="83">
        <f t="shared" si="15"/>
        <v>70.137600000000006</v>
      </c>
      <c r="T55" s="93" t="s">
        <v>108</v>
      </c>
      <c r="U55" s="88" t="s">
        <v>517</v>
      </c>
      <c r="W55" s="133">
        <v>42689</v>
      </c>
      <c r="X55" s="10">
        <v>65.47</v>
      </c>
      <c r="Y55" s="10">
        <v>67.7</v>
      </c>
      <c r="Z55" s="10">
        <v>63.47</v>
      </c>
      <c r="AA55" s="10">
        <v>66.06</v>
      </c>
      <c r="AB55" s="95">
        <v>10421100</v>
      </c>
      <c r="AC55" s="10">
        <v>66.06</v>
      </c>
      <c r="AD55" s="2">
        <f t="shared" si="0"/>
        <v>4.230000000000004</v>
      </c>
      <c r="AE55" s="138">
        <f t="shared" si="1"/>
        <v>4.957102001906577E-2</v>
      </c>
    </row>
    <row r="56" spans="2:31" x14ac:dyDescent="0.25">
      <c r="B56" s="193">
        <v>42585</v>
      </c>
      <c r="C56" s="10">
        <v>360</v>
      </c>
      <c r="D56" s="40">
        <v>43.573300000000003</v>
      </c>
      <c r="E56" s="40">
        <v>44.4</v>
      </c>
      <c r="F56" s="40">
        <f t="shared" ref="F56:F57" si="46">C56*(E56-D56)</f>
        <v>297.61199999999832</v>
      </c>
      <c r="G56" s="40">
        <f t="shared" ref="G56:G57" si="47">D56*C56</f>
        <v>15686.388000000001</v>
      </c>
      <c r="H56" s="231">
        <f t="shared" ref="H56:H57" si="48">(E56-D56)/D56</f>
        <v>1.8972627733038244E-2</v>
      </c>
      <c r="I56" s="40"/>
      <c r="O56" s="83">
        <v>0.95</v>
      </c>
      <c r="P56" s="83">
        <f t="shared" si="15"/>
        <v>69.406999999999996</v>
      </c>
      <c r="T56" s="93" t="s">
        <v>111</v>
      </c>
      <c r="U56" s="88">
        <v>10.53</v>
      </c>
      <c r="W56" s="133">
        <v>42688</v>
      </c>
      <c r="X56" s="10">
        <v>60.54</v>
      </c>
      <c r="Y56" s="10">
        <v>62.94</v>
      </c>
      <c r="Z56" s="10">
        <v>60.37</v>
      </c>
      <c r="AA56" s="10">
        <v>62.94</v>
      </c>
      <c r="AB56" s="95">
        <v>6634200</v>
      </c>
      <c r="AC56" s="10">
        <v>62.94</v>
      </c>
      <c r="AD56" s="2">
        <f t="shared" si="0"/>
        <v>2.5700000000000003</v>
      </c>
      <c r="AE56" s="138">
        <f t="shared" si="1"/>
        <v>4.4647302904564201E-2</v>
      </c>
    </row>
    <row r="57" spans="2:31" x14ac:dyDescent="0.25">
      <c r="B57" s="193">
        <v>42587</v>
      </c>
      <c r="C57" s="7">
        <v>150</v>
      </c>
      <c r="D57" s="44">
        <v>37.965299999999999</v>
      </c>
      <c r="E57" s="40">
        <v>47.24</v>
      </c>
      <c r="F57" s="40">
        <f t="shared" si="46"/>
        <v>1391.2050000000004</v>
      </c>
      <c r="G57" s="40">
        <f t="shared" si="47"/>
        <v>5694.7950000000001</v>
      </c>
      <c r="H57" s="231">
        <f t="shared" si="48"/>
        <v>0.24429413174662135</v>
      </c>
      <c r="I57" s="40"/>
      <c r="O57" s="83">
        <v>0.94</v>
      </c>
      <c r="P57" s="83">
        <f t="shared" si="15"/>
        <v>68.676400000000001</v>
      </c>
      <c r="T57" s="93" t="s">
        <v>112</v>
      </c>
      <c r="U57" s="88">
        <v>6.85</v>
      </c>
      <c r="W57" s="133">
        <v>42685</v>
      </c>
      <c r="X57" s="10">
        <v>59.85</v>
      </c>
      <c r="Y57" s="10">
        <v>60.58</v>
      </c>
      <c r="Z57" s="10">
        <v>58.78</v>
      </c>
      <c r="AA57" s="10">
        <v>60.25</v>
      </c>
      <c r="AB57" s="95">
        <v>5149600</v>
      </c>
      <c r="AC57" s="10">
        <v>60.25</v>
      </c>
      <c r="AD57" s="2">
        <f t="shared" si="0"/>
        <v>1.7999999999999972</v>
      </c>
      <c r="AE57" s="138">
        <f t="shared" si="1"/>
        <v>5.1718385051717775E-3</v>
      </c>
    </row>
    <row r="58" spans="2:31" x14ac:dyDescent="0.25">
      <c r="B58" s="193">
        <v>42598</v>
      </c>
      <c r="C58" s="10">
        <v>0</v>
      </c>
      <c r="D58" s="40"/>
      <c r="E58" s="40"/>
      <c r="F58" s="40">
        <v>1461.56</v>
      </c>
      <c r="G58" s="40"/>
      <c r="H58" s="231"/>
      <c r="I58" s="40"/>
      <c r="O58" s="83">
        <v>0.93</v>
      </c>
      <c r="P58" s="83">
        <f t="shared" si="15"/>
        <v>67.945800000000006</v>
      </c>
      <c r="T58" s="93" t="s">
        <v>109</v>
      </c>
      <c r="U58" s="88" t="s">
        <v>123</v>
      </c>
      <c r="W58" s="133">
        <v>42684</v>
      </c>
      <c r="X58" s="10">
        <v>60.43</v>
      </c>
      <c r="Y58" s="10">
        <v>61.6</v>
      </c>
      <c r="Z58" s="10">
        <v>59.79</v>
      </c>
      <c r="AA58" s="10">
        <v>59.94</v>
      </c>
      <c r="AB58" s="95">
        <v>5716100</v>
      </c>
      <c r="AC58" s="10">
        <v>59.94</v>
      </c>
      <c r="AD58" s="2">
        <f t="shared" si="0"/>
        <v>1.8100000000000023</v>
      </c>
      <c r="AE58" s="138">
        <f t="shared" si="1"/>
        <v>-3.1598203891568533E-3</v>
      </c>
    </row>
    <row r="59" spans="2:31" x14ac:dyDescent="0.25">
      <c r="B59" s="193"/>
      <c r="C59" s="10"/>
      <c r="D59" s="40"/>
      <c r="E59" s="40"/>
      <c r="F59" s="40"/>
      <c r="G59" s="40"/>
      <c r="H59" s="231"/>
      <c r="I59" s="40"/>
      <c r="O59" s="83">
        <v>0.92</v>
      </c>
      <c r="P59" s="83">
        <f t="shared" si="15"/>
        <v>67.21520000000001</v>
      </c>
      <c r="W59" s="133">
        <v>42683</v>
      </c>
      <c r="X59" s="10">
        <v>58.24</v>
      </c>
      <c r="Y59" s="10">
        <v>60.36</v>
      </c>
      <c r="Z59" s="10">
        <v>57.8</v>
      </c>
      <c r="AA59" s="10">
        <v>60.13</v>
      </c>
      <c r="AB59" s="95">
        <v>5340900</v>
      </c>
      <c r="AC59" s="10">
        <v>60.13</v>
      </c>
      <c r="AD59" s="2">
        <f t="shared" si="0"/>
        <v>2.5600000000000023</v>
      </c>
      <c r="AE59" s="138">
        <f t="shared" si="1"/>
        <v>1.3825661777103315E-2</v>
      </c>
    </row>
    <row r="60" spans="2:31" x14ac:dyDescent="0.25">
      <c r="B60" s="193"/>
      <c r="C60" s="10"/>
      <c r="D60" s="40"/>
      <c r="E60" s="40"/>
      <c r="F60" s="40"/>
      <c r="G60" s="40"/>
      <c r="H60" s="231"/>
      <c r="I60" s="40"/>
      <c r="O60" s="83">
        <v>0.91</v>
      </c>
      <c r="P60" s="83">
        <f t="shared" si="15"/>
        <v>66.4846</v>
      </c>
      <c r="W60" s="133">
        <v>42682</v>
      </c>
      <c r="X60" s="10">
        <v>58.52</v>
      </c>
      <c r="Y60" s="10">
        <v>59.45</v>
      </c>
      <c r="Z60" s="10">
        <v>57.84</v>
      </c>
      <c r="AA60" s="10">
        <v>59.31</v>
      </c>
      <c r="AB60" s="95">
        <v>4077300</v>
      </c>
      <c r="AC60" s="10">
        <v>59.31</v>
      </c>
      <c r="AD60" s="2">
        <f t="shared" si="0"/>
        <v>1.6099999999999994</v>
      </c>
      <c r="AE60" s="138">
        <f t="shared" si="1"/>
        <v>1.3326499231163469E-2</v>
      </c>
    </row>
    <row r="61" spans="2:31" x14ac:dyDescent="0.25">
      <c r="B61" s="193"/>
      <c r="C61" s="10"/>
      <c r="D61" s="40"/>
      <c r="E61" s="40"/>
      <c r="F61" s="40"/>
      <c r="G61" s="40"/>
      <c r="H61" s="231"/>
      <c r="I61" s="40"/>
      <c r="O61" s="83">
        <v>0.9</v>
      </c>
      <c r="P61" s="83">
        <f t="shared" si="15"/>
        <v>65.754000000000005</v>
      </c>
      <c r="W61" s="133">
        <v>42681</v>
      </c>
      <c r="X61" s="10">
        <v>57.96</v>
      </c>
      <c r="Y61" s="10">
        <v>58.77</v>
      </c>
      <c r="Z61" s="10">
        <v>57.55</v>
      </c>
      <c r="AA61" s="10">
        <v>58.53</v>
      </c>
      <c r="AB61" s="95">
        <v>4481900</v>
      </c>
      <c r="AC61" s="10">
        <v>58.53</v>
      </c>
      <c r="AD61" s="2">
        <f t="shared" si="0"/>
        <v>1.220000000000006</v>
      </c>
      <c r="AE61" s="138">
        <f t="shared" si="1"/>
        <v>2.271535907740696E-2</v>
      </c>
    </row>
    <row r="62" spans="2:31" x14ac:dyDescent="0.25">
      <c r="B62" s="193"/>
      <c r="C62" s="10"/>
      <c r="D62" s="40"/>
      <c r="E62" s="40"/>
      <c r="F62" s="40"/>
      <c r="G62" s="40"/>
      <c r="H62" s="231"/>
      <c r="I62" s="40"/>
      <c r="W62" s="133">
        <v>42678</v>
      </c>
      <c r="X62" s="10">
        <v>56.01</v>
      </c>
      <c r="Y62" s="10">
        <v>57.69</v>
      </c>
      <c r="Z62" s="10">
        <v>55.75</v>
      </c>
      <c r="AA62" s="10">
        <v>57.23</v>
      </c>
      <c r="AB62" s="95">
        <v>5016500</v>
      </c>
      <c r="AC62" s="10">
        <v>57.23</v>
      </c>
      <c r="AD62" s="2">
        <f t="shared" si="0"/>
        <v>1.9399999999999977</v>
      </c>
      <c r="AE62" s="138">
        <f t="shared" si="1"/>
        <v>2.3060421880586324E-2</v>
      </c>
    </row>
    <row r="63" spans="2:31" x14ac:dyDescent="0.25">
      <c r="W63" s="133">
        <v>42677</v>
      </c>
      <c r="X63" s="10">
        <v>56.66</v>
      </c>
      <c r="Y63" s="10">
        <v>57.24</v>
      </c>
      <c r="Z63" s="10">
        <v>55.79</v>
      </c>
      <c r="AA63" s="10">
        <v>55.94</v>
      </c>
      <c r="AB63" s="95">
        <v>3531800</v>
      </c>
      <c r="AC63" s="10">
        <v>55.94</v>
      </c>
      <c r="AD63" s="2">
        <f t="shared" si="0"/>
        <v>1.4500000000000028</v>
      </c>
      <c r="AE63" s="138">
        <f t="shared" si="1"/>
        <v>-3.5625222657642563E-3</v>
      </c>
    </row>
    <row r="64" spans="2:31" x14ac:dyDescent="0.25">
      <c r="W64" s="133">
        <v>42676</v>
      </c>
      <c r="X64" s="10">
        <v>55.95</v>
      </c>
      <c r="Y64" s="10">
        <v>56.86</v>
      </c>
      <c r="Z64" s="10">
        <v>55.76</v>
      </c>
      <c r="AA64" s="10">
        <v>56.14</v>
      </c>
      <c r="AB64" s="95">
        <v>3949200</v>
      </c>
      <c r="AC64" s="10">
        <v>56.14</v>
      </c>
      <c r="AD64" s="2">
        <f t="shared" si="0"/>
        <v>1.1000000000000014</v>
      </c>
      <c r="AE64" s="138">
        <f t="shared" si="1"/>
        <v>2.4999999999999467E-3</v>
      </c>
    </row>
    <row r="65" spans="1:31" x14ac:dyDescent="0.25">
      <c r="W65" s="133">
        <v>42675</v>
      </c>
      <c r="X65" s="10">
        <v>56.25</v>
      </c>
      <c r="Y65" s="10">
        <v>56.97</v>
      </c>
      <c r="Z65" s="10">
        <v>55.53</v>
      </c>
      <c r="AA65" s="10">
        <v>56</v>
      </c>
      <c r="AB65" s="95">
        <v>4708100</v>
      </c>
      <c r="AC65" s="10">
        <v>56</v>
      </c>
      <c r="AD65" s="2">
        <f t="shared" si="0"/>
        <v>1.4399999999999977</v>
      </c>
      <c r="AE65" s="138">
        <f t="shared" si="1"/>
        <v>-4.090343233149496E-3</v>
      </c>
    </row>
    <row r="66" spans="1:31" x14ac:dyDescent="0.25">
      <c r="W66" s="133">
        <v>42674</v>
      </c>
      <c r="X66" s="10">
        <v>55.62</v>
      </c>
      <c r="Y66" s="10">
        <v>56.25</v>
      </c>
      <c r="Z66" s="10">
        <v>54.97</v>
      </c>
      <c r="AA66" s="10">
        <v>56.23</v>
      </c>
      <c r="AB66" s="95">
        <v>5256000</v>
      </c>
      <c r="AC66" s="10">
        <v>56.23</v>
      </c>
      <c r="AD66" s="2">
        <f t="shared" si="0"/>
        <v>1.2800000000000011</v>
      </c>
      <c r="AE66" s="138">
        <f t="shared" si="1"/>
        <v>2.0322990382870554E-2</v>
      </c>
    </row>
    <row r="67" spans="1:31" x14ac:dyDescent="0.25">
      <c r="W67" s="133">
        <v>42671</v>
      </c>
      <c r="X67" s="10">
        <v>54.59</v>
      </c>
      <c r="Y67" s="10">
        <v>55.45</v>
      </c>
      <c r="Z67" s="10">
        <v>54.38</v>
      </c>
      <c r="AA67" s="10">
        <v>55.11</v>
      </c>
      <c r="AB67" s="95">
        <v>5065500</v>
      </c>
      <c r="AC67" s="10">
        <v>55.11</v>
      </c>
      <c r="AD67" s="2">
        <f>Y67-Z67</f>
        <v>1.0700000000000003</v>
      </c>
      <c r="AE67" s="138" t="e">
        <f>AC67/#REF!-1</f>
        <v>#REF!</v>
      </c>
    </row>
    <row r="68" spans="1:31" x14ac:dyDescent="0.25">
      <c r="W68" s="133" t="s">
        <v>121</v>
      </c>
      <c r="X68" s="10"/>
      <c r="Y68" s="10"/>
      <c r="Z68" s="10"/>
      <c r="AA68" s="10"/>
      <c r="AB68" s="95"/>
      <c r="AC68" s="10"/>
      <c r="AD68" s="2" t="e">
        <f>#REF!-#REF!</f>
        <v>#REF!</v>
      </c>
      <c r="AE68" s="138" t="e">
        <f>#REF!/AC69-1</f>
        <v>#REF!</v>
      </c>
    </row>
    <row r="69" spans="1:31" x14ac:dyDescent="0.25">
      <c r="W69" s="133"/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5" spans="1:31" x14ac:dyDescent="0.25">
      <c r="L75" t="s">
        <v>65</v>
      </c>
      <c r="M75" s="2">
        <f>K93+M93-F93</f>
        <v>1461.5600000000013</v>
      </c>
    </row>
    <row r="76" spans="1:31" x14ac:dyDescent="0.25">
      <c r="A76" s="387" t="s">
        <v>1</v>
      </c>
      <c r="B76" s="387" t="s">
        <v>2</v>
      </c>
      <c r="C76" s="387" t="s">
        <v>4</v>
      </c>
      <c r="D76" s="389" t="s">
        <v>5</v>
      </c>
      <c r="E76" s="389" t="s">
        <v>94</v>
      </c>
      <c r="F76" s="389" t="s">
        <v>60</v>
      </c>
      <c r="G76" s="387" t="s">
        <v>3</v>
      </c>
      <c r="H76" s="387" t="s">
        <v>6</v>
      </c>
      <c r="I76" s="389" t="s">
        <v>7</v>
      </c>
      <c r="J76" s="389" t="s">
        <v>95</v>
      </c>
      <c r="K76" s="389" t="s">
        <v>61</v>
      </c>
      <c r="L76" s="387" t="s">
        <v>37</v>
      </c>
      <c r="M76" s="387" t="s">
        <v>38</v>
      </c>
    </row>
    <row r="77" spans="1:31" x14ac:dyDescent="0.25">
      <c r="A77" s="390" t="s">
        <v>13</v>
      </c>
      <c r="B77" s="380">
        <v>42485</v>
      </c>
      <c r="C77" s="381">
        <v>80</v>
      </c>
      <c r="D77" s="382">
        <v>49.5</v>
      </c>
      <c r="E77" s="382">
        <v>0</v>
      </c>
      <c r="F77" s="382">
        <f t="shared" ref="F77:F85" si="49">D77*C77+E77</f>
        <v>3960</v>
      </c>
      <c r="G77" s="381"/>
      <c r="H77" s="381"/>
      <c r="I77" s="382"/>
      <c r="J77" s="382"/>
      <c r="K77" s="382"/>
      <c r="L77" s="380"/>
      <c r="M77" s="381"/>
    </row>
    <row r="78" spans="1:31" x14ac:dyDescent="0.25">
      <c r="A78" s="391" t="s">
        <v>71</v>
      </c>
      <c r="B78" s="380">
        <v>42489</v>
      </c>
      <c r="C78" s="381">
        <v>20</v>
      </c>
      <c r="D78" s="382">
        <v>46.95</v>
      </c>
      <c r="E78" s="382">
        <v>0</v>
      </c>
      <c r="F78" s="382">
        <f t="shared" si="49"/>
        <v>939</v>
      </c>
      <c r="G78" s="381"/>
      <c r="H78" s="382"/>
      <c r="I78" s="382"/>
      <c r="J78" s="382"/>
      <c r="K78" s="382"/>
      <c r="L78" s="381"/>
      <c r="M78" s="381"/>
    </row>
    <row r="79" spans="1:31" x14ac:dyDescent="0.25">
      <c r="A79" s="381"/>
      <c r="B79" s="380">
        <v>42489</v>
      </c>
      <c r="C79" s="381">
        <v>50</v>
      </c>
      <c r="D79" s="382">
        <v>45.91</v>
      </c>
      <c r="E79" s="382">
        <v>0</v>
      </c>
      <c r="F79" s="382">
        <f t="shared" si="49"/>
        <v>2295.5</v>
      </c>
      <c r="G79" s="381"/>
      <c r="H79" s="381"/>
      <c r="I79" s="382"/>
      <c r="J79" s="382"/>
      <c r="K79" s="382"/>
      <c r="L79" s="381"/>
      <c r="M79" s="381"/>
    </row>
    <row r="80" spans="1:31" x14ac:dyDescent="0.25">
      <c r="A80" s="381"/>
      <c r="B80" s="380">
        <v>42495</v>
      </c>
      <c r="C80" s="381">
        <v>25</v>
      </c>
      <c r="D80" s="382">
        <v>45</v>
      </c>
      <c r="E80" s="382">
        <v>0</v>
      </c>
      <c r="F80" s="382">
        <f t="shared" si="49"/>
        <v>1125</v>
      </c>
      <c r="G80" s="380">
        <v>42557</v>
      </c>
      <c r="H80" s="381">
        <v>150</v>
      </c>
      <c r="I80" s="382">
        <v>39.28</v>
      </c>
      <c r="J80" s="382">
        <v>0.13</v>
      </c>
      <c r="K80" s="382">
        <f t="shared" ref="K80:K85" si="50">I80*H80-J80</f>
        <v>5891.87</v>
      </c>
      <c r="L80" s="381"/>
      <c r="M80" s="381"/>
    </row>
    <row r="81" spans="1:13" x14ac:dyDescent="0.25">
      <c r="A81" s="381"/>
      <c r="B81" s="380">
        <v>42502</v>
      </c>
      <c r="C81" s="381">
        <v>25</v>
      </c>
      <c r="D81" s="382">
        <v>44.09</v>
      </c>
      <c r="E81" s="382">
        <v>0</v>
      </c>
      <c r="F81" s="382">
        <f t="shared" si="49"/>
        <v>1102.25</v>
      </c>
      <c r="G81" s="380">
        <v>42562</v>
      </c>
      <c r="H81" s="381">
        <v>50</v>
      </c>
      <c r="I81" s="382">
        <v>42.68</v>
      </c>
      <c r="J81" s="382">
        <v>0.05</v>
      </c>
      <c r="K81" s="382">
        <f t="shared" si="50"/>
        <v>2133.9499999999998</v>
      </c>
      <c r="L81" s="381"/>
      <c r="M81" s="381"/>
    </row>
    <row r="82" spans="1:13" x14ac:dyDescent="0.25">
      <c r="A82" s="381"/>
      <c r="B82" s="380">
        <v>42535</v>
      </c>
      <c r="C82" s="381">
        <v>40</v>
      </c>
      <c r="D82" s="382">
        <v>43.19</v>
      </c>
      <c r="E82" s="382">
        <v>0</v>
      </c>
      <c r="F82" s="382">
        <f t="shared" si="49"/>
        <v>1727.6</v>
      </c>
      <c r="G82" s="380">
        <v>42566</v>
      </c>
      <c r="H82" s="381">
        <v>40</v>
      </c>
      <c r="I82" s="382">
        <v>47.51</v>
      </c>
      <c r="J82" s="382">
        <v>0.04</v>
      </c>
      <c r="K82" s="382">
        <f t="shared" si="50"/>
        <v>1900.36</v>
      </c>
      <c r="L82" s="381"/>
      <c r="M82" s="381"/>
    </row>
    <row r="83" spans="1:13" x14ac:dyDescent="0.25">
      <c r="A83" s="381"/>
      <c r="B83" s="380">
        <v>42545</v>
      </c>
      <c r="C83" s="381">
        <v>100</v>
      </c>
      <c r="D83" s="382">
        <v>42.28</v>
      </c>
      <c r="E83" s="382">
        <v>0</v>
      </c>
      <c r="F83" s="382">
        <f t="shared" si="49"/>
        <v>4228</v>
      </c>
      <c r="G83" s="380">
        <v>42587</v>
      </c>
      <c r="H83" s="381">
        <v>210</v>
      </c>
      <c r="I83" s="382">
        <v>47.58</v>
      </c>
      <c r="J83" s="382">
        <v>0.22</v>
      </c>
      <c r="K83" s="382">
        <f t="shared" si="50"/>
        <v>9991.58</v>
      </c>
      <c r="L83" s="381"/>
      <c r="M83" s="381"/>
    </row>
    <row r="84" spans="1:13" x14ac:dyDescent="0.25">
      <c r="A84" s="381"/>
      <c r="B84" s="380">
        <v>42545</v>
      </c>
      <c r="C84" s="381">
        <v>110</v>
      </c>
      <c r="D84" s="382">
        <v>41.12</v>
      </c>
      <c r="E84" s="382">
        <v>0</v>
      </c>
      <c r="F84" s="382">
        <f t="shared" si="49"/>
        <v>4523.2</v>
      </c>
      <c r="G84" s="380">
        <v>42593</v>
      </c>
      <c r="H84" s="381">
        <v>50</v>
      </c>
      <c r="I84" s="382">
        <v>47.35</v>
      </c>
      <c r="J84" s="382">
        <v>0.05</v>
      </c>
      <c r="K84" s="382">
        <f t="shared" si="50"/>
        <v>2367.4499999999998</v>
      </c>
      <c r="L84" s="381"/>
      <c r="M84" s="381"/>
    </row>
    <row r="85" spans="1:13" x14ac:dyDescent="0.25">
      <c r="A85" s="381"/>
      <c r="B85" s="380">
        <v>42557</v>
      </c>
      <c r="C85" s="381">
        <v>150</v>
      </c>
      <c r="D85" s="382">
        <v>38.08</v>
      </c>
      <c r="E85" s="382">
        <v>0</v>
      </c>
      <c r="F85" s="382">
        <f t="shared" si="49"/>
        <v>5712</v>
      </c>
      <c r="G85" s="380">
        <v>42597</v>
      </c>
      <c r="H85" s="381">
        <v>100</v>
      </c>
      <c r="I85" s="382">
        <v>47.89</v>
      </c>
      <c r="J85" s="382">
        <v>0.1</v>
      </c>
      <c r="K85" s="382">
        <f t="shared" si="50"/>
        <v>4788.8999999999996</v>
      </c>
      <c r="L85" s="381"/>
      <c r="M85" s="381"/>
    </row>
    <row r="86" spans="1:13" x14ac:dyDescent="0.25">
      <c r="A86" s="381"/>
      <c r="B86" s="380"/>
      <c r="C86" s="381"/>
      <c r="D86" s="382"/>
      <c r="E86" s="382"/>
      <c r="F86" s="382"/>
      <c r="G86" s="381"/>
      <c r="H86" s="381"/>
      <c r="I86" s="382"/>
      <c r="J86" s="382"/>
      <c r="K86" s="382"/>
      <c r="L86" s="381"/>
      <c r="M86" s="381"/>
    </row>
    <row r="87" spans="1:13" x14ac:dyDescent="0.25">
      <c r="A87" s="381"/>
      <c r="B87" s="381"/>
      <c r="C87" s="381"/>
      <c r="D87" s="382"/>
      <c r="E87" s="382"/>
      <c r="F87" s="382"/>
      <c r="G87" s="381"/>
      <c r="H87" s="381"/>
      <c r="I87" s="382"/>
      <c r="J87" s="382"/>
      <c r="K87" s="382"/>
      <c r="L87" s="381"/>
      <c r="M87" s="381"/>
    </row>
    <row r="88" spans="1:13" x14ac:dyDescent="0.25">
      <c r="A88" s="381"/>
      <c r="B88" s="381"/>
      <c r="C88" s="381"/>
      <c r="D88" s="382"/>
      <c r="E88" s="382"/>
      <c r="F88" s="382"/>
      <c r="G88" s="381"/>
      <c r="H88" s="381"/>
      <c r="I88" s="382"/>
      <c r="J88" s="382"/>
      <c r="K88" s="382"/>
      <c r="L88" s="381"/>
      <c r="M88" s="381"/>
    </row>
    <row r="89" spans="1:13" x14ac:dyDescent="0.25">
      <c r="A89" s="381"/>
      <c r="B89" s="381"/>
      <c r="C89" s="381"/>
      <c r="D89" s="382"/>
      <c r="E89" s="382"/>
      <c r="F89" s="382"/>
      <c r="G89" s="381"/>
      <c r="H89" s="381"/>
      <c r="I89" s="382"/>
      <c r="J89" s="382"/>
      <c r="K89" s="382"/>
      <c r="L89" s="381"/>
      <c r="M89" s="381"/>
    </row>
    <row r="90" spans="1:13" x14ac:dyDescent="0.25">
      <c r="A90" s="381"/>
      <c r="B90" s="381"/>
      <c r="C90" s="381"/>
      <c r="D90" s="382"/>
      <c r="E90" s="382"/>
      <c r="F90" s="382"/>
      <c r="G90" s="381"/>
      <c r="H90" s="381"/>
      <c r="I90" s="382"/>
      <c r="J90" s="382"/>
      <c r="K90" s="382"/>
      <c r="L90" s="381"/>
      <c r="M90" s="381"/>
    </row>
    <row r="91" spans="1:13" x14ac:dyDescent="0.25">
      <c r="A91" s="381"/>
      <c r="B91" s="381"/>
      <c r="C91" s="381"/>
      <c r="D91" s="382"/>
      <c r="E91" s="382"/>
      <c r="F91" s="382"/>
      <c r="G91" s="381"/>
      <c r="H91" s="381"/>
      <c r="I91" s="382"/>
      <c r="J91" s="382"/>
      <c r="K91" s="382"/>
      <c r="L91" s="381"/>
      <c r="M91" s="381"/>
    </row>
    <row r="92" spans="1:13" x14ac:dyDescent="0.25">
      <c r="A92" s="381"/>
      <c r="B92" s="381"/>
      <c r="C92" s="381"/>
      <c r="D92" s="382"/>
      <c r="E92" s="382"/>
      <c r="F92" s="382"/>
      <c r="G92" s="381"/>
      <c r="H92" s="381"/>
      <c r="I92" s="382"/>
      <c r="J92" s="382"/>
      <c r="K92" s="382"/>
      <c r="L92" s="381"/>
      <c r="M92" s="381"/>
    </row>
    <row r="93" spans="1:13" x14ac:dyDescent="0.25">
      <c r="A93" s="22" t="s">
        <v>81</v>
      </c>
      <c r="B93" s="12"/>
      <c r="C93" s="12">
        <f>SUM(C77:C86)</f>
        <v>600</v>
      </c>
      <c r="D93" s="13"/>
      <c r="E93" s="13"/>
      <c r="F93" s="13">
        <f>SUM(F77:F85)</f>
        <v>25612.55</v>
      </c>
      <c r="G93" s="12"/>
      <c r="H93" s="12">
        <f>SUM(H77:H92)</f>
        <v>600</v>
      </c>
      <c r="I93" s="13"/>
      <c r="J93" s="13"/>
      <c r="K93" s="13">
        <f>SUM(K77:K92)</f>
        <v>27074.11</v>
      </c>
      <c r="L93" s="12"/>
      <c r="M93" s="13">
        <f>SUM(M77:M92)</f>
        <v>0</v>
      </c>
    </row>
    <row r="94" spans="1:13" ht="15.75" thickBot="1" x14ac:dyDescent="0.3">
      <c r="A94" s="472" t="s">
        <v>198</v>
      </c>
      <c r="B94" s="473"/>
      <c r="C94" s="474">
        <f>SumByColor($A$19,C77:C92)</f>
        <v>0</v>
      </c>
      <c r="D94" s="474"/>
      <c r="E94" s="474"/>
      <c r="F94" s="475">
        <f>SumByColor($A$19,F77:F92)</f>
        <v>0</v>
      </c>
      <c r="G94" s="474"/>
      <c r="H94" s="474">
        <f>SumByColor($A$19,H78:H92)</f>
        <v>0</v>
      </c>
      <c r="I94" s="474"/>
      <c r="J94" s="474"/>
      <c r="K94" s="475">
        <f>SumByColor($A$19,K78:K92)</f>
        <v>0</v>
      </c>
      <c r="L94" s="474"/>
      <c r="M94" s="475">
        <f t="shared" ref="M94" si="51">SumByColor($A$19,M77:M92)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217" priority="15">
      <formula>F29&gt;0</formula>
    </cfRule>
    <cfRule type="expression" dxfId="216" priority="16">
      <formula>F29&lt;0</formula>
    </cfRule>
  </conditionalFormatting>
  <conditionalFormatting sqref="F34:F62">
    <cfRule type="expression" dxfId="215" priority="11">
      <formula>F34&gt;0</formula>
    </cfRule>
    <cfRule type="expression" dxfId="214" priority="12">
      <formula>F34&lt;0</formula>
    </cfRule>
  </conditionalFormatting>
  <conditionalFormatting sqref="F34:F62">
    <cfRule type="expression" dxfId="213" priority="13">
      <formula>F34&gt;0</formula>
    </cfRule>
    <cfRule type="expression" dxfId="212" priority="14">
      <formula>F34&lt;0</formula>
    </cfRule>
  </conditionalFormatting>
  <conditionalFormatting sqref="H29:H62">
    <cfRule type="expression" dxfId="211" priority="9">
      <formula>H29&gt;0</formula>
    </cfRule>
    <cfRule type="expression" dxfId="210" priority="10">
      <formula>H29&lt;0</formula>
    </cfRule>
  </conditionalFormatting>
  <conditionalFormatting sqref="F25:F28">
    <cfRule type="expression" dxfId="209" priority="7">
      <formula>F25&gt;0</formula>
    </cfRule>
    <cfRule type="expression" dxfId="208" priority="8">
      <formula>F25&lt;0</formula>
    </cfRule>
  </conditionalFormatting>
  <conditionalFormatting sqref="H25:H28">
    <cfRule type="expression" dxfId="207" priority="5">
      <formula>H25&gt;0</formula>
    </cfRule>
    <cfRule type="expression" dxfId="206" priority="6">
      <formula>H25&lt;0</formula>
    </cfRule>
  </conditionalFormatting>
  <conditionalFormatting sqref="Q7">
    <cfRule type="expression" dxfId="205" priority="3">
      <formula>Q7&gt;0</formula>
    </cfRule>
    <cfRule type="expression" dxfId="204" priority="4">
      <formula>Q7&lt;0</formula>
    </cfRule>
  </conditionalFormatting>
  <conditionalFormatting sqref="Q8">
    <cfRule type="expression" dxfId="203" priority="1">
      <formula>Q8&gt;0</formula>
    </cfRule>
    <cfRule type="expression" dxfId="202" priority="2">
      <formula>Q8&lt;0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AE8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4.28515625" style="2" bestFit="1" customWidth="1"/>
    <col min="10" max="11" width="9.140625" style="2"/>
    <col min="12" max="12" width="13.5703125" bestFit="1" customWidth="1"/>
    <col min="18" max="18" width="9.7109375" bestFit="1" customWidth="1"/>
    <col min="20" max="20" width="18.5703125" customWidth="1"/>
    <col min="21" max="21" width="35" customWidth="1"/>
    <col min="23" max="23" width="14.8554687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52</v>
      </c>
      <c r="B2" s="74">
        <v>42734</v>
      </c>
      <c r="C2" s="4">
        <v>25</v>
      </c>
      <c r="D2" s="3">
        <v>71.73</v>
      </c>
      <c r="E2" s="3">
        <v>0</v>
      </c>
      <c r="F2" s="3">
        <f>C2*D2+E2</f>
        <v>1793.25</v>
      </c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50</v>
      </c>
      <c r="T2" s="1" t="s">
        <v>203</v>
      </c>
      <c r="W2" s="133">
        <v>42768</v>
      </c>
      <c r="X2" s="10">
        <v>74.91</v>
      </c>
      <c r="Y2" s="10">
        <v>75.2</v>
      </c>
      <c r="Z2" s="10">
        <v>73.790000000000006</v>
      </c>
      <c r="AA2" s="10">
        <v>74.44</v>
      </c>
      <c r="AB2" s="95">
        <v>2421700</v>
      </c>
      <c r="AC2" s="10">
        <v>74.44</v>
      </c>
      <c r="AD2" s="2">
        <f>Y2-Z2</f>
        <v>1.4099999999999966</v>
      </c>
      <c r="AE2" s="138">
        <f>AC2/AC3-1</f>
        <v>-1.207697412076969E-2</v>
      </c>
    </row>
    <row r="3" spans="1:31" x14ac:dyDescent="0.25">
      <c r="A3" s="23" t="s">
        <v>71</v>
      </c>
      <c r="B3" s="503">
        <v>42761</v>
      </c>
      <c r="C3" s="4">
        <v>25</v>
      </c>
      <c r="D3" s="3">
        <v>72.58</v>
      </c>
      <c r="E3" s="3">
        <v>0</v>
      </c>
      <c r="F3" s="3">
        <f>C3*D3+E3</f>
        <v>1814.5</v>
      </c>
      <c r="G3" s="74"/>
      <c r="H3" s="185"/>
      <c r="I3" s="3"/>
      <c r="J3" s="3"/>
      <c r="K3" s="3"/>
      <c r="L3" s="74"/>
      <c r="M3" s="3"/>
      <c r="O3" s="11" t="s">
        <v>58</v>
      </c>
      <c r="Q3" s="230">
        <f>IF(Q2=0, Q4, (F18-K18-M18)/Q2)</f>
        <v>72.155000000000001</v>
      </c>
      <c r="T3" s="1"/>
      <c r="W3" s="133">
        <v>42767</v>
      </c>
      <c r="X3" s="10">
        <v>74.430000000000007</v>
      </c>
      <c r="Y3" s="10">
        <v>75.39</v>
      </c>
      <c r="Z3" s="10">
        <v>74.16</v>
      </c>
      <c r="AA3" s="10">
        <v>75.349999999999994</v>
      </c>
      <c r="AB3" s="95">
        <v>2569300</v>
      </c>
      <c r="AC3" s="10">
        <v>75.349999999999994</v>
      </c>
      <c r="AD3" s="2">
        <f t="shared" ref="AD3:AD66" si="0">Y3-Z3</f>
        <v>1.230000000000004</v>
      </c>
      <c r="AE3" s="138">
        <f t="shared" ref="AE3:AE66" si="1">AC3/AC4-1</f>
        <v>5.2027748132337237E-3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74.87</v>
      </c>
      <c r="R4" s="528">
        <v>5.7999999999999996E-3</v>
      </c>
      <c r="T4" s="163"/>
      <c r="U4" s="1"/>
      <c r="W4" s="133">
        <v>42766</v>
      </c>
      <c r="X4" s="10">
        <v>73.89</v>
      </c>
      <c r="Y4" s="10">
        <v>75.05</v>
      </c>
      <c r="Z4" s="10">
        <v>72.88</v>
      </c>
      <c r="AA4" s="10">
        <v>74.959999999999994</v>
      </c>
      <c r="AB4" s="95">
        <v>3543400</v>
      </c>
      <c r="AC4" s="10">
        <v>74.959999999999994</v>
      </c>
      <c r="AD4" s="2">
        <f t="shared" si="0"/>
        <v>2.1700000000000017</v>
      </c>
      <c r="AE4" s="138">
        <f t="shared" si="1"/>
        <v>2.4183631643667214E-2</v>
      </c>
    </row>
    <row r="5" spans="1:31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3743.5</v>
      </c>
      <c r="W5" s="133">
        <v>42765</v>
      </c>
      <c r="X5" s="10">
        <v>72.53</v>
      </c>
      <c r="Y5" s="10">
        <v>73.31</v>
      </c>
      <c r="Z5" s="10">
        <v>72.11</v>
      </c>
      <c r="AA5" s="10">
        <v>73.19</v>
      </c>
      <c r="AB5" s="95">
        <v>1645500</v>
      </c>
      <c r="AC5" s="10">
        <v>73.19</v>
      </c>
      <c r="AD5" s="2">
        <f t="shared" si="0"/>
        <v>1.2000000000000028</v>
      </c>
      <c r="AE5" s="138">
        <f t="shared" si="1"/>
        <v>9.9351455774803199E-3</v>
      </c>
    </row>
    <row r="6" spans="1:31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3607.75</v>
      </c>
      <c r="W6" s="133">
        <v>42762</v>
      </c>
      <c r="X6" s="10">
        <v>73.58</v>
      </c>
      <c r="Y6" s="10">
        <v>73.58</v>
      </c>
      <c r="Z6" s="10">
        <v>71.989999999999995</v>
      </c>
      <c r="AA6" s="10">
        <v>72.47</v>
      </c>
      <c r="AB6" s="95">
        <v>3023700</v>
      </c>
      <c r="AC6" s="10">
        <v>72.47</v>
      </c>
      <c r="AD6" s="2">
        <f t="shared" si="0"/>
        <v>1.5900000000000034</v>
      </c>
      <c r="AE6" s="138">
        <f t="shared" si="1"/>
        <v>-8.4826925708031409E-3</v>
      </c>
    </row>
    <row r="7" spans="1:31" x14ac:dyDescent="0.25">
      <c r="B7" s="7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181</v>
      </c>
      <c r="Q7" s="2">
        <f>Q10+Q8</f>
        <v>796.31999999999971</v>
      </c>
      <c r="R7">
        <v>25</v>
      </c>
      <c r="W7" s="133">
        <v>42761</v>
      </c>
      <c r="X7" s="10">
        <v>73.34</v>
      </c>
      <c r="Y7" s="10">
        <v>74.14</v>
      </c>
      <c r="Z7" s="10">
        <v>72.430000000000007</v>
      </c>
      <c r="AA7" s="10">
        <v>73.09</v>
      </c>
      <c r="AB7" s="95">
        <v>3866300</v>
      </c>
      <c r="AC7" s="10">
        <v>73.09</v>
      </c>
      <c r="AD7" s="2">
        <f t="shared" si="0"/>
        <v>1.7099999999999937</v>
      </c>
      <c r="AE7" s="138">
        <f t="shared" si="1"/>
        <v>-3.6641623830235948E-2</v>
      </c>
    </row>
    <row r="8" spans="1:31" x14ac:dyDescent="0.25">
      <c r="B8" s="7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184</v>
      </c>
      <c r="P8" s="34"/>
      <c r="Q8" s="2">
        <f>K18+M18-F18+Q2*Q4</f>
        <v>135.75</v>
      </c>
      <c r="W8" s="133">
        <v>42760</v>
      </c>
      <c r="X8" s="10">
        <v>75.010000000000005</v>
      </c>
      <c r="Y8" s="10">
        <v>75.959999999999994</v>
      </c>
      <c r="Z8" s="10">
        <v>74.67</v>
      </c>
      <c r="AA8" s="10">
        <v>75.87</v>
      </c>
      <c r="AB8" s="95">
        <v>1556700</v>
      </c>
      <c r="AC8" s="10">
        <v>75.87</v>
      </c>
      <c r="AD8" s="2">
        <f t="shared" si="0"/>
        <v>1.289999999999992</v>
      </c>
      <c r="AE8" s="138">
        <f t="shared" si="1"/>
        <v>1.6342933690555839E-2</v>
      </c>
    </row>
    <row r="9" spans="1:31" x14ac:dyDescent="0.25">
      <c r="G9" s="4"/>
      <c r="H9" s="185"/>
      <c r="I9" s="3"/>
      <c r="J9" s="3"/>
      <c r="K9" s="3"/>
      <c r="L9" s="4"/>
      <c r="M9" s="4"/>
      <c r="O9" s="11" t="s">
        <v>214</v>
      </c>
      <c r="Q9" s="138">
        <f>IF(Q2=0, 0, Q8/Q6)</f>
        <v>3.7627330053357354E-2</v>
      </c>
      <c r="W9" s="133">
        <v>42759</v>
      </c>
      <c r="X9" s="10">
        <v>74.77</v>
      </c>
      <c r="Y9" s="10">
        <v>74.849999999999994</v>
      </c>
      <c r="Z9" s="10">
        <v>74.3</v>
      </c>
      <c r="AA9" s="10">
        <v>74.650000000000006</v>
      </c>
      <c r="AB9" s="95">
        <v>1060600</v>
      </c>
      <c r="AC9" s="10">
        <v>74.650000000000006</v>
      </c>
      <c r="AD9" s="2">
        <f t="shared" si="0"/>
        <v>0.54999999999999716</v>
      </c>
      <c r="AE9" s="138">
        <f t="shared" si="1"/>
        <v>-9.3683083511764131E-4</v>
      </c>
    </row>
    <row r="10" spans="1:31" x14ac:dyDescent="0.25">
      <c r="H10" s="72"/>
      <c r="O10" s="11" t="s">
        <v>213</v>
      </c>
      <c r="P10" s="34"/>
      <c r="Q10" s="2">
        <f>M67</f>
        <v>660.56999999999971</v>
      </c>
      <c r="W10" s="133">
        <v>42758</v>
      </c>
      <c r="X10" s="10">
        <v>74.900000000000006</v>
      </c>
      <c r="Y10" s="10">
        <v>75.12</v>
      </c>
      <c r="Z10" s="10">
        <v>74.27</v>
      </c>
      <c r="AA10" s="10">
        <v>74.72</v>
      </c>
      <c r="AB10" s="95">
        <v>2180900</v>
      </c>
      <c r="AC10" s="10">
        <v>74.72</v>
      </c>
      <c r="AD10" s="2">
        <f t="shared" si="0"/>
        <v>0.85000000000000853</v>
      </c>
      <c r="AE10" s="138">
        <f t="shared" si="1"/>
        <v>-4.1316806610689483E-3</v>
      </c>
    </row>
    <row r="11" spans="1:31" x14ac:dyDescent="0.25">
      <c r="H11" s="72"/>
      <c r="O11" s="11" t="s">
        <v>178</v>
      </c>
      <c r="P11" s="34"/>
      <c r="Q11" s="138">
        <f>IF(U58="N/A (N/A)", 0, VALUE(TRIM(CLEAN(MID(U58, FIND("(", U58)+1, 5)))))</f>
        <v>2.4E-2</v>
      </c>
      <c r="W11" s="133">
        <v>42755</v>
      </c>
      <c r="X11" s="10">
        <v>75.55</v>
      </c>
      <c r="Y11" s="10">
        <v>75.78</v>
      </c>
      <c r="Z11" s="10">
        <v>74.930000000000007</v>
      </c>
      <c r="AA11" s="10">
        <v>75.03</v>
      </c>
      <c r="AB11" s="95">
        <v>2389700</v>
      </c>
      <c r="AC11" s="10">
        <v>75.03</v>
      </c>
      <c r="AD11" s="2">
        <f t="shared" si="0"/>
        <v>0.84999999999999432</v>
      </c>
      <c r="AE11" s="138">
        <f t="shared" si="1"/>
        <v>-6.8828590337524087E-3</v>
      </c>
    </row>
    <row r="12" spans="1:31" x14ac:dyDescent="0.25">
      <c r="H12" s="72"/>
      <c r="W12" s="133">
        <v>42754</v>
      </c>
      <c r="X12" s="10">
        <v>75.599999999999994</v>
      </c>
      <c r="Y12" s="10">
        <v>75.760000000000005</v>
      </c>
      <c r="Z12" s="10">
        <v>75.25</v>
      </c>
      <c r="AA12" s="10">
        <v>75.55</v>
      </c>
      <c r="AB12" s="95">
        <v>2240100</v>
      </c>
      <c r="AC12" s="10">
        <v>75.55</v>
      </c>
      <c r="AD12" s="2">
        <f t="shared" si="0"/>
        <v>0.51000000000000512</v>
      </c>
      <c r="AE12" s="138">
        <f t="shared" si="1"/>
        <v>-3.2981530343008103E-3</v>
      </c>
    </row>
    <row r="13" spans="1:31" x14ac:dyDescent="0.25">
      <c r="H13" s="72"/>
      <c r="W13" s="133">
        <v>42753</v>
      </c>
      <c r="X13" s="10">
        <v>75.650000000000006</v>
      </c>
      <c r="Y13" s="10">
        <v>75.849999999999994</v>
      </c>
      <c r="Z13" s="10">
        <v>75.03</v>
      </c>
      <c r="AA13" s="10">
        <v>75.8</v>
      </c>
      <c r="AB13" s="95">
        <v>1768600</v>
      </c>
      <c r="AC13" s="10">
        <v>75.8</v>
      </c>
      <c r="AD13" s="2">
        <f t="shared" si="0"/>
        <v>0.81999999999999318</v>
      </c>
      <c r="AE13" s="138">
        <f t="shared" si="1"/>
        <v>8.2468741686616553E-3</v>
      </c>
    </row>
    <row r="14" spans="1:31" x14ac:dyDescent="0.25">
      <c r="H14" s="72"/>
      <c r="W14" s="133">
        <v>42752</v>
      </c>
      <c r="X14" s="10">
        <v>74.61</v>
      </c>
      <c r="Y14" s="10">
        <v>75.86</v>
      </c>
      <c r="Z14" s="10">
        <v>74.37</v>
      </c>
      <c r="AA14" s="10">
        <v>75.180000000000007</v>
      </c>
      <c r="AB14" s="95">
        <v>1523700</v>
      </c>
      <c r="AC14" s="10">
        <v>75.180000000000007</v>
      </c>
      <c r="AD14" s="2">
        <f t="shared" si="0"/>
        <v>1.4899999999999949</v>
      </c>
      <c r="AE14" s="138">
        <f t="shared" si="1"/>
        <v>2.4000000000001798E-3</v>
      </c>
    </row>
    <row r="15" spans="1:31" x14ac:dyDescent="0.25">
      <c r="H15" s="72"/>
      <c r="W15" s="133">
        <v>42748</v>
      </c>
      <c r="X15" s="10">
        <v>74.48</v>
      </c>
      <c r="Y15" s="10">
        <v>75.14</v>
      </c>
      <c r="Z15" s="10">
        <v>74.260000000000005</v>
      </c>
      <c r="AA15" s="10">
        <v>75</v>
      </c>
      <c r="AB15" s="95">
        <v>1443700</v>
      </c>
      <c r="AC15" s="10">
        <v>75</v>
      </c>
      <c r="AD15" s="2">
        <f t="shared" si="0"/>
        <v>0.87999999999999545</v>
      </c>
      <c r="AE15" s="138">
        <f t="shared" si="1"/>
        <v>1.0917913465426698E-2</v>
      </c>
    </row>
    <row r="16" spans="1:31" x14ac:dyDescent="0.25">
      <c r="H16" s="72"/>
      <c r="W16" s="133">
        <v>42747</v>
      </c>
      <c r="X16" s="10">
        <v>73.400000000000006</v>
      </c>
      <c r="Y16" s="10">
        <v>74.27</v>
      </c>
      <c r="Z16" s="10">
        <v>73.290000000000006</v>
      </c>
      <c r="AA16" s="10">
        <v>74.19</v>
      </c>
      <c r="AB16" s="95">
        <v>1998600</v>
      </c>
      <c r="AC16" s="10">
        <v>74.19</v>
      </c>
      <c r="AD16" s="2">
        <f t="shared" si="0"/>
        <v>0.97999999999998977</v>
      </c>
      <c r="AE16" s="138">
        <f t="shared" si="1"/>
        <v>6.3754747693978153E-3</v>
      </c>
    </row>
    <row r="17" spans="1:31" x14ac:dyDescent="0.25">
      <c r="H17" s="72"/>
      <c r="W17" s="133">
        <v>42746</v>
      </c>
      <c r="X17" s="10">
        <v>75.150000000000006</v>
      </c>
      <c r="Y17" s="10">
        <v>75.63</v>
      </c>
      <c r="Z17" s="10">
        <v>72.849999999999994</v>
      </c>
      <c r="AA17" s="10">
        <v>73.72</v>
      </c>
      <c r="AB17" s="95">
        <v>3049400</v>
      </c>
      <c r="AC17" s="10">
        <v>73.72</v>
      </c>
      <c r="AD17" s="2">
        <f t="shared" si="0"/>
        <v>2.7800000000000011</v>
      </c>
      <c r="AE17" s="138">
        <f t="shared" si="1"/>
        <v>-1.9941504918904562E-2</v>
      </c>
    </row>
    <row r="18" spans="1:31" x14ac:dyDescent="0.25">
      <c r="A18" s="32" t="s">
        <v>81</v>
      </c>
      <c r="B18" s="14"/>
      <c r="C18" s="14">
        <f>SUM(C2:C8)</f>
        <v>50</v>
      </c>
      <c r="D18" s="18"/>
      <c r="E18" s="18"/>
      <c r="F18" s="18">
        <f>SUM(F2:F8)</f>
        <v>3607.75</v>
      </c>
      <c r="G18" s="14"/>
      <c r="H18" s="73">
        <f>SUM(H2:H17)</f>
        <v>0</v>
      </c>
      <c r="I18" s="18"/>
      <c r="J18" s="18"/>
      <c r="K18" s="18">
        <f>SUM(K2:K17)</f>
        <v>0</v>
      </c>
      <c r="L18" s="14"/>
      <c r="M18" s="18">
        <f>SUM(M2:M10)</f>
        <v>0</v>
      </c>
      <c r="W18" s="133">
        <v>42745</v>
      </c>
      <c r="X18" s="10">
        <v>74.58</v>
      </c>
      <c r="Y18" s="10">
        <v>75.97</v>
      </c>
      <c r="Z18" s="10">
        <v>74.52</v>
      </c>
      <c r="AA18" s="10">
        <v>75.22</v>
      </c>
      <c r="AB18" s="95">
        <v>2420400</v>
      </c>
      <c r="AC18" s="10">
        <v>75.22</v>
      </c>
      <c r="AD18" s="2">
        <f t="shared" si="0"/>
        <v>1.4500000000000028</v>
      </c>
      <c r="AE18" s="138">
        <f t="shared" si="1"/>
        <v>6.153023006955527E-3</v>
      </c>
    </row>
    <row r="19" spans="1:31" ht="15.75" thickBot="1" x14ac:dyDescent="0.3">
      <c r="A19" s="356" t="s">
        <v>198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 t="shared" ref="M19" si="2">SumByColor($A$19,M2:M17)</f>
        <v>0</v>
      </c>
      <c r="W19" s="133">
        <v>42744</v>
      </c>
      <c r="X19" s="10">
        <v>75.03</v>
      </c>
      <c r="Y19" s="10">
        <v>75.599999999999994</v>
      </c>
      <c r="Z19" s="10">
        <v>74.75</v>
      </c>
      <c r="AA19" s="10">
        <v>74.760000000000005</v>
      </c>
      <c r="AB19" s="95">
        <v>1985600</v>
      </c>
      <c r="AC19" s="10">
        <v>74.760000000000005</v>
      </c>
      <c r="AD19" s="2">
        <f t="shared" si="0"/>
        <v>0.84999999999999432</v>
      </c>
      <c r="AE19" s="138">
        <f t="shared" si="1"/>
        <v>-7.5667064914375359E-3</v>
      </c>
    </row>
    <row r="20" spans="1:31" x14ac:dyDescent="0.25">
      <c r="W20" s="133">
        <v>42741</v>
      </c>
      <c r="X20" s="10">
        <v>74.62</v>
      </c>
      <c r="Y20" s="10">
        <v>75.41</v>
      </c>
      <c r="Z20" s="10">
        <v>74.17</v>
      </c>
      <c r="AA20" s="10">
        <v>75.33</v>
      </c>
      <c r="AB20" s="95">
        <v>2306900</v>
      </c>
      <c r="AC20" s="10">
        <v>75.33</v>
      </c>
      <c r="AD20" s="2">
        <f t="shared" si="0"/>
        <v>1.2399999999999949</v>
      </c>
      <c r="AE20" s="138">
        <f t="shared" si="1"/>
        <v>1.1140939597315436E-2</v>
      </c>
    </row>
    <row r="21" spans="1:31" x14ac:dyDescent="0.25">
      <c r="W21" s="133">
        <v>42740</v>
      </c>
      <c r="X21" s="10">
        <v>75.33</v>
      </c>
      <c r="Y21" s="10">
        <v>75.59</v>
      </c>
      <c r="Z21" s="10">
        <v>74.31</v>
      </c>
      <c r="AA21" s="10">
        <v>74.5</v>
      </c>
      <c r="AB21" s="95">
        <v>1921000</v>
      </c>
      <c r="AC21" s="10">
        <v>74.5</v>
      </c>
      <c r="AD21" s="2">
        <f t="shared" si="0"/>
        <v>1.2800000000000011</v>
      </c>
      <c r="AE21" s="138">
        <f t="shared" si="1"/>
        <v>-1.4941160914980767E-2</v>
      </c>
    </row>
    <row r="22" spans="1:31" x14ac:dyDescent="0.25">
      <c r="W22" s="133">
        <v>42739</v>
      </c>
      <c r="X22" s="10">
        <v>74.5</v>
      </c>
      <c r="Y22" s="10">
        <v>75.69</v>
      </c>
      <c r="Z22" s="10">
        <v>74.5</v>
      </c>
      <c r="AA22" s="10">
        <v>75.63</v>
      </c>
      <c r="AB22" s="95">
        <v>2461500</v>
      </c>
      <c r="AC22" s="10">
        <v>75.63</v>
      </c>
      <c r="AD22" s="2">
        <f t="shared" si="0"/>
        <v>1.1899999999999977</v>
      </c>
      <c r="AE22" s="138">
        <f t="shared" si="1"/>
        <v>1.5440386680988016E-2</v>
      </c>
    </row>
    <row r="23" spans="1:31" x14ac:dyDescent="0.25">
      <c r="W23" s="133">
        <v>42738</v>
      </c>
      <c r="X23" s="10">
        <v>71.989999999999995</v>
      </c>
      <c r="Y23" s="10">
        <v>74.75</v>
      </c>
      <c r="Z23" s="10">
        <v>71.900000000000006</v>
      </c>
      <c r="AA23" s="10">
        <v>74.48</v>
      </c>
      <c r="AB23" s="95">
        <v>4459400</v>
      </c>
      <c r="AC23" s="10">
        <v>74.48</v>
      </c>
      <c r="AD23" s="2">
        <f t="shared" si="0"/>
        <v>2.8499999999999943</v>
      </c>
      <c r="AE23" s="138">
        <f t="shared" si="1"/>
        <v>3.4875642628873216E-2</v>
      </c>
    </row>
    <row r="24" spans="1:31" x14ac:dyDescent="0.25">
      <c r="B24" s="380" t="s">
        <v>114</v>
      </c>
      <c r="C24" s="381" t="s">
        <v>147</v>
      </c>
      <c r="D24" s="382" t="s">
        <v>146</v>
      </c>
      <c r="E24" s="382" t="s">
        <v>148</v>
      </c>
      <c r="F24" s="382" t="s">
        <v>65</v>
      </c>
      <c r="G24" s="382" t="s">
        <v>152</v>
      </c>
      <c r="H24" s="383" t="s">
        <v>88</v>
      </c>
      <c r="I24" s="382" t="s">
        <v>155</v>
      </c>
      <c r="W24" s="133">
        <v>42734</v>
      </c>
      <c r="X24" s="10">
        <v>72.33</v>
      </c>
      <c r="Y24" s="10">
        <v>72.61</v>
      </c>
      <c r="Z24" s="10">
        <v>71.72</v>
      </c>
      <c r="AA24" s="10">
        <v>71.97</v>
      </c>
      <c r="AB24" s="95">
        <v>1613100</v>
      </c>
      <c r="AC24" s="10">
        <v>71.97</v>
      </c>
      <c r="AD24" s="2">
        <f t="shared" si="0"/>
        <v>0.89000000000000057</v>
      </c>
      <c r="AE24" s="138">
        <f t="shared" si="1"/>
        <v>-5.2522460262611759E-3</v>
      </c>
    </row>
    <row r="25" spans="1:31" x14ac:dyDescent="0.25">
      <c r="A25" t="s">
        <v>416</v>
      </c>
      <c r="B25" s="193">
        <v>42754</v>
      </c>
      <c r="C25" s="237">
        <v>25</v>
      </c>
      <c r="D25" s="632">
        <v>71.73</v>
      </c>
      <c r="E25" s="40">
        <v>75.55</v>
      </c>
      <c r="F25" s="40">
        <f t="shared" ref="F25" si="3">C25*(E25-D25)</f>
        <v>95.499999999999829</v>
      </c>
      <c r="G25" s="40">
        <f>D25*C25</f>
        <v>1793.25</v>
      </c>
      <c r="H25" s="231">
        <f t="shared" ref="H25" si="4">(E25-D25)/D25</f>
        <v>5.3255262791021787E-2</v>
      </c>
      <c r="I25" s="40">
        <v>70</v>
      </c>
      <c r="W25" s="133">
        <v>42733</v>
      </c>
      <c r="X25" s="10">
        <v>72.31</v>
      </c>
      <c r="Y25" s="10">
        <v>73.150000000000006</v>
      </c>
      <c r="Z25" s="10">
        <v>72.23</v>
      </c>
      <c r="AA25" s="10">
        <v>72.349999999999994</v>
      </c>
      <c r="AB25" s="95">
        <v>1728400</v>
      </c>
      <c r="AC25" s="10">
        <v>72.349999999999994</v>
      </c>
      <c r="AD25" s="2">
        <f t="shared" si="0"/>
        <v>0.92000000000000171</v>
      </c>
      <c r="AE25" s="138" t="e">
        <f t="shared" si="1"/>
        <v>#DIV/0!</v>
      </c>
    </row>
    <row r="26" spans="1:31" x14ac:dyDescent="0.25">
      <c r="A26" t="s">
        <v>462</v>
      </c>
      <c r="B26" s="193">
        <v>42792</v>
      </c>
      <c r="C26" s="10">
        <v>50</v>
      </c>
      <c r="D26" s="200">
        <v>72.155000000000001</v>
      </c>
      <c r="E26" s="40">
        <v>73.09</v>
      </c>
      <c r="F26" s="40">
        <f t="shared" ref="F26" si="5">C26*(E26-D26)</f>
        <v>46.750000000000114</v>
      </c>
      <c r="G26" s="40">
        <f>D26*C26</f>
        <v>3607.75</v>
      </c>
      <c r="H26" s="231">
        <f t="shared" ref="H26" si="6">(E26-D26)/D26</f>
        <v>1.2958214953918679E-2</v>
      </c>
      <c r="I26" s="40">
        <v>71</v>
      </c>
      <c r="W26" s="133">
        <v>42733</v>
      </c>
      <c r="X26" s="10" t="s">
        <v>236</v>
      </c>
      <c r="Y26" s="10"/>
      <c r="Z26" s="10"/>
      <c r="AA26" s="10"/>
      <c r="AB26" s="95"/>
      <c r="AC26" s="10"/>
      <c r="AD26" s="2">
        <f t="shared" si="0"/>
        <v>0</v>
      </c>
      <c r="AE26" s="138">
        <f t="shared" si="1"/>
        <v>-1</v>
      </c>
    </row>
    <row r="27" spans="1:31" x14ac:dyDescent="0.25">
      <c r="B27" s="193"/>
      <c r="C27" s="10"/>
      <c r="D27" s="40"/>
      <c r="E27" s="40"/>
      <c r="F27" s="40"/>
      <c r="G27" s="40"/>
      <c r="H27" s="231"/>
      <c r="I27" s="40"/>
      <c r="W27" s="133">
        <v>42732</v>
      </c>
      <c r="X27" s="10">
        <v>73.13</v>
      </c>
      <c r="Y27" s="10">
        <v>73.69</v>
      </c>
      <c r="Z27" s="10">
        <v>72.52</v>
      </c>
      <c r="AA27" s="10">
        <v>72.55</v>
      </c>
      <c r="AB27" s="95">
        <v>1514800</v>
      </c>
      <c r="AC27" s="10">
        <v>72.099999999999994</v>
      </c>
      <c r="AD27" s="2">
        <f t="shared" si="0"/>
        <v>1.1700000000000017</v>
      </c>
      <c r="AE27" s="138">
        <f t="shared" si="1"/>
        <v>-7.1605618286975092E-3</v>
      </c>
    </row>
    <row r="28" spans="1:31" x14ac:dyDescent="0.25">
      <c r="B28" s="193"/>
      <c r="C28" s="10"/>
      <c r="D28" s="40"/>
      <c r="E28" s="40"/>
      <c r="F28" s="40"/>
      <c r="G28" s="40"/>
      <c r="H28" s="231"/>
      <c r="I28" s="40"/>
      <c r="W28" s="133">
        <v>42731</v>
      </c>
      <c r="X28" s="10">
        <v>72.92</v>
      </c>
      <c r="Y28" s="10">
        <v>73.650000000000006</v>
      </c>
      <c r="Z28" s="10">
        <v>72.89</v>
      </c>
      <c r="AA28" s="10">
        <v>73.069999999999993</v>
      </c>
      <c r="AB28" s="95">
        <v>1500900</v>
      </c>
      <c r="AC28" s="10">
        <v>72.62</v>
      </c>
      <c r="AD28" s="2">
        <f t="shared" si="0"/>
        <v>0.76000000000000512</v>
      </c>
      <c r="AE28" s="138">
        <f t="shared" si="1"/>
        <v>2.6232224216484745E-3</v>
      </c>
    </row>
    <row r="29" spans="1:31" x14ac:dyDescent="0.25">
      <c r="B29" s="193"/>
      <c r="C29" s="10"/>
      <c r="D29" s="40"/>
      <c r="E29" s="40"/>
      <c r="F29" s="40"/>
      <c r="G29" s="40"/>
      <c r="H29" s="231"/>
      <c r="I29" s="40"/>
      <c r="W29" s="133">
        <v>42727</v>
      </c>
      <c r="X29" s="10">
        <v>72.36</v>
      </c>
      <c r="Y29" s="10">
        <v>73.400000000000006</v>
      </c>
      <c r="Z29" s="10">
        <v>72.099999999999994</v>
      </c>
      <c r="AA29" s="10">
        <v>72.88</v>
      </c>
      <c r="AB29" s="95">
        <v>995700</v>
      </c>
      <c r="AC29" s="10">
        <v>72.430000000000007</v>
      </c>
      <c r="AD29" s="2">
        <f t="shared" si="0"/>
        <v>1.3000000000000114</v>
      </c>
      <c r="AE29" s="138">
        <f t="shared" si="1"/>
        <v>1.0745185598660445E-2</v>
      </c>
    </row>
    <row r="30" spans="1:31" x14ac:dyDescent="0.25">
      <c r="B30" s="193"/>
      <c r="C30" s="10"/>
      <c r="D30" s="40"/>
      <c r="E30" s="40"/>
      <c r="F30" s="40"/>
      <c r="G30" s="40"/>
      <c r="H30" s="231"/>
      <c r="I30" s="40"/>
      <c r="W30" s="133">
        <v>42726</v>
      </c>
      <c r="X30" s="10">
        <v>72.66</v>
      </c>
      <c r="Y30" s="10">
        <v>72.989999999999995</v>
      </c>
      <c r="Z30" s="10">
        <v>71.87</v>
      </c>
      <c r="AA30" s="10">
        <v>72.11</v>
      </c>
      <c r="AB30" s="95">
        <v>1612600</v>
      </c>
      <c r="AC30" s="10">
        <v>71.66</v>
      </c>
      <c r="AD30" s="2">
        <f t="shared" si="0"/>
        <v>1.1199999999999903</v>
      </c>
      <c r="AE30" s="138">
        <f t="shared" si="1"/>
        <v>-7.0666481917694979E-3</v>
      </c>
    </row>
    <row r="31" spans="1:31" x14ac:dyDescent="0.25">
      <c r="B31" s="193"/>
      <c r="C31" s="10"/>
      <c r="D31" s="40"/>
      <c r="E31" s="40"/>
      <c r="F31" s="40"/>
      <c r="G31" s="40"/>
      <c r="H31" s="231"/>
      <c r="I31" s="40"/>
      <c r="W31" s="133">
        <v>42725</v>
      </c>
      <c r="X31" s="10">
        <v>72.489999999999995</v>
      </c>
      <c r="Y31" s="10">
        <v>72.98</v>
      </c>
      <c r="Z31" s="10">
        <v>71.819999999999993</v>
      </c>
      <c r="AA31" s="10">
        <v>72.62</v>
      </c>
      <c r="AB31" s="95">
        <v>3206800</v>
      </c>
      <c r="AC31" s="10">
        <v>72.17</v>
      </c>
      <c r="AD31" s="2">
        <f t="shared" si="0"/>
        <v>1.1600000000000108</v>
      </c>
      <c r="AE31" s="138">
        <f t="shared" si="1"/>
        <v>-1.001371742112489E-2</v>
      </c>
    </row>
    <row r="32" spans="1:31" x14ac:dyDescent="0.25">
      <c r="B32" s="193"/>
      <c r="C32" s="10"/>
      <c r="D32" s="40"/>
      <c r="E32" s="40"/>
      <c r="F32" s="40"/>
      <c r="G32" s="40"/>
      <c r="H32" s="231"/>
      <c r="I32" s="40"/>
      <c r="W32" s="133">
        <v>42724</v>
      </c>
      <c r="X32" s="10">
        <v>73.87</v>
      </c>
      <c r="Y32" s="10">
        <v>74.28</v>
      </c>
      <c r="Z32" s="10">
        <v>72.97</v>
      </c>
      <c r="AA32" s="10">
        <v>73.349999999999994</v>
      </c>
      <c r="AB32" s="95">
        <v>2397300</v>
      </c>
      <c r="AC32" s="10">
        <v>72.900000000000006</v>
      </c>
      <c r="AD32" s="2">
        <f t="shared" si="0"/>
        <v>1.3100000000000023</v>
      </c>
      <c r="AE32" s="138">
        <f t="shared" si="1"/>
        <v>-4.642271982523094E-3</v>
      </c>
    </row>
    <row r="33" spans="2:31" x14ac:dyDescent="0.25">
      <c r="B33" s="193"/>
      <c r="C33" s="10"/>
      <c r="D33" s="40"/>
      <c r="E33" s="40"/>
      <c r="F33" s="40"/>
      <c r="G33" s="40"/>
      <c r="H33" s="231"/>
      <c r="I33" s="40"/>
      <c r="W33" s="133">
        <v>42723</v>
      </c>
      <c r="X33" s="10">
        <v>73.77</v>
      </c>
      <c r="Y33" s="10">
        <v>74.319999999999993</v>
      </c>
      <c r="Z33" s="10">
        <v>73.11</v>
      </c>
      <c r="AA33" s="10">
        <v>73.7</v>
      </c>
      <c r="AB33" s="95">
        <v>2936500</v>
      </c>
      <c r="AC33" s="10">
        <v>73.239999999999995</v>
      </c>
      <c r="AD33" s="2">
        <f t="shared" si="0"/>
        <v>1.2099999999999937</v>
      </c>
      <c r="AE33" s="138">
        <f t="shared" si="1"/>
        <v>-8.1855388813101282E-4</v>
      </c>
    </row>
    <row r="34" spans="2:31" x14ac:dyDescent="0.25">
      <c r="B34" s="193"/>
      <c r="C34" s="10"/>
      <c r="D34" s="40"/>
      <c r="E34" s="40"/>
      <c r="F34" s="40"/>
      <c r="G34" s="40"/>
      <c r="H34" s="231"/>
      <c r="I34" s="40"/>
      <c r="W34" s="133">
        <v>42720</v>
      </c>
      <c r="X34" s="10">
        <v>73.290000000000006</v>
      </c>
      <c r="Y34" s="10">
        <v>73.87</v>
      </c>
      <c r="Z34" s="10">
        <v>72.95</v>
      </c>
      <c r="AA34" s="10">
        <v>73.760000000000005</v>
      </c>
      <c r="AB34" s="95">
        <v>3726900</v>
      </c>
      <c r="AC34" s="10">
        <v>73.3</v>
      </c>
      <c r="AD34" s="2">
        <f t="shared" si="0"/>
        <v>0.92000000000000171</v>
      </c>
      <c r="AE34" s="138">
        <f t="shared" si="1"/>
        <v>1.0337698139214258E-2</v>
      </c>
    </row>
    <row r="35" spans="2:31" x14ac:dyDescent="0.25">
      <c r="B35" s="193"/>
      <c r="C35" s="10"/>
      <c r="D35" s="40"/>
      <c r="E35" s="40"/>
      <c r="F35" s="40"/>
      <c r="G35" s="40"/>
      <c r="H35" s="231"/>
      <c r="I35" s="40"/>
      <c r="W35" s="133">
        <v>42719</v>
      </c>
      <c r="X35" s="10">
        <v>72.5</v>
      </c>
      <c r="Y35" s="10">
        <v>73.209999999999994</v>
      </c>
      <c r="Z35" s="10">
        <v>71.97</v>
      </c>
      <c r="AA35" s="10">
        <v>73</v>
      </c>
      <c r="AB35" s="95">
        <v>3210000</v>
      </c>
      <c r="AC35" s="10">
        <v>72.55</v>
      </c>
      <c r="AD35" s="2">
        <f t="shared" si="0"/>
        <v>1.2399999999999949</v>
      </c>
      <c r="AE35" s="138">
        <f t="shared" si="1"/>
        <v>7.3590669258538632E-3</v>
      </c>
    </row>
    <row r="36" spans="2:31" x14ac:dyDescent="0.25">
      <c r="B36" s="193"/>
      <c r="C36" s="10"/>
      <c r="D36" s="40"/>
      <c r="E36" s="40"/>
      <c r="F36" s="40"/>
      <c r="G36" s="40"/>
      <c r="H36" s="231"/>
      <c r="I36" s="40"/>
      <c r="W36" s="133">
        <v>42718</v>
      </c>
      <c r="X36" s="10">
        <v>73.739999999999995</v>
      </c>
      <c r="Y36" s="10">
        <v>73.930000000000007</v>
      </c>
      <c r="Z36" s="10">
        <v>72.13</v>
      </c>
      <c r="AA36" s="10">
        <v>72.47</v>
      </c>
      <c r="AB36" s="95">
        <v>2523700</v>
      </c>
      <c r="AC36" s="10">
        <v>72.02</v>
      </c>
      <c r="AD36" s="2">
        <f t="shared" si="0"/>
        <v>1.8000000000000114</v>
      </c>
      <c r="AE36" s="138">
        <f t="shared" si="1"/>
        <v>-1.7328421339882771E-2</v>
      </c>
    </row>
    <row r="37" spans="2:31" x14ac:dyDescent="0.25">
      <c r="B37" s="193"/>
      <c r="C37" s="10"/>
      <c r="D37" s="40"/>
      <c r="E37" s="40"/>
      <c r="F37" s="40"/>
      <c r="G37" s="40"/>
      <c r="H37" s="231"/>
      <c r="I37" s="40"/>
      <c r="W37" s="133">
        <v>42717</v>
      </c>
      <c r="X37" s="10">
        <v>73.61</v>
      </c>
      <c r="Y37" s="10">
        <v>74.09</v>
      </c>
      <c r="Z37" s="10">
        <v>73.25</v>
      </c>
      <c r="AA37" s="10">
        <v>73.75</v>
      </c>
      <c r="AB37" s="95">
        <v>2548900</v>
      </c>
      <c r="AC37" s="10">
        <v>73.290000000000006</v>
      </c>
      <c r="AD37" s="2">
        <f t="shared" si="0"/>
        <v>0.84000000000000341</v>
      </c>
      <c r="AE37" s="138">
        <f t="shared" si="1"/>
        <v>3.5601807476379754E-3</v>
      </c>
    </row>
    <row r="38" spans="2:31" x14ac:dyDescent="0.25">
      <c r="B38" s="193"/>
      <c r="C38" s="10"/>
      <c r="D38" s="40"/>
      <c r="E38" s="40"/>
      <c r="F38" s="40"/>
      <c r="G38" s="40"/>
      <c r="H38" s="231"/>
      <c r="I38" s="40"/>
      <c r="W38" s="133">
        <v>42716</v>
      </c>
      <c r="X38" s="10">
        <v>72.900000000000006</v>
      </c>
      <c r="Y38" s="10">
        <v>73.7</v>
      </c>
      <c r="Z38" s="10">
        <v>72.62</v>
      </c>
      <c r="AA38" s="10">
        <v>73.48</v>
      </c>
      <c r="AB38" s="95">
        <v>2447600</v>
      </c>
      <c r="AC38" s="10">
        <v>73.03</v>
      </c>
      <c r="AD38" s="2">
        <f t="shared" si="0"/>
        <v>1.0799999999999983</v>
      </c>
      <c r="AE38" s="138">
        <f t="shared" si="1"/>
        <v>6.0614409698305227E-3</v>
      </c>
    </row>
    <row r="39" spans="2:31" x14ac:dyDescent="0.25">
      <c r="B39" s="193"/>
      <c r="C39" s="10"/>
      <c r="D39" s="40"/>
      <c r="E39" s="40"/>
      <c r="F39" s="40"/>
      <c r="G39" s="40"/>
      <c r="H39" s="231"/>
      <c r="I39" s="40"/>
      <c r="W39" s="133">
        <v>42713</v>
      </c>
      <c r="X39" s="10">
        <v>71.13</v>
      </c>
      <c r="Y39" s="10">
        <v>73.290000000000006</v>
      </c>
      <c r="Z39" s="10">
        <v>71.099999999999994</v>
      </c>
      <c r="AA39" s="10">
        <v>73.040000000000006</v>
      </c>
      <c r="AB39" s="95">
        <v>3048200</v>
      </c>
      <c r="AC39" s="10">
        <v>72.59</v>
      </c>
      <c r="AD39" s="2">
        <f t="shared" si="0"/>
        <v>2.1900000000000119</v>
      </c>
      <c r="AE39" s="138">
        <f t="shared" si="1"/>
        <v>2.7168529786330886E-2</v>
      </c>
    </row>
    <row r="40" spans="2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638" t="s">
        <v>78</v>
      </c>
      <c r="P40" s="638"/>
      <c r="W40" s="133">
        <v>42712</v>
      </c>
      <c r="X40" s="10">
        <v>70.569999999999993</v>
      </c>
      <c r="Y40" s="10">
        <v>71.37</v>
      </c>
      <c r="Z40" s="10">
        <v>70.06</v>
      </c>
      <c r="AA40" s="10">
        <v>71.11</v>
      </c>
      <c r="AB40" s="95">
        <v>2362300</v>
      </c>
      <c r="AC40" s="10">
        <v>70.67</v>
      </c>
      <c r="AD40" s="2">
        <f t="shared" si="0"/>
        <v>1.3100000000000023</v>
      </c>
      <c r="AE40" s="138">
        <f t="shared" si="1"/>
        <v>8.70682272337997E-3</v>
      </c>
    </row>
    <row r="41" spans="2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82.357000000000014</v>
      </c>
      <c r="Q41" s="2"/>
      <c r="W41" s="133">
        <v>42711</v>
      </c>
      <c r="X41" s="10">
        <v>70.2</v>
      </c>
      <c r="Y41" s="10">
        <v>70.63</v>
      </c>
      <c r="Z41" s="10">
        <v>68.599999999999994</v>
      </c>
      <c r="AA41" s="10">
        <v>70.5</v>
      </c>
      <c r="AB41" s="95">
        <v>5534500</v>
      </c>
      <c r="AC41" s="10">
        <v>70.06</v>
      </c>
      <c r="AD41" s="2">
        <f t="shared" si="0"/>
        <v>2.0300000000000011</v>
      </c>
      <c r="AE41" s="138">
        <f t="shared" si="1"/>
        <v>-1.2961397576782163E-2</v>
      </c>
    </row>
    <row r="42" spans="2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7">O42*$Q$4</f>
        <v>81.608300000000014</v>
      </c>
      <c r="Q42" s="2"/>
      <c r="T42" s="91" t="s">
        <v>113</v>
      </c>
      <c r="W42" s="133">
        <v>42710</v>
      </c>
      <c r="X42" s="10">
        <v>72.010000000000005</v>
      </c>
      <c r="Y42" s="10">
        <v>72.16</v>
      </c>
      <c r="Z42" s="10">
        <v>70.72</v>
      </c>
      <c r="AA42" s="10">
        <v>71.42</v>
      </c>
      <c r="AB42" s="95">
        <v>2726200</v>
      </c>
      <c r="AC42" s="10">
        <v>70.98</v>
      </c>
      <c r="AD42" s="2">
        <f t="shared" si="0"/>
        <v>1.4399999999999977</v>
      </c>
      <c r="AE42" s="138">
        <f t="shared" si="1"/>
        <v>-9.351011863224068E-3</v>
      </c>
    </row>
    <row r="43" spans="2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7"/>
        <v>80.859600000000015</v>
      </c>
      <c r="Q43" s="2"/>
      <c r="T43" s="128" t="s">
        <v>98</v>
      </c>
      <c r="U43" s="98">
        <v>75.349999999999994</v>
      </c>
      <c r="W43" s="133">
        <v>42709</v>
      </c>
      <c r="X43" s="10">
        <v>70.959999999999994</v>
      </c>
      <c r="Y43" s="10">
        <v>72.150000000000006</v>
      </c>
      <c r="Z43" s="10">
        <v>70.739999999999995</v>
      </c>
      <c r="AA43" s="10">
        <v>72.099999999999994</v>
      </c>
      <c r="AB43" s="95">
        <v>3302600</v>
      </c>
      <c r="AC43" s="10">
        <v>71.650000000000006</v>
      </c>
      <c r="AD43" s="2">
        <f t="shared" si="0"/>
        <v>1.4100000000000108</v>
      </c>
      <c r="AE43" s="138">
        <f t="shared" si="1"/>
        <v>1.7900269924705281E-2</v>
      </c>
    </row>
    <row r="44" spans="2:31" x14ac:dyDescent="0.25">
      <c r="B44" s="193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7"/>
        <v>80.110900000000015</v>
      </c>
      <c r="Q44" s="2"/>
      <c r="T44" s="93" t="s">
        <v>99</v>
      </c>
      <c r="U44" s="88">
        <v>74.91</v>
      </c>
      <c r="W44" s="133">
        <v>42706</v>
      </c>
      <c r="X44" s="10">
        <v>71.19</v>
      </c>
      <c r="Y44" s="10">
        <v>71.680000000000007</v>
      </c>
      <c r="Z44" s="10">
        <v>70.739999999999995</v>
      </c>
      <c r="AA44" s="10">
        <v>70.83</v>
      </c>
      <c r="AB44" s="95">
        <v>2362700</v>
      </c>
      <c r="AC44" s="10">
        <v>70.39</v>
      </c>
      <c r="AD44" s="2">
        <f t="shared" si="0"/>
        <v>0.94000000000001194</v>
      </c>
      <c r="AE44" s="138">
        <f t="shared" si="1"/>
        <v>-1.4186409419775226E-3</v>
      </c>
    </row>
    <row r="45" spans="2:31" x14ac:dyDescent="0.25">
      <c r="B45" s="193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7"/>
        <v>79.362200000000016</v>
      </c>
      <c r="Q45" s="2"/>
      <c r="T45" s="93" t="s">
        <v>100</v>
      </c>
      <c r="U45" s="88" t="s">
        <v>129</v>
      </c>
      <c r="W45" s="133">
        <v>42705</v>
      </c>
      <c r="X45" s="10">
        <v>70.94</v>
      </c>
      <c r="Y45" s="10">
        <v>71.89</v>
      </c>
      <c r="Z45" s="10">
        <v>70.66</v>
      </c>
      <c r="AA45" s="10">
        <v>70.930000000000007</v>
      </c>
      <c r="AB45" s="95">
        <v>3332200</v>
      </c>
      <c r="AC45" s="10">
        <v>70.489999999999995</v>
      </c>
      <c r="AD45" s="2">
        <f t="shared" si="0"/>
        <v>1.230000000000004</v>
      </c>
      <c r="AE45" s="138">
        <f t="shared" si="1"/>
        <v>-1.1336261867649355E-3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7"/>
        <v>78.613500000000002</v>
      </c>
      <c r="Q46" s="2"/>
      <c r="T46" s="93" t="s">
        <v>101</v>
      </c>
      <c r="U46" s="88" t="s">
        <v>129</v>
      </c>
      <c r="W46" s="133">
        <v>42704</v>
      </c>
      <c r="X46" s="10">
        <v>71.02</v>
      </c>
      <c r="Y46" s="10">
        <v>71.569999999999993</v>
      </c>
      <c r="Z46" s="10">
        <v>70.77</v>
      </c>
      <c r="AA46" s="10">
        <v>71.010000000000005</v>
      </c>
      <c r="AB46" s="95">
        <v>4885600</v>
      </c>
      <c r="AC46" s="10">
        <v>70.569999999999993</v>
      </c>
      <c r="AD46" s="2">
        <f t="shared" si="0"/>
        <v>0.79999999999999716</v>
      </c>
      <c r="AE46" s="138">
        <f t="shared" si="1"/>
        <v>2.8348688873136574E-4</v>
      </c>
    </row>
    <row r="47" spans="2:31" x14ac:dyDescent="0.25">
      <c r="B47" s="193"/>
      <c r="C47" s="10"/>
      <c r="D47" s="40"/>
      <c r="E47" s="40"/>
      <c r="F47" s="40"/>
      <c r="G47" s="40"/>
      <c r="H47" s="231"/>
      <c r="I47" s="40"/>
      <c r="O47" s="83">
        <v>1.04</v>
      </c>
      <c r="P47" s="83">
        <f t="shared" si="7"/>
        <v>77.864800000000002</v>
      </c>
      <c r="Q47" s="2"/>
      <c r="T47" s="93" t="s">
        <v>102</v>
      </c>
      <c r="U47" s="88">
        <v>80.33</v>
      </c>
      <c r="W47" s="133">
        <v>42703</v>
      </c>
      <c r="X47" s="10">
        <v>71.510000000000005</v>
      </c>
      <c r="Y47" s="10">
        <v>71.78</v>
      </c>
      <c r="Z47" s="10">
        <v>70.44</v>
      </c>
      <c r="AA47" s="10">
        <v>70.989999999999995</v>
      </c>
      <c r="AB47" s="95">
        <v>4099200</v>
      </c>
      <c r="AC47" s="10">
        <v>70.55</v>
      </c>
      <c r="AD47" s="2">
        <f t="shared" si="0"/>
        <v>1.3400000000000034</v>
      </c>
      <c r="AE47" s="138">
        <f t="shared" si="1"/>
        <v>-8.1540840714184881E-3</v>
      </c>
    </row>
    <row r="48" spans="2:31" x14ac:dyDescent="0.25">
      <c r="B48" s="193"/>
      <c r="C48" s="10"/>
      <c r="D48" s="40"/>
      <c r="E48" s="40"/>
      <c r="F48" s="40"/>
      <c r="G48" s="40"/>
      <c r="H48" s="231"/>
      <c r="I48" s="40"/>
      <c r="O48" s="83">
        <v>1.03</v>
      </c>
      <c r="P48" s="83">
        <f t="shared" si="7"/>
        <v>77.116100000000003</v>
      </c>
      <c r="Q48" s="2"/>
      <c r="T48" s="93" t="s">
        <v>103</v>
      </c>
      <c r="U48" s="88">
        <v>0.77718399999999999</v>
      </c>
      <c r="W48" s="133">
        <v>42702</v>
      </c>
      <c r="X48" s="10">
        <v>71.33</v>
      </c>
      <c r="Y48" s="10">
        <v>71.95</v>
      </c>
      <c r="Z48" s="10">
        <v>70.900000000000006</v>
      </c>
      <c r="AA48" s="10">
        <v>71.569999999999993</v>
      </c>
      <c r="AB48" s="95">
        <v>3038700</v>
      </c>
      <c r="AC48" s="10">
        <v>71.13</v>
      </c>
      <c r="AD48" s="2">
        <f t="shared" si="0"/>
        <v>1.0499999999999972</v>
      </c>
      <c r="AE48" s="138">
        <f t="shared" si="1"/>
        <v>6.5091269279751174E-3</v>
      </c>
    </row>
    <row r="49" spans="2:31" x14ac:dyDescent="0.25">
      <c r="B49" s="193"/>
      <c r="C49" s="10"/>
      <c r="D49" s="40"/>
      <c r="E49" s="40"/>
      <c r="F49" s="40"/>
      <c r="G49" s="40"/>
      <c r="H49" s="231"/>
      <c r="I49" s="40"/>
      <c r="O49" s="83">
        <v>1.02</v>
      </c>
      <c r="P49" s="83">
        <f t="shared" si="7"/>
        <v>76.367400000000004</v>
      </c>
      <c r="Q49" s="2"/>
      <c r="T49" s="93" t="s">
        <v>104</v>
      </c>
      <c r="U49" s="88" t="s">
        <v>392</v>
      </c>
      <c r="W49" s="133">
        <v>42699</v>
      </c>
      <c r="X49" s="10">
        <v>70.959999999999994</v>
      </c>
      <c r="Y49" s="10">
        <v>71.84</v>
      </c>
      <c r="Z49" s="10">
        <v>70.37</v>
      </c>
      <c r="AA49" s="10">
        <v>71.11</v>
      </c>
      <c r="AB49" s="95">
        <v>1035100</v>
      </c>
      <c r="AC49" s="10">
        <v>70.67</v>
      </c>
      <c r="AD49" s="2">
        <f t="shared" si="0"/>
        <v>1.4699999999999989</v>
      </c>
      <c r="AE49" s="138">
        <f t="shared" si="1"/>
        <v>7.9874482955355486E-3</v>
      </c>
    </row>
    <row r="50" spans="2:31" x14ac:dyDescent="0.25">
      <c r="B50" s="193"/>
      <c r="C50" s="10"/>
      <c r="D50" s="40"/>
      <c r="E50" s="40"/>
      <c r="F50" s="40"/>
      <c r="G50" s="40"/>
      <c r="H50" s="231"/>
      <c r="I50" s="40"/>
      <c r="O50" s="83">
        <v>1.01</v>
      </c>
      <c r="P50" s="83">
        <f t="shared" si="7"/>
        <v>75.618700000000004</v>
      </c>
      <c r="Q50" s="2"/>
      <c r="T50" s="93"/>
      <c r="U50" s="88"/>
      <c r="W50" s="133">
        <v>42697</v>
      </c>
      <c r="X50" s="10">
        <v>69.790000000000006</v>
      </c>
      <c r="Y50" s="10">
        <v>70.58</v>
      </c>
      <c r="Z50" s="10">
        <v>69.64</v>
      </c>
      <c r="AA50" s="10">
        <v>70.55</v>
      </c>
      <c r="AB50" s="95">
        <v>1806400</v>
      </c>
      <c r="AC50" s="10">
        <v>70.11</v>
      </c>
      <c r="AD50" s="2">
        <f t="shared" si="0"/>
        <v>0.93999999999999773</v>
      </c>
      <c r="AE50" s="138">
        <f t="shared" si="1"/>
        <v>5.8823529411764497E-3</v>
      </c>
    </row>
    <row r="51" spans="2:31" x14ac:dyDescent="0.25">
      <c r="B51" s="193"/>
      <c r="C51" s="10"/>
      <c r="D51" s="40"/>
      <c r="E51" s="40"/>
      <c r="F51" s="40"/>
      <c r="G51" s="40"/>
      <c r="H51" s="231"/>
      <c r="I51" s="40"/>
      <c r="O51" s="83">
        <v>1</v>
      </c>
      <c r="P51" s="83">
        <f t="shared" si="7"/>
        <v>74.87</v>
      </c>
      <c r="Q51" s="2"/>
      <c r="T51" s="93" t="s">
        <v>105</v>
      </c>
      <c r="U51" s="88" t="s">
        <v>646</v>
      </c>
      <c r="W51" s="133">
        <v>42696</v>
      </c>
      <c r="X51" s="10">
        <v>70.16</v>
      </c>
      <c r="Y51" s="10">
        <v>70.41</v>
      </c>
      <c r="Z51" s="10">
        <v>69.349999999999994</v>
      </c>
      <c r="AA51" s="10">
        <v>70.13</v>
      </c>
      <c r="AB51" s="95">
        <v>2747600</v>
      </c>
      <c r="AC51" s="10">
        <v>69.7</v>
      </c>
      <c r="AD51" s="2">
        <f t="shared" si="0"/>
        <v>1.0600000000000023</v>
      </c>
      <c r="AE51" s="138">
        <f t="shared" si="1"/>
        <v>-1.7187052420508664E-3</v>
      </c>
    </row>
    <row r="52" spans="2:31" x14ac:dyDescent="0.25">
      <c r="B52" s="193"/>
      <c r="C52" s="10"/>
      <c r="D52" s="40"/>
      <c r="E52" s="40"/>
      <c r="F52" s="40"/>
      <c r="G52" s="40"/>
      <c r="H52" s="231"/>
      <c r="I52" s="40"/>
      <c r="O52" s="83">
        <v>0.99</v>
      </c>
      <c r="P52" s="83">
        <f t="shared" si="7"/>
        <v>74.121300000000005</v>
      </c>
      <c r="Q52" s="2"/>
      <c r="T52" s="93" t="s">
        <v>106</v>
      </c>
      <c r="U52" s="88" t="s">
        <v>384</v>
      </c>
      <c r="W52" s="133">
        <v>42695</v>
      </c>
      <c r="X52" s="10">
        <v>70.849999999999994</v>
      </c>
      <c r="Y52" s="10">
        <v>71.17</v>
      </c>
      <c r="Z52" s="10">
        <v>69.95</v>
      </c>
      <c r="AA52" s="10">
        <v>70.25</v>
      </c>
      <c r="AB52" s="95">
        <v>3712800</v>
      </c>
      <c r="AC52" s="10">
        <v>69.819999999999993</v>
      </c>
      <c r="AD52" s="2">
        <f t="shared" si="0"/>
        <v>1.2199999999999989</v>
      </c>
      <c r="AE52" s="138">
        <f t="shared" si="1"/>
        <v>-7.2515285084602255E-3</v>
      </c>
    </row>
    <row r="53" spans="2:31" x14ac:dyDescent="0.25">
      <c r="B53" s="193"/>
      <c r="C53" s="10"/>
      <c r="D53" s="40"/>
      <c r="E53" s="40"/>
      <c r="F53" s="40"/>
      <c r="G53" s="40"/>
      <c r="H53" s="231"/>
      <c r="I53" s="40"/>
      <c r="O53" s="83">
        <v>0.98</v>
      </c>
      <c r="P53" s="83">
        <f t="shared" si="7"/>
        <v>73.372600000000006</v>
      </c>
      <c r="Q53" s="2"/>
      <c r="T53" s="93" t="s">
        <v>107</v>
      </c>
      <c r="U53" s="90">
        <v>2428320</v>
      </c>
      <c r="W53" s="133">
        <v>42692</v>
      </c>
      <c r="X53" s="10">
        <v>71.53</v>
      </c>
      <c r="Y53" s="10">
        <v>71.59</v>
      </c>
      <c r="Z53" s="10">
        <v>70.650000000000006</v>
      </c>
      <c r="AA53" s="10">
        <v>70.77</v>
      </c>
      <c r="AB53" s="95">
        <v>2653000</v>
      </c>
      <c r="AC53" s="10">
        <v>70.33</v>
      </c>
      <c r="AD53" s="2">
        <f t="shared" si="0"/>
        <v>0.93999999999999773</v>
      </c>
      <c r="AE53" s="138">
        <f t="shared" si="1"/>
        <v>-1.2219101123595588E-2</v>
      </c>
    </row>
    <row r="54" spans="2:31" x14ac:dyDescent="0.25">
      <c r="B54" s="193"/>
      <c r="C54" s="10"/>
      <c r="D54" s="40"/>
      <c r="E54" s="40"/>
      <c r="F54" s="40"/>
      <c r="G54" s="40"/>
      <c r="H54" s="231"/>
      <c r="I54" s="40"/>
      <c r="O54" s="83">
        <v>0.97</v>
      </c>
      <c r="P54" s="83">
        <f t="shared" si="7"/>
        <v>72.623900000000006</v>
      </c>
      <c r="T54" s="93" t="s">
        <v>110</v>
      </c>
      <c r="U54" s="90">
        <v>2898750</v>
      </c>
      <c r="W54" s="133">
        <v>42691</v>
      </c>
      <c r="X54" s="10">
        <v>71.19</v>
      </c>
      <c r="Y54" s="10">
        <v>72.09</v>
      </c>
      <c r="Z54" s="10">
        <v>70.989999999999995</v>
      </c>
      <c r="AA54" s="10">
        <v>71.64</v>
      </c>
      <c r="AB54" s="95">
        <v>2355800</v>
      </c>
      <c r="AC54" s="10">
        <v>71.2</v>
      </c>
      <c r="AD54" s="2">
        <f t="shared" si="0"/>
        <v>1.1000000000000085</v>
      </c>
      <c r="AE54" s="138">
        <f t="shared" si="1"/>
        <v>1.1507316380167776E-2</v>
      </c>
    </row>
    <row r="55" spans="2:31" x14ac:dyDescent="0.25">
      <c r="B55" s="193"/>
      <c r="C55" s="10"/>
      <c r="D55" s="40"/>
      <c r="E55" s="40"/>
      <c r="F55" s="40"/>
      <c r="G55" s="40"/>
      <c r="H55" s="231"/>
      <c r="I55" s="40"/>
      <c r="O55" s="83">
        <v>0.96</v>
      </c>
      <c r="P55" s="83">
        <f t="shared" si="7"/>
        <v>71.875200000000007</v>
      </c>
      <c r="T55" s="93" t="s">
        <v>108</v>
      </c>
      <c r="U55" s="88" t="s">
        <v>647</v>
      </c>
      <c r="W55" s="133">
        <v>42690</v>
      </c>
      <c r="X55" s="10">
        <v>71.13</v>
      </c>
      <c r="Y55" s="10">
        <v>71.959999999999994</v>
      </c>
      <c r="Z55" s="10">
        <v>70.67</v>
      </c>
      <c r="AA55" s="10">
        <v>70.83</v>
      </c>
      <c r="AB55" s="95">
        <v>2491300</v>
      </c>
      <c r="AC55" s="10">
        <v>70.39</v>
      </c>
      <c r="AD55" s="2">
        <f t="shared" si="0"/>
        <v>1.289999999999992</v>
      </c>
      <c r="AE55" s="138">
        <f t="shared" si="1"/>
        <v>-7.8928823114869928E-3</v>
      </c>
    </row>
    <row r="56" spans="2:31" x14ac:dyDescent="0.25">
      <c r="B56" s="193"/>
      <c r="C56" s="10"/>
      <c r="D56" s="40"/>
      <c r="E56" s="40"/>
      <c r="F56" s="40"/>
      <c r="G56" s="40"/>
      <c r="H56" s="231"/>
      <c r="I56" s="40"/>
      <c r="O56" s="83">
        <v>0.95</v>
      </c>
      <c r="P56" s="83">
        <f t="shared" si="7"/>
        <v>71.126500000000007</v>
      </c>
      <c r="T56" s="93" t="s">
        <v>111</v>
      </c>
      <c r="U56" s="88">
        <v>18.02</v>
      </c>
      <c r="W56" s="133">
        <v>42689</v>
      </c>
      <c r="X56" s="10">
        <v>72.53</v>
      </c>
      <c r="Y56" s="10">
        <v>72.819999999999993</v>
      </c>
      <c r="Z56" s="10">
        <v>71.2</v>
      </c>
      <c r="AA56" s="10">
        <v>71.39</v>
      </c>
      <c r="AB56" s="95">
        <v>4890400</v>
      </c>
      <c r="AC56" s="10">
        <v>70.95</v>
      </c>
      <c r="AD56" s="2">
        <f t="shared" si="0"/>
        <v>1.6199999999999903</v>
      </c>
      <c r="AE56" s="138">
        <f t="shared" si="1"/>
        <v>-1.3212795549374157E-2</v>
      </c>
    </row>
    <row r="57" spans="2:31" x14ac:dyDescent="0.25">
      <c r="B57" s="193"/>
      <c r="C57" s="10"/>
      <c r="D57" s="40"/>
      <c r="E57" s="40"/>
      <c r="F57" s="40"/>
      <c r="G57" s="40"/>
      <c r="H57" s="231"/>
      <c r="I57" s="40"/>
      <c r="O57" s="83">
        <v>0.94</v>
      </c>
      <c r="P57" s="83">
        <f t="shared" si="7"/>
        <v>70.377799999999993</v>
      </c>
      <c r="T57" s="93" t="s">
        <v>112</v>
      </c>
      <c r="U57" s="88">
        <v>4.13</v>
      </c>
      <c r="W57" s="133">
        <v>42688</v>
      </c>
      <c r="X57" s="10">
        <v>71.45</v>
      </c>
      <c r="Y57" s="10">
        <v>72.81</v>
      </c>
      <c r="Z57" s="10">
        <v>71.16</v>
      </c>
      <c r="AA57" s="10">
        <v>72.349999999999994</v>
      </c>
      <c r="AB57" s="95">
        <v>3144400</v>
      </c>
      <c r="AC57" s="10">
        <v>71.900000000000006</v>
      </c>
      <c r="AD57" s="2">
        <f t="shared" si="0"/>
        <v>1.6500000000000057</v>
      </c>
      <c r="AE57" s="138">
        <f t="shared" si="1"/>
        <v>1.3675454673621967E-2</v>
      </c>
    </row>
    <row r="58" spans="2:31" x14ac:dyDescent="0.25">
      <c r="B58" s="193"/>
      <c r="C58" s="10"/>
      <c r="D58" s="40"/>
      <c r="E58" s="40"/>
      <c r="F58" s="40"/>
      <c r="G58" s="40"/>
      <c r="H58" s="231"/>
      <c r="I58" s="40"/>
      <c r="O58" s="83">
        <v>0.93</v>
      </c>
      <c r="P58" s="83">
        <f t="shared" si="7"/>
        <v>69.629100000000008</v>
      </c>
      <c r="T58" s="93" t="s">
        <v>109</v>
      </c>
      <c r="U58" s="88" t="s">
        <v>648</v>
      </c>
      <c r="W58" s="133">
        <v>42685</v>
      </c>
      <c r="X58" s="10">
        <v>71.42</v>
      </c>
      <c r="Y58" s="10">
        <v>71.86</v>
      </c>
      <c r="Z58" s="10">
        <v>70.39</v>
      </c>
      <c r="AA58" s="10">
        <v>71.37</v>
      </c>
      <c r="AB58" s="95">
        <v>3162400</v>
      </c>
      <c r="AC58" s="10">
        <v>70.930000000000007</v>
      </c>
      <c r="AD58" s="2">
        <f t="shared" si="0"/>
        <v>1.4699999999999989</v>
      </c>
      <c r="AE58" s="138">
        <f t="shared" si="1"/>
        <v>-4.9102132435464574E-3</v>
      </c>
    </row>
    <row r="59" spans="2:31" x14ac:dyDescent="0.25">
      <c r="B59" s="193"/>
      <c r="C59" s="10"/>
      <c r="D59" s="40"/>
      <c r="E59" s="40"/>
      <c r="F59" s="40"/>
      <c r="G59" s="40"/>
      <c r="H59" s="231"/>
      <c r="I59" s="40"/>
      <c r="O59" s="83">
        <v>0.92</v>
      </c>
      <c r="P59" s="83">
        <f t="shared" si="7"/>
        <v>68.880400000000009</v>
      </c>
      <c r="W59" s="133">
        <v>42684</v>
      </c>
      <c r="X59" s="10">
        <v>69.760000000000005</v>
      </c>
      <c r="Y59" s="10">
        <v>71.97</v>
      </c>
      <c r="Z59" s="10">
        <v>69.760000000000005</v>
      </c>
      <c r="AA59" s="10">
        <v>71.72</v>
      </c>
      <c r="AB59" s="95">
        <v>5995300</v>
      </c>
      <c r="AC59" s="10">
        <v>71.28</v>
      </c>
      <c r="AD59" s="2">
        <f t="shared" si="0"/>
        <v>2.2099999999999937</v>
      </c>
      <c r="AE59" s="138">
        <f t="shared" si="1"/>
        <v>3.5745422842197172E-2</v>
      </c>
    </row>
    <row r="60" spans="2:31" x14ac:dyDescent="0.25">
      <c r="B60" s="193"/>
      <c r="C60" s="10"/>
      <c r="D60" s="40"/>
      <c r="E60" s="40"/>
      <c r="F60" s="40"/>
      <c r="G60" s="40"/>
      <c r="H60" s="231"/>
      <c r="I60" s="40"/>
      <c r="O60" s="83">
        <v>0.91</v>
      </c>
      <c r="P60" s="83">
        <f t="shared" si="7"/>
        <v>68.131700000000009</v>
      </c>
      <c r="W60" s="133">
        <v>42683</v>
      </c>
      <c r="X60" s="10">
        <v>68.53</v>
      </c>
      <c r="Y60" s="10">
        <v>71.72</v>
      </c>
      <c r="Z60" s="10">
        <v>65.72</v>
      </c>
      <c r="AA60" s="10">
        <v>69.25</v>
      </c>
      <c r="AB60" s="95">
        <v>6758500</v>
      </c>
      <c r="AC60" s="10">
        <v>68.819999999999993</v>
      </c>
      <c r="AD60" s="2">
        <f t="shared" si="0"/>
        <v>6</v>
      </c>
      <c r="AE60" s="138">
        <f t="shared" si="1"/>
        <v>5.9584295612009175E-2</v>
      </c>
    </row>
    <row r="61" spans="2:31" x14ac:dyDescent="0.25">
      <c r="B61" s="193"/>
      <c r="C61" s="10"/>
      <c r="D61" s="40"/>
      <c r="E61" s="40"/>
      <c r="F61" s="40"/>
      <c r="G61" s="40"/>
      <c r="H61" s="231"/>
      <c r="I61" s="40"/>
      <c r="O61" s="83">
        <v>0.9</v>
      </c>
      <c r="P61" s="83">
        <f t="shared" si="7"/>
        <v>67.38300000000001</v>
      </c>
      <c r="W61" s="133">
        <v>42682</v>
      </c>
      <c r="X61" s="10">
        <v>64.459999999999994</v>
      </c>
      <c r="Y61" s="10">
        <v>65.64</v>
      </c>
      <c r="Z61" s="10">
        <v>62.7</v>
      </c>
      <c r="AA61" s="10">
        <v>65.349999999999994</v>
      </c>
      <c r="AB61" s="95">
        <v>5774700</v>
      </c>
      <c r="AC61" s="10">
        <v>64.95</v>
      </c>
      <c r="AD61" s="2">
        <f t="shared" si="0"/>
        <v>2.9399999999999977</v>
      </c>
      <c r="AE61" s="138">
        <f t="shared" si="1"/>
        <v>-9.7575849977130646E-3</v>
      </c>
    </row>
    <row r="62" spans="2:31" x14ac:dyDescent="0.25">
      <c r="B62" s="193"/>
      <c r="C62" s="10"/>
      <c r="D62" s="40"/>
      <c r="E62" s="40"/>
      <c r="F62" s="40"/>
      <c r="G62" s="40"/>
      <c r="H62" s="231"/>
      <c r="I62" s="40"/>
      <c r="W62" s="133">
        <v>42681</v>
      </c>
      <c r="X62" s="10">
        <v>66.23</v>
      </c>
      <c r="Y62" s="10">
        <v>66.39</v>
      </c>
      <c r="Z62" s="10">
        <v>65.38</v>
      </c>
      <c r="AA62" s="10">
        <v>66</v>
      </c>
      <c r="AB62" s="95">
        <v>3356900</v>
      </c>
      <c r="AC62" s="10">
        <v>65.59</v>
      </c>
      <c r="AD62" s="2">
        <f t="shared" si="0"/>
        <v>1.0100000000000051</v>
      </c>
      <c r="AE62" s="138">
        <f t="shared" si="1"/>
        <v>1.2660182183109603E-2</v>
      </c>
    </row>
    <row r="63" spans="2:31" x14ac:dyDescent="0.25">
      <c r="B63" s="193"/>
      <c r="C63" s="10"/>
      <c r="D63" s="40"/>
      <c r="E63" s="40"/>
      <c r="F63" s="40"/>
      <c r="G63" s="40"/>
      <c r="H63" s="231"/>
      <c r="I63" s="40"/>
      <c r="W63" s="133">
        <v>42678</v>
      </c>
      <c r="X63" s="10">
        <v>65.58</v>
      </c>
      <c r="Y63" s="10">
        <v>66.010000000000005</v>
      </c>
      <c r="Z63" s="10">
        <v>64.77</v>
      </c>
      <c r="AA63" s="10">
        <v>65.17</v>
      </c>
      <c r="AB63" s="95">
        <v>5803600</v>
      </c>
      <c r="AC63" s="10">
        <v>64.77</v>
      </c>
      <c r="AD63" s="2">
        <f t="shared" si="0"/>
        <v>1.2400000000000091</v>
      </c>
      <c r="AE63" s="138">
        <f t="shared" si="1"/>
        <v>-3.2317636195753341E-3</v>
      </c>
    </row>
    <row r="64" spans="2:31" x14ac:dyDescent="0.25">
      <c r="B64" s="193"/>
      <c r="C64" s="10"/>
      <c r="D64" s="40"/>
      <c r="E64" s="40"/>
      <c r="F64" s="40"/>
      <c r="G64" s="40"/>
      <c r="H64" s="231"/>
      <c r="I64" s="40"/>
      <c r="W64" s="133">
        <v>42677</v>
      </c>
      <c r="X64" s="10">
        <v>69.010000000000005</v>
      </c>
      <c r="Y64" s="10">
        <v>69.55</v>
      </c>
      <c r="Z64" s="10">
        <v>65.02</v>
      </c>
      <c r="AA64" s="10">
        <v>65.38</v>
      </c>
      <c r="AB64" s="95">
        <v>5542100</v>
      </c>
      <c r="AC64" s="10">
        <v>64.98</v>
      </c>
      <c r="AD64" s="2">
        <f t="shared" si="0"/>
        <v>4.5300000000000011</v>
      </c>
      <c r="AE64" s="138">
        <f t="shared" si="1"/>
        <v>-4.777256740914404E-2</v>
      </c>
    </row>
    <row r="65" spans="1:31" x14ac:dyDescent="0.25">
      <c r="B65" s="193"/>
      <c r="C65" s="10"/>
      <c r="D65" s="40"/>
      <c r="E65" s="40"/>
      <c r="F65" s="40"/>
      <c r="G65" s="40"/>
      <c r="H65" s="231"/>
      <c r="I65" s="40"/>
      <c r="W65" s="133">
        <v>42676</v>
      </c>
      <c r="X65" s="10">
        <v>67.09</v>
      </c>
      <c r="Y65" s="10">
        <v>68.95</v>
      </c>
      <c r="Z65" s="10">
        <v>66.92</v>
      </c>
      <c r="AA65" s="10">
        <v>68.66</v>
      </c>
      <c r="AB65" s="95">
        <v>4877800</v>
      </c>
      <c r="AC65" s="10">
        <v>68.239999999999995</v>
      </c>
      <c r="AD65" s="2">
        <f t="shared" si="0"/>
        <v>2.0300000000000011</v>
      </c>
      <c r="AE65" s="138">
        <f t="shared" si="1"/>
        <v>2.6474127557159832E-2</v>
      </c>
    </row>
    <row r="66" spans="1:31" x14ac:dyDescent="0.25">
      <c r="B66" s="193"/>
      <c r="C66" s="10"/>
      <c r="D66" s="40"/>
      <c r="E66" s="40"/>
      <c r="F66" s="40"/>
      <c r="G66" s="40"/>
      <c r="H66" s="231"/>
      <c r="I66" s="40"/>
      <c r="W66" s="133">
        <v>42675</v>
      </c>
      <c r="X66" s="10">
        <v>68.53</v>
      </c>
      <c r="Y66" s="10">
        <v>68.900000000000006</v>
      </c>
      <c r="Z66" s="10">
        <v>66.33</v>
      </c>
      <c r="AA66" s="10">
        <v>66.89</v>
      </c>
      <c r="AB66" s="95">
        <v>6047400</v>
      </c>
      <c r="AC66" s="10">
        <v>66.48</v>
      </c>
      <c r="AD66" s="2">
        <f t="shared" si="0"/>
        <v>2.5700000000000074</v>
      </c>
      <c r="AE66" s="138">
        <f t="shared" si="1"/>
        <v>-2.6076765309112182E-2</v>
      </c>
    </row>
    <row r="67" spans="1:31" x14ac:dyDescent="0.25">
      <c r="L67" t="s">
        <v>65</v>
      </c>
      <c r="M67" s="2">
        <f>M85+K85-F85</f>
        <v>660.56999999999971</v>
      </c>
      <c r="W67" s="133">
        <v>42674</v>
      </c>
      <c r="X67" s="10">
        <v>68.53</v>
      </c>
      <c r="Y67" s="10">
        <v>71.13</v>
      </c>
      <c r="Z67" s="10">
        <v>67.84</v>
      </c>
      <c r="AA67" s="10">
        <v>68.69</v>
      </c>
      <c r="AB67" s="95">
        <v>7407200</v>
      </c>
      <c r="AC67" s="10">
        <v>68.260000000000005</v>
      </c>
      <c r="AD67" s="2">
        <f>Y67-Z67</f>
        <v>3.289999999999992</v>
      </c>
      <c r="AE67" s="138" t="e">
        <f>AC67/#REF!-1</f>
        <v>#REF!</v>
      </c>
    </row>
    <row r="68" spans="1:31" x14ac:dyDescent="0.25">
      <c r="A68" s="387" t="s">
        <v>1</v>
      </c>
      <c r="B68" s="387" t="s">
        <v>2</v>
      </c>
      <c r="C68" s="387" t="s">
        <v>4</v>
      </c>
      <c r="D68" s="389" t="s">
        <v>5</v>
      </c>
      <c r="E68" s="389" t="s">
        <v>94</v>
      </c>
      <c r="F68" s="389" t="s">
        <v>60</v>
      </c>
      <c r="G68" s="387" t="s">
        <v>3</v>
      </c>
      <c r="H68" s="387" t="s">
        <v>6</v>
      </c>
      <c r="I68" s="389" t="s">
        <v>7</v>
      </c>
      <c r="J68" s="389" t="s">
        <v>95</v>
      </c>
      <c r="K68" s="389" t="s">
        <v>61</v>
      </c>
      <c r="L68" s="387" t="s">
        <v>37</v>
      </c>
      <c r="M68" s="387" t="s">
        <v>38</v>
      </c>
      <c r="W68" s="133">
        <v>42671</v>
      </c>
      <c r="X68" s="10">
        <v>65.069999999999993</v>
      </c>
      <c r="Y68" s="10">
        <v>68.900000000000006</v>
      </c>
      <c r="Z68" s="10">
        <v>63.26</v>
      </c>
      <c r="AA68" s="10">
        <v>67.5</v>
      </c>
      <c r="AB68" s="95">
        <v>13666700</v>
      </c>
      <c r="AC68" s="10">
        <v>67.08</v>
      </c>
      <c r="AD68" s="2" t="e">
        <f>#REF!-#REF!</f>
        <v>#REF!</v>
      </c>
      <c r="AE68" s="138" t="e">
        <f>#REF!/AC69-1</f>
        <v>#REF!</v>
      </c>
    </row>
    <row r="69" spans="1:31" x14ac:dyDescent="0.25">
      <c r="A69" s="390" t="s">
        <v>52</v>
      </c>
      <c r="B69" s="380">
        <v>42488</v>
      </c>
      <c r="C69" s="381">
        <v>30</v>
      </c>
      <c r="D69" s="382">
        <v>79.349999999999994</v>
      </c>
      <c r="E69" s="382">
        <v>0</v>
      </c>
      <c r="F69" s="382">
        <f>D69*C69+E69</f>
        <v>2380.5</v>
      </c>
      <c r="G69" s="380">
        <v>42521</v>
      </c>
      <c r="H69" s="385">
        <v>25</v>
      </c>
      <c r="I69" s="382">
        <v>79.05</v>
      </c>
      <c r="J69" s="382">
        <v>0.04</v>
      </c>
      <c r="K69" s="382">
        <f>I69*H69-J69</f>
        <v>1976.21</v>
      </c>
      <c r="L69" s="380">
        <v>42566</v>
      </c>
      <c r="M69" s="382">
        <v>33.67</v>
      </c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1:31" x14ac:dyDescent="0.25">
      <c r="A70" s="391" t="s">
        <v>71</v>
      </c>
      <c r="B70" s="380">
        <v>42495</v>
      </c>
      <c r="C70" s="381">
        <v>20</v>
      </c>
      <c r="D70" s="382">
        <v>76.25</v>
      </c>
      <c r="E70" s="382">
        <v>0</v>
      </c>
      <c r="F70" s="382">
        <f>D70*C70+E70</f>
        <v>1525</v>
      </c>
      <c r="G70" s="380">
        <v>42552</v>
      </c>
      <c r="H70" s="385">
        <v>25</v>
      </c>
      <c r="I70" s="382">
        <v>78.28</v>
      </c>
      <c r="J70" s="382">
        <v>0.04</v>
      </c>
      <c r="K70" s="382">
        <f t="shared" ref="K70:K72" si="8">I70*H70-J70</f>
        <v>1956.96</v>
      </c>
      <c r="L70" s="381"/>
      <c r="M70" s="381"/>
    </row>
    <row r="71" spans="1:31" x14ac:dyDescent="0.25">
      <c r="A71" s="381"/>
      <c r="B71" s="380">
        <v>42537</v>
      </c>
      <c r="C71" s="381">
        <v>25</v>
      </c>
      <c r="D71" s="382">
        <v>75.88</v>
      </c>
      <c r="E71" s="382">
        <v>0</v>
      </c>
      <c r="F71" s="382">
        <f>D71*C71+E71</f>
        <v>1897</v>
      </c>
      <c r="G71" s="380">
        <v>42577</v>
      </c>
      <c r="H71" s="385">
        <v>10</v>
      </c>
      <c r="I71" s="382">
        <v>83.3</v>
      </c>
      <c r="J71" s="382">
        <v>0.02</v>
      </c>
      <c r="K71" s="382">
        <f t="shared" si="8"/>
        <v>832.98</v>
      </c>
      <c r="L71" s="381"/>
      <c r="M71" s="381"/>
    </row>
    <row r="72" spans="1:31" x14ac:dyDescent="0.25">
      <c r="A72" s="381"/>
      <c r="B72" s="380">
        <v>42548</v>
      </c>
      <c r="C72" s="381">
        <v>25</v>
      </c>
      <c r="D72" s="382">
        <v>73.58</v>
      </c>
      <c r="E72" s="382">
        <v>0</v>
      </c>
      <c r="F72" s="382">
        <f>D72*C72+E72</f>
        <v>1839.5</v>
      </c>
      <c r="G72" s="380">
        <v>42580</v>
      </c>
      <c r="H72" s="385">
        <v>40</v>
      </c>
      <c r="I72" s="382">
        <v>83.33</v>
      </c>
      <c r="J72" s="382">
        <v>7.0000000000000007E-2</v>
      </c>
      <c r="K72" s="382">
        <f t="shared" si="8"/>
        <v>3333.1299999999997</v>
      </c>
      <c r="L72" s="381"/>
      <c r="M72" s="381"/>
    </row>
    <row r="73" spans="1:31" x14ac:dyDescent="0.25">
      <c r="A73" s="381"/>
      <c r="B73" s="380">
        <v>42608</v>
      </c>
      <c r="C73" s="381">
        <v>25</v>
      </c>
      <c r="D73" s="382">
        <v>79.02</v>
      </c>
      <c r="E73" s="382">
        <v>0</v>
      </c>
      <c r="F73" s="382">
        <f t="shared" ref="F73:F79" si="9">C73*D73+E73</f>
        <v>1975.5</v>
      </c>
      <c r="G73" s="380">
        <v>42674</v>
      </c>
      <c r="H73" s="385">
        <v>25</v>
      </c>
      <c r="I73" s="382">
        <v>70.900000000000006</v>
      </c>
      <c r="J73" s="382">
        <v>0.04</v>
      </c>
      <c r="K73" s="382">
        <f>H73*I73-J73</f>
        <v>1772.4600000000003</v>
      </c>
      <c r="L73" s="380">
        <v>42660</v>
      </c>
      <c r="M73" s="382">
        <v>22.45</v>
      </c>
    </row>
    <row r="74" spans="1:31" x14ac:dyDescent="0.25">
      <c r="A74" s="381"/>
      <c r="B74" s="380">
        <v>42627</v>
      </c>
      <c r="C74" s="381">
        <v>25</v>
      </c>
      <c r="D74" s="382">
        <v>76.3</v>
      </c>
      <c r="E74" s="382">
        <v>0</v>
      </c>
      <c r="F74" s="382">
        <f t="shared" si="9"/>
        <v>1907.5</v>
      </c>
      <c r="G74" s="380">
        <v>42711</v>
      </c>
      <c r="H74" s="385">
        <v>25</v>
      </c>
      <c r="I74" s="382">
        <v>69.680000000000007</v>
      </c>
      <c r="J74" s="382">
        <v>0.04</v>
      </c>
      <c r="K74" s="382">
        <f>H74*I74-J74</f>
        <v>1741.9600000000003</v>
      </c>
      <c r="L74" s="380">
        <v>42753</v>
      </c>
      <c r="M74" s="382">
        <v>22.45</v>
      </c>
    </row>
    <row r="75" spans="1:31" x14ac:dyDescent="0.25">
      <c r="A75" s="381"/>
      <c r="B75" s="380">
        <v>42668</v>
      </c>
      <c r="C75" s="381">
        <v>25</v>
      </c>
      <c r="D75" s="382">
        <v>74.38</v>
      </c>
      <c r="E75" s="382">
        <v>0</v>
      </c>
      <c r="F75" s="382">
        <f t="shared" si="9"/>
        <v>1859.5</v>
      </c>
      <c r="G75" s="380">
        <v>42713</v>
      </c>
      <c r="H75" s="385">
        <v>50</v>
      </c>
      <c r="I75" s="382">
        <v>72.58</v>
      </c>
      <c r="J75" s="382">
        <v>0.08</v>
      </c>
      <c r="K75" s="382">
        <f>H75*I75-J75</f>
        <v>3628.92</v>
      </c>
      <c r="L75" s="381"/>
      <c r="M75" s="381"/>
    </row>
    <row r="76" spans="1:31" x14ac:dyDescent="0.25">
      <c r="A76" s="381"/>
      <c r="B76" s="380">
        <v>42671</v>
      </c>
      <c r="C76" s="381">
        <v>25</v>
      </c>
      <c r="D76" s="382">
        <v>64.7</v>
      </c>
      <c r="E76" s="382">
        <v>0</v>
      </c>
      <c r="F76" s="382">
        <f t="shared" si="9"/>
        <v>1617.5</v>
      </c>
      <c r="G76" s="380">
        <v>42713</v>
      </c>
      <c r="H76" s="385">
        <v>25</v>
      </c>
      <c r="I76" s="382">
        <v>73.25</v>
      </c>
      <c r="J76" s="382">
        <v>0.04</v>
      </c>
      <c r="K76" s="382">
        <f>H76*I76-J76</f>
        <v>1831.21</v>
      </c>
      <c r="L76" s="381"/>
      <c r="M76" s="381"/>
    </row>
    <row r="77" spans="1:31" x14ac:dyDescent="0.25">
      <c r="A77" s="381"/>
      <c r="B77" s="380">
        <v>42674</v>
      </c>
      <c r="C77" s="381">
        <v>25</v>
      </c>
      <c r="D77" s="382">
        <v>69.680000000000007</v>
      </c>
      <c r="E77" s="382">
        <v>0</v>
      </c>
      <c r="F77" s="382">
        <f t="shared" si="9"/>
        <v>1742.0000000000002</v>
      </c>
      <c r="G77" s="380">
        <v>42752</v>
      </c>
      <c r="H77" s="385">
        <v>50</v>
      </c>
      <c r="I77" s="382">
        <v>75.69</v>
      </c>
      <c r="J77" s="382">
        <v>0.33</v>
      </c>
      <c r="K77" s="382">
        <f>H77*I77-J77</f>
        <v>3784.17</v>
      </c>
      <c r="L77" s="381"/>
      <c r="M77" s="381"/>
    </row>
    <row r="78" spans="1:31" x14ac:dyDescent="0.25">
      <c r="A78" s="381"/>
      <c r="B78" s="380">
        <v>42711</v>
      </c>
      <c r="C78" s="381">
        <v>25</v>
      </c>
      <c r="D78" s="382">
        <v>68.8</v>
      </c>
      <c r="E78" s="382">
        <v>0</v>
      </c>
      <c r="F78" s="382">
        <f t="shared" si="9"/>
        <v>1720</v>
      </c>
      <c r="G78" s="381"/>
      <c r="H78" s="385"/>
      <c r="I78" s="382"/>
      <c r="J78" s="382"/>
      <c r="K78" s="382"/>
      <c r="L78" s="381"/>
      <c r="M78" s="381"/>
    </row>
    <row r="79" spans="1:31" x14ac:dyDescent="0.25">
      <c r="A79" s="381"/>
      <c r="B79" s="380">
        <v>42718</v>
      </c>
      <c r="C79" s="381">
        <v>25</v>
      </c>
      <c r="D79" s="382">
        <v>72.48</v>
      </c>
      <c r="E79" s="382">
        <v>0</v>
      </c>
      <c r="F79" s="382">
        <f t="shared" si="9"/>
        <v>1812</v>
      </c>
      <c r="G79" s="381"/>
      <c r="H79" s="385"/>
      <c r="I79" s="382"/>
      <c r="J79" s="382"/>
      <c r="K79" s="382"/>
      <c r="L79" s="381"/>
      <c r="M79" s="381"/>
    </row>
    <row r="80" spans="1:31" x14ac:dyDescent="0.25">
      <c r="A80" s="381"/>
      <c r="B80" s="380"/>
      <c r="C80" s="381"/>
      <c r="D80" s="382"/>
      <c r="E80" s="382"/>
      <c r="F80" s="382"/>
      <c r="G80" s="381"/>
      <c r="H80" s="385"/>
      <c r="I80" s="382"/>
      <c r="J80" s="382"/>
      <c r="K80" s="382"/>
      <c r="L80" s="381"/>
      <c r="M80" s="381"/>
    </row>
    <row r="81" spans="1:13" x14ac:dyDescent="0.25">
      <c r="A81" s="381"/>
      <c r="B81" s="381"/>
      <c r="C81" s="381"/>
      <c r="D81" s="382"/>
      <c r="E81" s="382"/>
      <c r="F81" s="382"/>
      <c r="G81" s="381"/>
      <c r="H81" s="385"/>
      <c r="I81" s="382"/>
      <c r="J81" s="382"/>
      <c r="K81" s="382"/>
      <c r="L81" s="381"/>
      <c r="M81" s="381"/>
    </row>
    <row r="82" spans="1:13" x14ac:dyDescent="0.25">
      <c r="A82" s="381"/>
      <c r="B82" s="381"/>
      <c r="C82" s="381"/>
      <c r="D82" s="382"/>
      <c r="E82" s="382"/>
      <c r="F82" s="382"/>
      <c r="G82" s="381"/>
      <c r="H82" s="385"/>
      <c r="I82" s="382"/>
      <c r="J82" s="382"/>
      <c r="K82" s="382"/>
      <c r="L82" s="381"/>
      <c r="M82" s="381"/>
    </row>
    <row r="83" spans="1:13" x14ac:dyDescent="0.25">
      <c r="A83" s="381"/>
      <c r="B83" s="381"/>
      <c r="C83" s="381"/>
      <c r="D83" s="382"/>
      <c r="E83" s="382"/>
      <c r="F83" s="382"/>
      <c r="G83" s="381"/>
      <c r="H83" s="385"/>
      <c r="I83" s="382"/>
      <c r="J83" s="382"/>
      <c r="K83" s="382"/>
      <c r="L83" s="381"/>
      <c r="M83" s="381"/>
    </row>
    <row r="84" spans="1:13" x14ac:dyDescent="0.25">
      <c r="A84" s="381"/>
      <c r="B84" s="381"/>
      <c r="C84" s="381"/>
      <c r="D84" s="382"/>
      <c r="E84" s="382"/>
      <c r="F84" s="382"/>
      <c r="G84" s="381"/>
      <c r="H84" s="385"/>
      <c r="I84" s="382"/>
      <c r="J84" s="382"/>
      <c r="K84" s="382"/>
      <c r="L84" s="381"/>
      <c r="M84" s="381"/>
    </row>
    <row r="85" spans="1:13" x14ac:dyDescent="0.25">
      <c r="A85" s="22" t="s">
        <v>81</v>
      </c>
      <c r="B85" s="12"/>
      <c r="C85" s="12">
        <f>SUM(C69:C84)</f>
        <v>275</v>
      </c>
      <c r="D85" s="13"/>
      <c r="E85" s="13"/>
      <c r="F85" s="13">
        <f>SUM(F69:F84)</f>
        <v>20276</v>
      </c>
      <c r="G85" s="12"/>
      <c r="H85" s="77">
        <f>SUM(H69:H84)</f>
        <v>275</v>
      </c>
      <c r="I85" s="13"/>
      <c r="J85" s="13"/>
      <c r="K85" s="13">
        <f>SUM(K69:K84)</f>
        <v>20858</v>
      </c>
      <c r="L85" s="12"/>
      <c r="M85" s="13">
        <f>SUM(M69:M77)</f>
        <v>78.570000000000007</v>
      </c>
    </row>
    <row r="86" spans="1:13" ht="15.75" thickBot="1" x14ac:dyDescent="0.3">
      <c r="A86" s="472" t="s">
        <v>198</v>
      </c>
      <c r="B86" s="473"/>
      <c r="C86" s="474">
        <f>SumByColor($A$19,C69:C84)</f>
        <v>0</v>
      </c>
      <c r="D86" s="474"/>
      <c r="E86" s="474"/>
      <c r="F86" s="475">
        <f>SumByColor($A$19,F69:F84)</f>
        <v>0</v>
      </c>
      <c r="G86" s="474"/>
      <c r="H86" s="474">
        <f>SumByColor($A$19,H69:H84)</f>
        <v>0</v>
      </c>
      <c r="I86" s="474"/>
      <c r="J86" s="474"/>
      <c r="K86" s="475">
        <f>SumByColor($A$19,K69:K84)</f>
        <v>0</v>
      </c>
      <c r="L86" s="474"/>
      <c r="M86" s="475">
        <f t="shared" ref="M86" si="10">SumByColor($A$19,M69:M84)</f>
        <v>0</v>
      </c>
    </row>
  </sheetData>
  <mergeCells count="1">
    <mergeCell ref="O40:P40"/>
  </mergeCells>
  <conditionalFormatting sqref="O41:O61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{6530D79C-15C4-43C7-BC06-626C7E6BE1EF}</x14:id>
        </ext>
      </extLst>
    </cfRule>
  </conditionalFormatting>
  <conditionalFormatting sqref="AE1:AE69">
    <cfRule type="iconSet" priority="53">
      <iconSet iconSet="3Arrows">
        <cfvo type="percent" val="0"/>
        <cfvo type="num" val="0"/>
        <cfvo type="num" val="0"/>
      </iconSet>
    </cfRule>
  </conditionalFormatting>
  <conditionalFormatting sqref="F25:F56 H25:H56">
    <cfRule type="expression" dxfId="201" priority="51">
      <formula>F25&gt;0</formula>
    </cfRule>
    <cfRule type="expression" dxfId="200" priority="52">
      <formula>F25&lt;0</formula>
    </cfRule>
  </conditionalFormatting>
  <conditionalFormatting sqref="F57:F64 F66">
    <cfRule type="expression" dxfId="199" priority="47">
      <formula>F57&gt;0</formula>
    </cfRule>
    <cfRule type="expression" dxfId="198" priority="48">
      <formula>F57&lt;0</formula>
    </cfRule>
  </conditionalFormatting>
  <conditionalFormatting sqref="F57:F64 F66">
    <cfRule type="expression" dxfId="197" priority="49">
      <formula>F57&gt;0</formula>
    </cfRule>
    <cfRule type="expression" dxfId="196" priority="50">
      <formula>F57&lt;0</formula>
    </cfRule>
  </conditionalFormatting>
  <conditionalFormatting sqref="H57:H64 H66">
    <cfRule type="expression" dxfId="195" priority="45">
      <formula>H57&gt;0</formula>
    </cfRule>
    <cfRule type="expression" dxfId="194" priority="46">
      <formula>H57&lt;0</formula>
    </cfRule>
  </conditionalFormatting>
  <conditionalFormatting sqref="Q7">
    <cfRule type="expression" dxfId="193" priority="27">
      <formula>Q7&gt;0</formula>
    </cfRule>
    <cfRule type="expression" dxfId="192" priority="28">
      <formula>Q7&lt;0</formula>
    </cfRule>
  </conditionalFormatting>
  <conditionalFormatting sqref="Q8">
    <cfRule type="expression" dxfId="191" priority="25">
      <formula>Q8&gt;0</formula>
    </cfRule>
    <cfRule type="expression" dxfId="190" priority="26">
      <formula>Q8&lt;0</formula>
    </cfRule>
  </conditionalFormatting>
  <conditionalFormatting sqref="F24">
    <cfRule type="expression" dxfId="189" priority="11">
      <formula>F24&gt;0</formula>
    </cfRule>
    <cfRule type="expression" dxfId="188" priority="12">
      <formula>F24&lt;0</formula>
    </cfRule>
  </conditionalFormatting>
  <conditionalFormatting sqref="H24">
    <cfRule type="expression" dxfId="187" priority="9">
      <formula>H24&gt;0</formula>
    </cfRule>
    <cfRule type="expression" dxfId="186" priority="10">
      <formula>H24&lt;0</formula>
    </cfRule>
  </conditionalFormatting>
  <conditionalFormatting sqref="M67">
    <cfRule type="expression" dxfId="185" priority="7">
      <formula>M67&gt;0</formula>
    </cfRule>
    <cfRule type="expression" dxfId="184" priority="8">
      <formula>M67&lt;0</formula>
    </cfRule>
  </conditionalFormatting>
  <conditionalFormatting sqref="F65">
    <cfRule type="expression" dxfId="183" priority="3">
      <formula>F65&gt;0</formula>
    </cfRule>
    <cfRule type="expression" dxfId="182" priority="4">
      <formula>F65&lt;0</formula>
    </cfRule>
  </conditionalFormatting>
  <conditionalFormatting sqref="F65">
    <cfRule type="expression" dxfId="181" priority="5">
      <formula>F65&gt;0</formula>
    </cfRule>
    <cfRule type="expression" dxfId="180" priority="6">
      <formula>F65&lt;0</formula>
    </cfRule>
  </conditionalFormatting>
  <conditionalFormatting sqref="H65">
    <cfRule type="expression" dxfId="179" priority="1">
      <formula>H65&gt;0</formula>
    </cfRule>
    <cfRule type="expression" dxfId="178" priority="2">
      <formula>H65&lt;0</formula>
    </cfRule>
  </conditionalFormatting>
  <hyperlinks>
    <hyperlink ref="A3" location="ACTIVE!A1" display="Back"/>
    <hyperlink ref="A70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530D79C-15C4-43C7-BC06-626C7E6BE1E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AE15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7" max="7" width="12" bestFit="1" customWidth="1"/>
    <col min="8" max="8" width="12.85546875" customWidth="1"/>
    <col min="9" max="11" width="9.140625" style="2"/>
    <col min="18" max="18" width="18.5703125" bestFit="1" customWidth="1"/>
    <col min="20" max="20" width="23.140625" customWidth="1"/>
    <col min="21" max="21" width="34.85546875" bestFit="1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32</v>
      </c>
      <c r="B2" s="74"/>
      <c r="C2" s="4"/>
      <c r="D2" s="3"/>
      <c r="E2" s="3"/>
      <c r="F2" s="3"/>
      <c r="G2" s="4"/>
      <c r="H2" s="4"/>
      <c r="I2" s="3"/>
      <c r="J2" s="3"/>
      <c r="K2" s="3"/>
      <c r="L2" s="74"/>
      <c r="M2" s="3"/>
      <c r="O2" s="11" t="s">
        <v>57</v>
      </c>
      <c r="Q2">
        <f>C29-H29</f>
        <v>0</v>
      </c>
      <c r="T2" s="1" t="s">
        <v>204</v>
      </c>
      <c r="W2" s="133">
        <v>42768</v>
      </c>
      <c r="X2" s="10">
        <v>46.59</v>
      </c>
      <c r="Y2" s="10">
        <v>47.66</v>
      </c>
      <c r="Z2" s="10">
        <v>46.48</v>
      </c>
      <c r="AA2" s="10">
        <v>47.38</v>
      </c>
      <c r="AB2" s="95">
        <v>8790900</v>
      </c>
      <c r="AC2" s="10">
        <v>47.38</v>
      </c>
      <c r="AD2" s="2">
        <f>Y2-Z2</f>
        <v>1.1799999999999997</v>
      </c>
      <c r="AE2" s="138">
        <f>AC2/AC3-1</f>
        <v>2.5391451544647392E-3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74"/>
      <c r="M3" s="3"/>
      <c r="O3" s="11" t="s">
        <v>58</v>
      </c>
      <c r="Q3" s="230">
        <f>IF(Q2=0, Q4, (F29-K29-M29)/Q2)</f>
        <v>47.81</v>
      </c>
      <c r="T3" s="1">
        <v>42565</v>
      </c>
      <c r="U3" t="s">
        <v>244</v>
      </c>
      <c r="W3" s="133">
        <v>42767</v>
      </c>
      <c r="X3" s="10">
        <v>47.48</v>
      </c>
      <c r="Y3" s="10">
        <v>47.77</v>
      </c>
      <c r="Z3" s="10">
        <v>47.04</v>
      </c>
      <c r="AA3" s="10">
        <v>47.26</v>
      </c>
      <c r="AB3" s="95">
        <v>8373400</v>
      </c>
      <c r="AC3" s="10">
        <v>47.26</v>
      </c>
      <c r="AD3" s="2">
        <f t="shared" ref="AD3:AD66" si="0">Y3-Z3</f>
        <v>0.73000000000000398</v>
      </c>
      <c r="AE3" s="138">
        <f t="shared" ref="AE3:AE66" si="1">AC3/AC4-1</f>
        <v>4.2337002540215884E-4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201">
        <v>47.81</v>
      </c>
      <c r="R4" s="530">
        <v>9.1000000000000004E-3</v>
      </c>
      <c r="T4" s="518">
        <v>42568</v>
      </c>
      <c r="U4" t="s">
        <v>256</v>
      </c>
      <c r="W4" s="133">
        <v>42766</v>
      </c>
      <c r="X4" s="10">
        <v>47.79</v>
      </c>
      <c r="Y4" s="10">
        <v>47.83</v>
      </c>
      <c r="Z4" s="10">
        <v>46.57</v>
      </c>
      <c r="AA4" s="10">
        <v>47.24</v>
      </c>
      <c r="AB4" s="95">
        <v>12442900</v>
      </c>
      <c r="AC4" s="10">
        <v>47.24</v>
      </c>
      <c r="AD4" s="2">
        <f t="shared" si="0"/>
        <v>1.259999999999998</v>
      </c>
      <c r="AE4" s="138">
        <f t="shared" si="1"/>
        <v>-9.0203482273967239E-3</v>
      </c>
    </row>
    <row r="5" spans="1:31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T5" s="1">
        <v>42592</v>
      </c>
      <c r="U5" t="s">
        <v>278</v>
      </c>
      <c r="W5" s="133">
        <v>42765</v>
      </c>
      <c r="X5" s="10">
        <v>48.95</v>
      </c>
      <c r="Y5" s="10">
        <v>48.95</v>
      </c>
      <c r="Z5" s="10">
        <v>47.54</v>
      </c>
      <c r="AA5" s="10">
        <v>47.67</v>
      </c>
      <c r="AB5" s="95">
        <v>12498600</v>
      </c>
      <c r="AC5" s="10">
        <v>47.67</v>
      </c>
      <c r="AD5" s="2">
        <f t="shared" si="0"/>
        <v>1.4100000000000037</v>
      </c>
      <c r="AE5" s="138">
        <f t="shared" si="1"/>
        <v>-4.0845070422535268E-2</v>
      </c>
    </row>
    <row r="6" spans="1:31" x14ac:dyDescent="0.25">
      <c r="B6" s="7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T6" s="163">
        <v>42647</v>
      </c>
      <c r="U6" t="s">
        <v>282</v>
      </c>
      <c r="W6" s="133">
        <v>42762</v>
      </c>
      <c r="X6" s="10">
        <v>51</v>
      </c>
      <c r="Y6" s="10">
        <v>51.12</v>
      </c>
      <c r="Z6" s="10">
        <v>49.57</v>
      </c>
      <c r="AA6" s="10">
        <v>49.7</v>
      </c>
      <c r="AB6" s="95">
        <v>6796900</v>
      </c>
      <c r="AC6" s="10">
        <v>49.7</v>
      </c>
      <c r="AD6" s="2">
        <f t="shared" si="0"/>
        <v>1.5499999999999972</v>
      </c>
      <c r="AE6" s="138">
        <f t="shared" si="1"/>
        <v>-2.3575638506876162E-2</v>
      </c>
    </row>
    <row r="7" spans="1:31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M7" s="4"/>
      <c r="O7" s="11" t="s">
        <v>181</v>
      </c>
      <c r="Q7" s="2">
        <f>Q10+Q8</f>
        <v>1198.4699999999971</v>
      </c>
      <c r="R7">
        <v>0</v>
      </c>
      <c r="W7" s="133">
        <v>42761</v>
      </c>
      <c r="X7" s="10">
        <v>50.69</v>
      </c>
      <c r="Y7" s="10">
        <v>51.54</v>
      </c>
      <c r="Z7" s="10">
        <v>50.56</v>
      </c>
      <c r="AA7" s="10">
        <v>50.9</v>
      </c>
      <c r="AB7" s="95">
        <v>8836000</v>
      </c>
      <c r="AC7" s="10">
        <v>50.9</v>
      </c>
      <c r="AD7" s="2">
        <f t="shared" si="0"/>
        <v>0.97999999999999687</v>
      </c>
      <c r="AE7" s="138">
        <f t="shared" si="1"/>
        <v>1.414624427176725E-2</v>
      </c>
    </row>
    <row r="8" spans="1:31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M8" s="4"/>
      <c r="O8" s="11" t="s">
        <v>184</v>
      </c>
      <c r="P8" s="34"/>
      <c r="Q8" s="2">
        <f>K29+M29-F29+Q2*Q4</f>
        <v>0</v>
      </c>
      <c r="R8" s="430"/>
      <c r="W8" s="133">
        <v>42760</v>
      </c>
      <c r="X8" s="10">
        <v>49.99</v>
      </c>
      <c r="Y8" s="10">
        <v>50.43</v>
      </c>
      <c r="Z8" s="10">
        <v>49.81</v>
      </c>
      <c r="AA8" s="10">
        <v>50.19</v>
      </c>
      <c r="AB8" s="95">
        <v>7983700</v>
      </c>
      <c r="AC8" s="10">
        <v>50.19</v>
      </c>
      <c r="AD8" s="2">
        <f t="shared" si="0"/>
        <v>0.61999999999999744</v>
      </c>
      <c r="AE8" s="138">
        <f t="shared" si="1"/>
        <v>1.5169902912621325E-2</v>
      </c>
    </row>
    <row r="9" spans="1:31" x14ac:dyDescent="0.25">
      <c r="B9" s="74"/>
      <c r="C9" s="4"/>
      <c r="D9" s="3"/>
      <c r="E9" s="3"/>
      <c r="F9" s="3"/>
      <c r="G9" s="277"/>
      <c r="H9" s="4"/>
      <c r="I9" s="3"/>
      <c r="J9" s="3"/>
      <c r="K9" s="3"/>
      <c r="L9" s="4"/>
      <c r="M9" s="4"/>
      <c r="O9" s="11" t="s">
        <v>214</v>
      </c>
      <c r="Q9" s="138">
        <f>IF(Q2=0, 0, Q8/Q6)</f>
        <v>0</v>
      </c>
      <c r="W9" s="133">
        <v>42759</v>
      </c>
      <c r="X9" s="10">
        <v>48.91</v>
      </c>
      <c r="Y9" s="10">
        <v>49.76</v>
      </c>
      <c r="Z9" s="10">
        <v>48.82</v>
      </c>
      <c r="AA9" s="10">
        <v>49.44</v>
      </c>
      <c r="AB9" s="95">
        <v>6386300</v>
      </c>
      <c r="AC9" s="10">
        <v>49.44</v>
      </c>
      <c r="AD9" s="2">
        <f t="shared" si="0"/>
        <v>0.93999999999999773</v>
      </c>
      <c r="AE9" s="138">
        <f t="shared" si="1"/>
        <v>1.3737953660036828E-2</v>
      </c>
    </row>
    <row r="10" spans="1:31" x14ac:dyDescent="0.25">
      <c r="B10" s="74"/>
      <c r="C10" s="4"/>
      <c r="D10" s="3"/>
      <c r="E10" s="3"/>
      <c r="F10" s="3"/>
      <c r="G10" s="74"/>
      <c r="H10" s="393"/>
      <c r="I10" s="75"/>
      <c r="J10" s="75"/>
      <c r="K10" s="75"/>
      <c r="L10" s="4"/>
      <c r="M10" s="4"/>
      <c r="O10" s="11" t="s">
        <v>213</v>
      </c>
      <c r="P10" s="34"/>
      <c r="Q10" s="2">
        <f>M104 + M126</f>
        <v>1198.4699999999971</v>
      </c>
      <c r="W10" s="133">
        <v>42758</v>
      </c>
      <c r="X10" s="10">
        <v>50.28</v>
      </c>
      <c r="Y10" s="10">
        <v>50.43</v>
      </c>
      <c r="Z10" s="10">
        <v>48.77</v>
      </c>
      <c r="AA10" s="10">
        <v>48.77</v>
      </c>
      <c r="AB10" s="95">
        <v>8657200</v>
      </c>
      <c r="AC10" s="10">
        <v>48.77</v>
      </c>
      <c r="AD10" s="2">
        <f t="shared" si="0"/>
        <v>1.6599999999999966</v>
      </c>
      <c r="AE10" s="138">
        <f t="shared" si="1"/>
        <v>-3.4257425742574177E-2</v>
      </c>
    </row>
    <row r="11" spans="1:31" x14ac:dyDescent="0.25">
      <c r="B11" s="74"/>
      <c r="C11" s="4"/>
      <c r="D11" s="3"/>
      <c r="E11" s="3"/>
      <c r="F11" s="3"/>
      <c r="G11" s="74"/>
      <c r="H11" s="185"/>
      <c r="I11" s="3"/>
      <c r="J11" s="3"/>
      <c r="K11" s="75"/>
      <c r="L11" s="4"/>
      <c r="M11" s="4"/>
      <c r="O11" s="11" t="s">
        <v>178</v>
      </c>
      <c r="P11" s="34"/>
      <c r="Q11" s="138">
        <f>VALUE(TRIM(CLEAN(MID(U58, FIND("(", U58)+1, 5))))</f>
        <v>1.7100000000000001E-2</v>
      </c>
      <c r="W11" s="133">
        <v>42755</v>
      </c>
      <c r="X11" s="10">
        <v>49.77</v>
      </c>
      <c r="Y11" s="10">
        <v>50.54</v>
      </c>
      <c r="Z11" s="10">
        <v>49.71</v>
      </c>
      <c r="AA11" s="10">
        <v>50.5</v>
      </c>
      <c r="AB11" s="95">
        <v>7432000</v>
      </c>
      <c r="AC11" s="10">
        <v>50.5</v>
      </c>
      <c r="AD11" s="2">
        <f t="shared" si="0"/>
        <v>0.82999999999999829</v>
      </c>
      <c r="AE11" s="138">
        <f t="shared" si="1"/>
        <v>1.609657947686105E-2</v>
      </c>
    </row>
    <row r="12" spans="1:31" x14ac:dyDescent="0.25">
      <c r="B12" s="74"/>
      <c r="C12" s="4"/>
      <c r="D12" s="3"/>
      <c r="E12" s="3"/>
      <c r="F12" s="3"/>
      <c r="G12" s="74"/>
      <c r="H12" s="185"/>
      <c r="I12" s="3"/>
      <c r="J12" s="3"/>
      <c r="K12" s="3"/>
      <c r="L12" s="4"/>
      <c r="M12" s="4"/>
      <c r="W12" s="133">
        <v>42754</v>
      </c>
      <c r="X12" s="10">
        <v>50.28</v>
      </c>
      <c r="Y12" s="10">
        <v>50.5</v>
      </c>
      <c r="Z12" s="10">
        <v>49.62</v>
      </c>
      <c r="AA12" s="10">
        <v>49.7</v>
      </c>
      <c r="AB12" s="95">
        <v>6968200</v>
      </c>
      <c r="AC12" s="10">
        <v>49.7</v>
      </c>
      <c r="AD12" s="2">
        <f t="shared" si="0"/>
        <v>0.88000000000000256</v>
      </c>
      <c r="AE12" s="138">
        <f t="shared" si="1"/>
        <v>-1.1928429423459175E-2</v>
      </c>
    </row>
    <row r="13" spans="1:31" x14ac:dyDescent="0.25">
      <c r="B13" s="74"/>
      <c r="C13" s="4"/>
      <c r="D13" s="3"/>
      <c r="E13" s="3"/>
      <c r="F13" s="3"/>
      <c r="G13" s="74"/>
      <c r="H13" s="185"/>
      <c r="I13" s="3"/>
      <c r="J13" s="3"/>
      <c r="K13" s="3"/>
      <c r="L13" s="4"/>
      <c r="M13" s="4"/>
      <c r="W13" s="133">
        <v>42753</v>
      </c>
      <c r="X13" s="10">
        <v>50.14</v>
      </c>
      <c r="Y13" s="10">
        <v>50.8</v>
      </c>
      <c r="Z13" s="10">
        <v>49.79</v>
      </c>
      <c r="AA13" s="10">
        <v>50.3</v>
      </c>
      <c r="AB13" s="95">
        <v>7074400</v>
      </c>
      <c r="AC13" s="10">
        <v>50.3</v>
      </c>
      <c r="AD13" s="2">
        <f t="shared" si="0"/>
        <v>1.009999999999998</v>
      </c>
      <c r="AE13" s="138">
        <f t="shared" si="1"/>
        <v>-5.9606596463346317E-4</v>
      </c>
    </row>
    <row r="14" spans="1:31" x14ac:dyDescent="0.25">
      <c r="B14" s="74"/>
      <c r="C14" s="4"/>
      <c r="D14" s="3"/>
      <c r="E14" s="3"/>
      <c r="F14" s="3"/>
      <c r="G14" s="74"/>
      <c r="H14" s="185"/>
      <c r="I14" s="3"/>
      <c r="J14" s="3"/>
      <c r="K14" s="3"/>
      <c r="L14" s="4"/>
      <c r="M14" s="4"/>
      <c r="W14" s="133">
        <v>42752</v>
      </c>
      <c r="X14" s="10">
        <v>50.99</v>
      </c>
      <c r="Y14" s="10">
        <v>51.22</v>
      </c>
      <c r="Z14" s="10">
        <v>50.19</v>
      </c>
      <c r="AA14" s="10">
        <v>50.33</v>
      </c>
      <c r="AB14" s="95">
        <v>7465800</v>
      </c>
      <c r="AC14" s="10">
        <v>50.33</v>
      </c>
      <c r="AD14" s="2">
        <f t="shared" si="0"/>
        <v>1.0300000000000011</v>
      </c>
      <c r="AE14" s="138">
        <f t="shared" si="1"/>
        <v>-1.7567831348819007E-2</v>
      </c>
    </row>
    <row r="15" spans="1:31" x14ac:dyDescent="0.25">
      <c r="B15" s="74"/>
      <c r="C15" s="4"/>
      <c r="D15" s="3"/>
      <c r="E15" s="3"/>
      <c r="F15" s="3"/>
      <c r="G15" s="74"/>
      <c r="H15" s="185"/>
      <c r="I15" s="3"/>
      <c r="J15" s="3"/>
      <c r="K15" s="3"/>
      <c r="L15" s="4"/>
      <c r="M15" s="4"/>
      <c r="W15" s="133">
        <v>42748</v>
      </c>
      <c r="X15" s="10">
        <v>50.79</v>
      </c>
      <c r="Y15" s="10">
        <v>51.64</v>
      </c>
      <c r="Z15" s="10">
        <v>50.78</v>
      </c>
      <c r="AA15" s="10">
        <v>51.23</v>
      </c>
      <c r="AB15" s="95">
        <v>7363400</v>
      </c>
      <c r="AC15" s="10">
        <v>51.23</v>
      </c>
      <c r="AD15" s="2">
        <f t="shared" si="0"/>
        <v>0.85999999999999943</v>
      </c>
      <c r="AE15" s="138">
        <f t="shared" si="1"/>
        <v>6.6810768323835035E-3</v>
      </c>
    </row>
    <row r="16" spans="1:31" x14ac:dyDescent="0.25">
      <c r="B16" s="74"/>
      <c r="C16" s="4"/>
      <c r="D16" s="3"/>
      <c r="E16" s="3"/>
      <c r="F16" s="3"/>
      <c r="G16" s="74"/>
      <c r="H16" s="185"/>
      <c r="I16" s="3"/>
      <c r="J16" s="3"/>
      <c r="K16" s="3"/>
      <c r="L16" s="4"/>
      <c r="M16" s="4"/>
      <c r="W16" s="133">
        <v>42747</v>
      </c>
      <c r="X16" s="10">
        <v>51.3</v>
      </c>
      <c r="Y16" s="10">
        <v>52</v>
      </c>
      <c r="Z16" s="10">
        <v>49.67</v>
      </c>
      <c r="AA16" s="10">
        <v>50.89</v>
      </c>
      <c r="AB16" s="95">
        <v>14269200</v>
      </c>
      <c r="AC16" s="10">
        <v>50.89</v>
      </c>
      <c r="AD16" s="2">
        <f t="shared" si="0"/>
        <v>2.3299999999999983</v>
      </c>
      <c r="AE16" s="138">
        <f t="shared" si="1"/>
        <v>-1.0692068429237866E-2</v>
      </c>
    </row>
    <row r="17" spans="1:31" x14ac:dyDescent="0.25">
      <c r="B17" s="74"/>
      <c r="C17" s="4"/>
      <c r="D17" s="3"/>
      <c r="E17" s="3"/>
      <c r="F17" s="3"/>
      <c r="G17" s="4"/>
      <c r="H17" s="4"/>
      <c r="I17" s="3"/>
      <c r="J17" s="3"/>
      <c r="K17" s="3"/>
      <c r="L17" s="4"/>
      <c r="M17" s="4"/>
      <c r="W17" s="133">
        <v>42746</v>
      </c>
      <c r="X17" s="10">
        <v>51.46</v>
      </c>
      <c r="Y17" s="10">
        <v>51.74</v>
      </c>
      <c r="Z17" s="10">
        <v>50.65</v>
      </c>
      <c r="AA17" s="10">
        <v>51.44</v>
      </c>
      <c r="AB17" s="95">
        <v>9923400</v>
      </c>
      <c r="AC17" s="10">
        <v>51.44</v>
      </c>
      <c r="AD17" s="2">
        <f t="shared" si="0"/>
        <v>1.0900000000000034</v>
      </c>
      <c r="AE17" s="138">
        <f t="shared" si="1"/>
        <v>1.0013744354997023E-2</v>
      </c>
    </row>
    <row r="18" spans="1:31" x14ac:dyDescent="0.25">
      <c r="B18" s="74"/>
      <c r="C18" s="4"/>
      <c r="D18" s="3"/>
      <c r="E18" s="3"/>
      <c r="F18" s="3"/>
      <c r="G18" s="4"/>
      <c r="H18" s="4"/>
      <c r="I18" s="3"/>
      <c r="J18" s="3"/>
      <c r="K18" s="3"/>
      <c r="L18" s="4"/>
      <c r="M18" s="4"/>
      <c r="W18" s="133">
        <v>42745</v>
      </c>
      <c r="X18" s="10">
        <v>49.93</v>
      </c>
      <c r="Y18" s="10">
        <v>51.35</v>
      </c>
      <c r="Z18" s="10">
        <v>49.86</v>
      </c>
      <c r="AA18" s="10">
        <v>50.93</v>
      </c>
      <c r="AB18" s="95">
        <v>8389700</v>
      </c>
      <c r="AC18" s="10">
        <v>50.93</v>
      </c>
      <c r="AD18" s="2">
        <f t="shared" si="0"/>
        <v>1.490000000000002</v>
      </c>
      <c r="AE18" s="138">
        <f t="shared" si="1"/>
        <v>2.4954719259408398E-2</v>
      </c>
    </row>
    <row r="19" spans="1:31" x14ac:dyDescent="0.25">
      <c r="B19" s="4"/>
      <c r="C19" s="4"/>
      <c r="D19" s="3"/>
      <c r="E19" s="3"/>
      <c r="F19" s="3"/>
      <c r="G19" s="4"/>
      <c r="H19" s="4"/>
      <c r="I19" s="3"/>
      <c r="J19" s="3"/>
      <c r="K19" s="3"/>
      <c r="L19" s="4"/>
      <c r="M19" s="4"/>
      <c r="W19" s="133">
        <v>42744</v>
      </c>
      <c r="X19" s="10">
        <v>49.46</v>
      </c>
      <c r="Y19" s="10">
        <v>50.17</v>
      </c>
      <c r="Z19" s="10">
        <v>49.42</v>
      </c>
      <c r="AA19" s="10">
        <v>49.69</v>
      </c>
      <c r="AB19" s="95">
        <v>5330100</v>
      </c>
      <c r="AC19" s="10">
        <v>49.69</v>
      </c>
      <c r="AD19" s="2">
        <f t="shared" si="0"/>
        <v>0.75</v>
      </c>
      <c r="AE19" s="138">
        <f t="shared" si="1"/>
        <v>2.0128824476639551E-4</v>
      </c>
    </row>
    <row r="20" spans="1:31" x14ac:dyDescent="0.25">
      <c r="B20" s="4"/>
      <c r="C20" s="4"/>
      <c r="D20" s="3"/>
      <c r="E20" s="3"/>
      <c r="F20" s="3"/>
      <c r="G20" s="4"/>
      <c r="H20" s="4"/>
      <c r="I20" s="3"/>
      <c r="J20" s="3"/>
      <c r="K20" s="3"/>
      <c r="L20" s="4"/>
      <c r="M20" s="4"/>
      <c r="W20" s="133">
        <v>42741</v>
      </c>
      <c r="X20" s="10">
        <v>49.79</v>
      </c>
      <c r="Y20" s="10">
        <v>50.3</v>
      </c>
      <c r="Z20" s="10">
        <v>49.22</v>
      </c>
      <c r="AA20" s="10">
        <v>49.68</v>
      </c>
      <c r="AB20" s="95">
        <v>6919400</v>
      </c>
      <c r="AC20" s="10">
        <v>49.68</v>
      </c>
      <c r="AD20" s="2">
        <f t="shared" si="0"/>
        <v>1.0799999999999983</v>
      </c>
      <c r="AE20" s="138">
        <f t="shared" si="1"/>
        <v>-1.0054293183188179E-3</v>
      </c>
    </row>
    <row r="21" spans="1:31" x14ac:dyDescent="0.25">
      <c r="B21" s="4"/>
      <c r="C21" s="4"/>
      <c r="D21" s="3"/>
      <c r="E21" s="3"/>
      <c r="F21" s="3"/>
      <c r="G21" s="4"/>
      <c r="H21" s="4"/>
      <c r="I21" s="3"/>
      <c r="J21" s="3"/>
      <c r="K21" s="3"/>
      <c r="L21" s="4"/>
      <c r="M21" s="4"/>
      <c r="W21" s="133">
        <v>42740</v>
      </c>
      <c r="X21" s="10">
        <v>50.41</v>
      </c>
      <c r="Y21" s="10">
        <v>50.69</v>
      </c>
      <c r="Z21" s="10">
        <v>49.5</v>
      </c>
      <c r="AA21" s="10">
        <v>49.73</v>
      </c>
      <c r="AB21" s="95">
        <v>5739500</v>
      </c>
      <c r="AC21" s="10">
        <v>49.73</v>
      </c>
      <c r="AD21" s="2">
        <f t="shared" si="0"/>
        <v>1.1899999999999977</v>
      </c>
      <c r="AE21" s="138">
        <f t="shared" si="1"/>
        <v>-1.9132149901380791E-2</v>
      </c>
    </row>
    <row r="22" spans="1:31" x14ac:dyDescent="0.25">
      <c r="W22" s="133">
        <v>42739</v>
      </c>
      <c r="X22" s="10">
        <v>50.09</v>
      </c>
      <c r="Y22" s="10">
        <v>50.93</v>
      </c>
      <c r="Z22" s="10">
        <v>49.99</v>
      </c>
      <c r="AA22" s="10">
        <v>50.7</v>
      </c>
      <c r="AB22" s="95">
        <v>7783600</v>
      </c>
      <c r="AC22" s="10">
        <v>50.7</v>
      </c>
      <c r="AD22" s="2">
        <f t="shared" si="0"/>
        <v>0.93999999999999773</v>
      </c>
      <c r="AE22" s="138">
        <f t="shared" si="1"/>
        <v>2.4656426839126944E-2</v>
      </c>
    </row>
    <row r="23" spans="1:31" x14ac:dyDescent="0.25">
      <c r="W23" s="133">
        <v>42738</v>
      </c>
      <c r="X23" s="10">
        <v>49.37</v>
      </c>
      <c r="Y23" s="10">
        <v>50.14</v>
      </c>
      <c r="Z23" s="10">
        <v>49.17</v>
      </c>
      <c r="AA23" s="10">
        <v>49.48</v>
      </c>
      <c r="AB23" s="95">
        <v>5406400</v>
      </c>
      <c r="AC23" s="10">
        <v>49.48</v>
      </c>
      <c r="AD23" s="2">
        <f t="shared" si="0"/>
        <v>0.96999999999999886</v>
      </c>
      <c r="AE23" s="138">
        <f t="shared" si="1"/>
        <v>5.8955072169140088E-3</v>
      </c>
    </row>
    <row r="24" spans="1:31" x14ac:dyDescent="0.25">
      <c r="W24" s="133">
        <v>42734</v>
      </c>
      <c r="X24" s="10">
        <v>49.34</v>
      </c>
      <c r="Y24" s="10">
        <v>49.56</v>
      </c>
      <c r="Z24" s="10">
        <v>48.87</v>
      </c>
      <c r="AA24" s="10">
        <v>49.19</v>
      </c>
      <c r="AB24" s="95">
        <v>4526400</v>
      </c>
      <c r="AC24" s="10">
        <v>49.19</v>
      </c>
      <c r="AD24" s="2">
        <f t="shared" si="0"/>
        <v>0.69000000000000483</v>
      </c>
      <c r="AE24" s="138">
        <f t="shared" si="1"/>
        <v>-2.4335834516325816E-3</v>
      </c>
    </row>
    <row r="25" spans="1:31" x14ac:dyDescent="0.25">
      <c r="W25" s="133">
        <v>42733</v>
      </c>
      <c r="X25" s="10">
        <v>49.54</v>
      </c>
      <c r="Y25" s="10">
        <v>49.85</v>
      </c>
      <c r="Z25" s="10">
        <v>49.21</v>
      </c>
      <c r="AA25" s="10">
        <v>49.31</v>
      </c>
      <c r="AB25" s="95">
        <v>3342500</v>
      </c>
      <c r="AC25" s="10">
        <v>49.31</v>
      </c>
      <c r="AD25" s="2">
        <f t="shared" si="0"/>
        <v>0.64000000000000057</v>
      </c>
      <c r="AE25" s="138">
        <f t="shared" si="1"/>
        <v>-4.0395879620277464E-3</v>
      </c>
    </row>
    <row r="26" spans="1:31" x14ac:dyDescent="0.25">
      <c r="W26" s="133">
        <v>42732</v>
      </c>
      <c r="X26" s="10">
        <v>50.35</v>
      </c>
      <c r="Y26" s="10">
        <v>50.46</v>
      </c>
      <c r="Z26" s="10">
        <v>49.45</v>
      </c>
      <c r="AA26" s="10">
        <v>49.51</v>
      </c>
      <c r="AB26" s="95">
        <v>4432000</v>
      </c>
      <c r="AC26" s="10">
        <v>49.51</v>
      </c>
      <c r="AD26" s="2">
        <f t="shared" si="0"/>
        <v>1.009999999999998</v>
      </c>
      <c r="AE26" s="138">
        <f t="shared" si="1"/>
        <v>-1.6878474980143054E-2</v>
      </c>
    </row>
    <row r="27" spans="1:31" x14ac:dyDescent="0.25">
      <c r="W27" s="133">
        <v>42731</v>
      </c>
      <c r="X27" s="10">
        <v>49.95</v>
      </c>
      <c r="Y27" s="10">
        <v>50.61</v>
      </c>
      <c r="Z27" s="10">
        <v>49.93</v>
      </c>
      <c r="AA27" s="10">
        <v>50.36</v>
      </c>
      <c r="AB27" s="95">
        <v>3330900</v>
      </c>
      <c r="AC27" s="10">
        <v>50.36</v>
      </c>
      <c r="AD27" s="2">
        <f t="shared" si="0"/>
        <v>0.67999999999999972</v>
      </c>
      <c r="AE27" s="138">
        <f t="shared" si="1"/>
        <v>9.4207255963119074E-3</v>
      </c>
    </row>
    <row r="28" spans="1:31" x14ac:dyDescent="0.25">
      <c r="H28" s="72"/>
      <c r="W28" s="133">
        <v>42727</v>
      </c>
      <c r="X28" s="10">
        <v>49.94</v>
      </c>
      <c r="Y28" s="10">
        <v>50.14</v>
      </c>
      <c r="Z28" s="10">
        <v>49.78</v>
      </c>
      <c r="AA28" s="10">
        <v>49.89</v>
      </c>
      <c r="AB28" s="95">
        <v>4043800</v>
      </c>
      <c r="AC28" s="10">
        <v>49.89</v>
      </c>
      <c r="AD28" s="2">
        <f t="shared" si="0"/>
        <v>0.35999999999999943</v>
      </c>
      <c r="AE28" s="138">
        <f t="shared" si="1"/>
        <v>1.8072289156627619E-3</v>
      </c>
    </row>
    <row r="29" spans="1:31" x14ac:dyDescent="0.25">
      <c r="A29" s="32" t="s">
        <v>81</v>
      </c>
      <c r="B29" s="14"/>
      <c r="C29" s="14">
        <f>SUM(C2:C19)</f>
        <v>0</v>
      </c>
      <c r="D29" s="18"/>
      <c r="E29" s="18"/>
      <c r="F29" s="18">
        <f>SUM(F2:F19)</f>
        <v>0</v>
      </c>
      <c r="G29" s="14"/>
      <c r="H29" s="73">
        <f>SUM(H2:H28)</f>
        <v>0</v>
      </c>
      <c r="I29" s="18"/>
      <c r="J29" s="18"/>
      <c r="K29" s="18">
        <f>SUM(K2:K28)</f>
        <v>0</v>
      </c>
      <c r="L29" s="14"/>
      <c r="M29" s="18">
        <f>SUM(M2:M28)</f>
        <v>0</v>
      </c>
      <c r="W29" s="133">
        <v>42726</v>
      </c>
      <c r="X29" s="10">
        <v>50.77</v>
      </c>
      <c r="Y29" s="10">
        <v>50.85</v>
      </c>
      <c r="Z29" s="10">
        <v>49.66</v>
      </c>
      <c r="AA29" s="10">
        <v>49.8</v>
      </c>
      <c r="AB29" s="95">
        <v>5348400</v>
      </c>
      <c r="AC29" s="10">
        <v>49.8</v>
      </c>
      <c r="AD29" s="2">
        <f t="shared" si="0"/>
        <v>1.1900000000000048</v>
      </c>
      <c r="AE29" s="138">
        <f t="shared" si="1"/>
        <v>-2.1995286724273422E-2</v>
      </c>
    </row>
    <row r="30" spans="1:31" ht="15.75" thickBot="1" x14ac:dyDescent="0.3">
      <c r="A30" s="356" t="s">
        <v>198</v>
      </c>
      <c r="B30" s="357"/>
      <c r="C30" s="358">
        <f>SumByColor($A$30,C2:C28)</f>
        <v>0</v>
      </c>
      <c r="D30" s="358"/>
      <c r="E30" s="358"/>
      <c r="F30" s="359">
        <f>SumByColor($A$30,F2:F28)</f>
        <v>0</v>
      </c>
      <c r="G30" s="358"/>
      <c r="H30" s="358">
        <f>SumByColor($A$30,H3:H28)</f>
        <v>0</v>
      </c>
      <c r="I30" s="358"/>
      <c r="J30" s="358"/>
      <c r="K30" s="359">
        <f>SumByColor($A$30,K3:K28)</f>
        <v>0</v>
      </c>
      <c r="L30" s="358"/>
      <c r="M30" s="359">
        <f>SumByColor($A$30,M2:M28)</f>
        <v>0</v>
      </c>
      <c r="W30" s="133">
        <v>42725</v>
      </c>
      <c r="X30" s="10">
        <v>50.68</v>
      </c>
      <c r="Y30" s="10">
        <v>51.15</v>
      </c>
      <c r="Z30" s="10">
        <v>50.45</v>
      </c>
      <c r="AA30" s="10">
        <v>50.92</v>
      </c>
      <c r="AB30" s="95">
        <v>4076400</v>
      </c>
      <c r="AC30" s="10">
        <v>50.92</v>
      </c>
      <c r="AD30" s="2">
        <f t="shared" si="0"/>
        <v>0.69999999999999574</v>
      </c>
      <c r="AE30" s="138">
        <f t="shared" si="1"/>
        <v>3.1520882584712417E-3</v>
      </c>
    </row>
    <row r="31" spans="1:31" x14ac:dyDescent="0.25">
      <c r="W31" s="133">
        <v>42724</v>
      </c>
      <c r="X31" s="10">
        <v>50.43</v>
      </c>
      <c r="Y31" s="10">
        <v>51.15</v>
      </c>
      <c r="Z31" s="10">
        <v>50.42</v>
      </c>
      <c r="AA31" s="10">
        <v>50.76</v>
      </c>
      <c r="AB31" s="95">
        <v>6027400</v>
      </c>
      <c r="AC31" s="10">
        <v>50.76</v>
      </c>
      <c r="AD31" s="2">
        <f t="shared" si="0"/>
        <v>0.72999999999999687</v>
      </c>
      <c r="AE31" s="138">
        <f t="shared" si="1"/>
        <v>6.7433558111860137E-3</v>
      </c>
    </row>
    <row r="32" spans="1:31" x14ac:dyDescent="0.25">
      <c r="W32" s="133">
        <v>42723</v>
      </c>
      <c r="X32" s="10">
        <v>50.22</v>
      </c>
      <c r="Y32" s="10">
        <v>50.74</v>
      </c>
      <c r="Z32" s="10">
        <v>50.19</v>
      </c>
      <c r="AA32" s="10">
        <v>50.42</v>
      </c>
      <c r="AB32" s="95">
        <v>4915500</v>
      </c>
      <c r="AC32" s="10">
        <v>50.42</v>
      </c>
      <c r="AD32" s="2">
        <f t="shared" si="0"/>
        <v>0.55000000000000426</v>
      </c>
      <c r="AE32" s="138">
        <f t="shared" si="1"/>
        <v>5.1834130781500676E-3</v>
      </c>
    </row>
    <row r="33" spans="2:31" x14ac:dyDescent="0.25">
      <c r="W33" s="133">
        <v>42720</v>
      </c>
      <c r="X33" s="10">
        <v>51.02</v>
      </c>
      <c r="Y33" s="10">
        <v>51.5</v>
      </c>
      <c r="Z33" s="10">
        <v>50.09</v>
      </c>
      <c r="AA33" s="10">
        <v>50.16</v>
      </c>
      <c r="AB33" s="95">
        <v>9967400</v>
      </c>
      <c r="AC33" s="10">
        <v>50.16</v>
      </c>
      <c r="AD33" s="2">
        <f t="shared" si="0"/>
        <v>1.4099999999999966</v>
      </c>
      <c r="AE33" s="138">
        <f t="shared" si="1"/>
        <v>-6.7326732673268497E-3</v>
      </c>
    </row>
    <row r="34" spans="2:31" x14ac:dyDescent="0.25">
      <c r="W34" s="133">
        <v>42719</v>
      </c>
      <c r="X34" s="10">
        <v>50.48</v>
      </c>
      <c r="Y34" s="10">
        <v>51.74</v>
      </c>
      <c r="Z34" s="10">
        <v>50.43</v>
      </c>
      <c r="AA34" s="10">
        <v>50.5</v>
      </c>
      <c r="AB34" s="95">
        <v>10286900</v>
      </c>
      <c r="AC34" s="10">
        <v>50.5</v>
      </c>
      <c r="AD34" s="2">
        <f t="shared" si="0"/>
        <v>1.3100000000000023</v>
      </c>
      <c r="AE34" s="138">
        <f t="shared" si="1"/>
        <v>1.3649136892814218E-2</v>
      </c>
    </row>
    <row r="35" spans="2:31" x14ac:dyDescent="0.25">
      <c r="B35" s="269" t="s">
        <v>114</v>
      </c>
      <c r="C35" s="269" t="s">
        <v>147</v>
      </c>
      <c r="D35" s="270" t="s">
        <v>146</v>
      </c>
      <c r="E35" s="271" t="s">
        <v>148</v>
      </c>
      <c r="F35" s="271" t="s">
        <v>65</v>
      </c>
      <c r="G35" s="273" t="s">
        <v>152</v>
      </c>
      <c r="H35" s="273" t="s">
        <v>88</v>
      </c>
      <c r="I35" s="273" t="s">
        <v>155</v>
      </c>
      <c r="W35" s="133">
        <v>42718</v>
      </c>
      <c r="X35" s="10">
        <v>49.86</v>
      </c>
      <c r="Y35" s="10">
        <v>50.58</v>
      </c>
      <c r="Z35" s="10">
        <v>49.58</v>
      </c>
      <c r="AA35" s="10">
        <v>49.82</v>
      </c>
      <c r="AB35" s="95">
        <v>9482900</v>
      </c>
      <c r="AC35" s="10">
        <v>49.82</v>
      </c>
      <c r="AD35" s="2">
        <f t="shared" si="0"/>
        <v>1</v>
      </c>
      <c r="AE35" s="138">
        <f t="shared" si="1"/>
        <v>3.2219089810714419E-3</v>
      </c>
    </row>
    <row r="36" spans="2:31" x14ac:dyDescent="0.25">
      <c r="B36" s="266">
        <v>42524</v>
      </c>
      <c r="C36" s="261">
        <v>200</v>
      </c>
      <c r="D36" s="543">
        <v>42.3598</v>
      </c>
      <c r="E36" s="262">
        <v>41.755000000000003</v>
      </c>
      <c r="F36" s="262">
        <f t="shared" ref="F36:F45" si="2">C36*(E36-D36)</f>
        <v>-120.95999999999947</v>
      </c>
      <c r="G36" s="262">
        <f t="shared" ref="G36" si="3">D36*C36</f>
        <v>8471.9599999999991</v>
      </c>
      <c r="H36" s="276">
        <f t="shared" ref="H36" si="4">(E36-D36)/D36</f>
        <v>-1.4277687807779955E-2</v>
      </c>
      <c r="I36" s="262"/>
      <c r="W36" s="133">
        <v>42717</v>
      </c>
      <c r="X36" s="10">
        <v>50.02</v>
      </c>
      <c r="Y36" s="10">
        <v>50.7</v>
      </c>
      <c r="Z36" s="10">
        <v>49.62</v>
      </c>
      <c r="AA36" s="10">
        <v>49.66</v>
      </c>
      <c r="AB36" s="95">
        <v>8758100</v>
      </c>
      <c r="AC36" s="10">
        <v>49.66</v>
      </c>
      <c r="AD36" s="2">
        <f t="shared" si="0"/>
        <v>1.0800000000000054</v>
      </c>
      <c r="AE36" s="138">
        <f t="shared" si="1"/>
        <v>-6.2037222333400921E-3</v>
      </c>
    </row>
    <row r="37" spans="2:31" x14ac:dyDescent="0.25">
      <c r="B37" s="266">
        <v>42527</v>
      </c>
      <c r="C37" s="261">
        <v>200</v>
      </c>
      <c r="D37" s="262">
        <v>42.3598</v>
      </c>
      <c r="E37" s="262">
        <v>41.28</v>
      </c>
      <c r="F37" s="262">
        <f t="shared" si="2"/>
        <v>-215.95999999999975</v>
      </c>
      <c r="G37" s="262">
        <f t="shared" ref="G37" si="5">D37*C37</f>
        <v>8471.9599999999991</v>
      </c>
      <c r="H37" s="276">
        <f t="shared" ref="H37" si="6">(E37-D37)/D37</f>
        <v>-2.5491149627713039E-2</v>
      </c>
      <c r="I37" s="262"/>
      <c r="W37" s="133">
        <v>42716</v>
      </c>
      <c r="X37" s="10">
        <v>51.03</v>
      </c>
      <c r="Y37" s="10">
        <v>51.34</v>
      </c>
      <c r="Z37" s="10">
        <v>49.93</v>
      </c>
      <c r="AA37" s="10">
        <v>49.97</v>
      </c>
      <c r="AB37" s="95">
        <v>8465600</v>
      </c>
      <c r="AC37" s="10">
        <v>49.97</v>
      </c>
      <c r="AD37" s="2">
        <f t="shared" si="0"/>
        <v>1.4100000000000037</v>
      </c>
      <c r="AE37" s="138">
        <f t="shared" si="1"/>
        <v>-3.4955581305523453E-2</v>
      </c>
    </row>
    <row r="38" spans="2:31" x14ac:dyDescent="0.25">
      <c r="B38" s="266">
        <v>42533</v>
      </c>
      <c r="C38" s="261">
        <v>200</v>
      </c>
      <c r="D38" s="262">
        <v>42.36</v>
      </c>
      <c r="E38" s="262">
        <v>42.04</v>
      </c>
      <c r="F38" s="262">
        <f t="shared" si="2"/>
        <v>-64.000000000000057</v>
      </c>
      <c r="G38" s="262">
        <f t="shared" ref="G38" si="7">D38*C38</f>
        <v>8472</v>
      </c>
      <c r="H38" s="276">
        <f t="shared" ref="H38" si="8">(E38-D38)/D38</f>
        <v>-7.5542965061378723E-3</v>
      </c>
      <c r="I38" s="262"/>
      <c r="W38" s="133">
        <v>42713</v>
      </c>
      <c r="X38" s="10">
        <v>52</v>
      </c>
      <c r="Y38" s="10">
        <v>52.76</v>
      </c>
      <c r="Z38" s="10">
        <v>51.26</v>
      </c>
      <c r="AA38" s="10">
        <v>51.78</v>
      </c>
      <c r="AB38" s="95">
        <v>8523500</v>
      </c>
      <c r="AC38" s="10">
        <v>51.78</v>
      </c>
      <c r="AD38" s="2">
        <f t="shared" si="0"/>
        <v>1.5</v>
      </c>
      <c r="AE38" s="138">
        <f t="shared" si="1"/>
        <v>8.3739045764361641E-3</v>
      </c>
    </row>
    <row r="39" spans="2:31" x14ac:dyDescent="0.25">
      <c r="B39" s="266">
        <v>42534</v>
      </c>
      <c r="C39" s="261">
        <v>200</v>
      </c>
      <c r="D39" s="262">
        <v>42.3598</v>
      </c>
      <c r="E39" s="262">
        <v>40.57</v>
      </c>
      <c r="F39" s="262">
        <f t="shared" si="2"/>
        <v>-357.95999999999992</v>
      </c>
      <c r="G39" s="262">
        <f t="shared" ref="G39:G45" si="9">D39*C39</f>
        <v>8471.9599999999991</v>
      </c>
      <c r="H39" s="276">
        <f t="shared" ref="H39:H45" si="10">(E39-D39)/D39</f>
        <v>-4.2252324137507721E-2</v>
      </c>
      <c r="I39" s="262"/>
      <c r="W39" s="133">
        <v>42712</v>
      </c>
      <c r="X39" s="10">
        <v>51.1</v>
      </c>
      <c r="Y39" s="10">
        <v>51.92</v>
      </c>
      <c r="Z39" s="10">
        <v>50.54</v>
      </c>
      <c r="AA39" s="10">
        <v>51.35</v>
      </c>
      <c r="AB39" s="95">
        <v>9432200</v>
      </c>
      <c r="AC39" s="10">
        <v>51.35</v>
      </c>
      <c r="AD39" s="2">
        <f t="shared" si="0"/>
        <v>1.3800000000000026</v>
      </c>
      <c r="AE39" s="138">
        <f t="shared" si="1"/>
        <v>4.8923679060666192E-3</v>
      </c>
    </row>
    <row r="40" spans="2:31" x14ac:dyDescent="0.25">
      <c r="B40" s="266">
        <v>42535</v>
      </c>
      <c r="C40" s="261">
        <v>300</v>
      </c>
      <c r="D40" s="262">
        <v>41.523200000000003</v>
      </c>
      <c r="E40" s="262">
        <v>39.11</v>
      </c>
      <c r="F40" s="262">
        <f t="shared" si="2"/>
        <v>-723.96000000000095</v>
      </c>
      <c r="G40" s="262">
        <f t="shared" si="9"/>
        <v>12456.960000000001</v>
      </c>
      <c r="H40" s="276">
        <f t="shared" si="10"/>
        <v>-5.8116908138101185E-2</v>
      </c>
      <c r="I40" s="262"/>
      <c r="W40" s="133">
        <v>42711</v>
      </c>
      <c r="X40" s="10">
        <v>49.44</v>
      </c>
      <c r="Y40" s="10">
        <v>51.33</v>
      </c>
      <c r="Z40" s="10">
        <v>49.18</v>
      </c>
      <c r="AA40" s="10">
        <v>51.1</v>
      </c>
      <c r="AB40" s="95">
        <v>10667600</v>
      </c>
      <c r="AC40" s="10">
        <v>51.1</v>
      </c>
      <c r="AD40" s="2">
        <f t="shared" si="0"/>
        <v>2.1499999999999986</v>
      </c>
      <c r="AE40" s="138">
        <f t="shared" si="1"/>
        <v>3.378515071818744E-2</v>
      </c>
    </row>
    <row r="41" spans="2:31" x14ac:dyDescent="0.25">
      <c r="B41" s="266">
        <v>42537</v>
      </c>
      <c r="C41" s="261">
        <v>400</v>
      </c>
      <c r="D41" s="262">
        <v>40.604900000000001</v>
      </c>
      <c r="E41" s="262">
        <v>38.020000000000003</v>
      </c>
      <c r="F41" s="262">
        <f t="shared" si="2"/>
        <v>-1033.9599999999991</v>
      </c>
      <c r="G41" s="262">
        <f t="shared" si="9"/>
        <v>16241.960000000001</v>
      </c>
      <c r="H41" s="276">
        <f t="shared" si="10"/>
        <v>-6.3659804604862896E-2</v>
      </c>
      <c r="I41" s="262"/>
      <c r="Q41" s="2"/>
      <c r="W41" s="133">
        <v>42710</v>
      </c>
      <c r="X41" s="10">
        <v>48.21</v>
      </c>
      <c r="Y41" s="10">
        <v>49.49</v>
      </c>
      <c r="Z41" s="10">
        <v>48.11</v>
      </c>
      <c r="AA41" s="10">
        <v>49.43</v>
      </c>
      <c r="AB41" s="95">
        <v>8999800</v>
      </c>
      <c r="AC41" s="10">
        <v>49.43</v>
      </c>
      <c r="AD41" s="2">
        <f t="shared" si="0"/>
        <v>1.3800000000000026</v>
      </c>
      <c r="AE41" s="138">
        <f t="shared" si="1"/>
        <v>3.366792137181096E-2</v>
      </c>
    </row>
    <row r="42" spans="2:31" ht="20.25" thickBot="1" x14ac:dyDescent="0.35">
      <c r="B42" s="266">
        <v>42542</v>
      </c>
      <c r="C42" s="261">
        <v>400</v>
      </c>
      <c r="D42" s="262">
        <v>40.604900000000001</v>
      </c>
      <c r="E42" s="262">
        <v>38.67</v>
      </c>
      <c r="F42" s="262">
        <f t="shared" si="2"/>
        <v>-773.95999999999958</v>
      </c>
      <c r="G42" s="262">
        <f t="shared" si="9"/>
        <v>16241.960000000001</v>
      </c>
      <c r="H42" s="276">
        <f t="shared" si="10"/>
        <v>-4.7651884378486317E-2</v>
      </c>
      <c r="I42" s="262"/>
      <c r="O42" s="638" t="s">
        <v>78</v>
      </c>
      <c r="P42" s="638"/>
      <c r="Q42" s="2"/>
      <c r="T42" s="91" t="s">
        <v>113</v>
      </c>
      <c r="W42" s="133">
        <v>42709</v>
      </c>
      <c r="X42" s="10">
        <v>48.51</v>
      </c>
      <c r="Y42" s="10">
        <v>48.81</v>
      </c>
      <c r="Z42" s="10">
        <v>47.59</v>
      </c>
      <c r="AA42" s="10">
        <v>47.82</v>
      </c>
      <c r="AB42" s="95">
        <v>9231400</v>
      </c>
      <c r="AC42" s="10">
        <v>47.82</v>
      </c>
      <c r="AD42" s="2">
        <f t="shared" si="0"/>
        <v>1.2199999999999989</v>
      </c>
      <c r="AE42" s="138">
        <f t="shared" si="1"/>
        <v>-1.0142827571931301E-2</v>
      </c>
    </row>
    <row r="43" spans="2:31" ht="15.75" thickTop="1" x14ac:dyDescent="0.25">
      <c r="B43" s="266">
        <v>42545</v>
      </c>
      <c r="C43" s="261">
        <v>500</v>
      </c>
      <c r="D43" s="262">
        <v>39.685899999999997</v>
      </c>
      <c r="E43" s="262">
        <v>38.31</v>
      </c>
      <c r="F43" s="262">
        <f t="shared" si="2"/>
        <v>-687.9499999999972</v>
      </c>
      <c r="G43" s="262">
        <f t="shared" si="9"/>
        <v>19842.949999999997</v>
      </c>
      <c r="H43" s="276">
        <f t="shared" si="10"/>
        <v>-3.466974416606388E-2</v>
      </c>
      <c r="I43" s="262"/>
      <c r="O43" s="83">
        <v>1.1000000000000001</v>
      </c>
      <c r="P43" s="83">
        <f>O43*$Q$4</f>
        <v>52.591000000000008</v>
      </c>
      <c r="Q43" s="2"/>
      <c r="T43" s="128" t="s">
        <v>98</v>
      </c>
      <c r="U43" s="98">
        <v>47.26</v>
      </c>
      <c r="W43" s="133">
        <v>42706</v>
      </c>
      <c r="X43" s="10">
        <v>48.32</v>
      </c>
      <c r="Y43" s="10">
        <v>48.94</v>
      </c>
      <c r="Z43" s="10">
        <v>47.89</v>
      </c>
      <c r="AA43" s="10">
        <v>48.31</v>
      </c>
      <c r="AB43" s="95">
        <v>8869900</v>
      </c>
      <c r="AC43" s="10">
        <v>48.31</v>
      </c>
      <c r="AD43" s="2">
        <f t="shared" si="0"/>
        <v>1.0499999999999972</v>
      </c>
      <c r="AE43" s="138">
        <f t="shared" si="1"/>
        <v>1.130416579443172E-2</v>
      </c>
    </row>
    <row r="44" spans="2:31" x14ac:dyDescent="0.25">
      <c r="B44" s="266">
        <v>42545</v>
      </c>
      <c r="C44" s="261">
        <v>500</v>
      </c>
      <c r="D44" s="262">
        <v>39.487099999999998</v>
      </c>
      <c r="E44" s="262">
        <v>35.18</v>
      </c>
      <c r="F44" s="262">
        <f t="shared" si="2"/>
        <v>-2153.5499999999993</v>
      </c>
      <c r="G44" s="262">
        <f t="shared" si="9"/>
        <v>19743.55</v>
      </c>
      <c r="H44" s="276">
        <f t="shared" si="10"/>
        <v>-0.10907612865973948</v>
      </c>
      <c r="I44" s="262"/>
      <c r="O44" s="83">
        <v>1.0900000000000001</v>
      </c>
      <c r="P44" s="83">
        <f t="shared" ref="P44:P63" si="11">O44*$Q$4</f>
        <v>52.112900000000003</v>
      </c>
      <c r="Q44" s="2"/>
      <c r="T44" s="93" t="s">
        <v>99</v>
      </c>
      <c r="U44" s="88">
        <v>46.59</v>
      </c>
      <c r="W44" s="133">
        <v>42705</v>
      </c>
      <c r="X44" s="10">
        <v>47.96</v>
      </c>
      <c r="Y44" s="10">
        <v>48.94</v>
      </c>
      <c r="Z44" s="10">
        <v>47.6</v>
      </c>
      <c r="AA44" s="10">
        <v>47.77</v>
      </c>
      <c r="AB44" s="95">
        <v>9801500</v>
      </c>
      <c r="AC44" s="10">
        <v>47.77</v>
      </c>
      <c r="AD44" s="2">
        <f t="shared" si="0"/>
        <v>1.3399999999999963</v>
      </c>
      <c r="AE44" s="138">
        <f t="shared" si="1"/>
        <v>-8.5097550850974368E-3</v>
      </c>
    </row>
    <row r="45" spans="2:31" x14ac:dyDescent="0.25">
      <c r="B45" s="266">
        <v>42548</v>
      </c>
      <c r="C45" s="261">
        <v>600</v>
      </c>
      <c r="D45" s="262">
        <v>38.552599999999998</v>
      </c>
      <c r="E45" s="262">
        <v>33.36</v>
      </c>
      <c r="F45" s="262">
        <f t="shared" si="2"/>
        <v>-3115.5599999999995</v>
      </c>
      <c r="G45" s="262">
        <f t="shared" si="9"/>
        <v>23131.559999999998</v>
      </c>
      <c r="H45" s="276">
        <f t="shared" si="10"/>
        <v>-0.13468871100781787</v>
      </c>
      <c r="I45" s="262"/>
      <c r="O45" s="83">
        <v>1.08</v>
      </c>
      <c r="P45" s="83">
        <f t="shared" si="11"/>
        <v>51.634800000000006</v>
      </c>
      <c r="Q45" s="2"/>
      <c r="T45" s="93" t="s">
        <v>100</v>
      </c>
      <c r="U45" s="88" t="s">
        <v>129</v>
      </c>
      <c r="W45" s="133">
        <v>42704</v>
      </c>
      <c r="X45" s="10">
        <v>47.55</v>
      </c>
      <c r="Y45" s="10">
        <v>48.75</v>
      </c>
      <c r="Z45" s="10">
        <v>46.85</v>
      </c>
      <c r="AA45" s="10">
        <v>48.18</v>
      </c>
      <c r="AB45" s="95">
        <v>9181200</v>
      </c>
      <c r="AC45" s="10">
        <v>48.18</v>
      </c>
      <c r="AD45" s="2">
        <f t="shared" si="0"/>
        <v>1.8999999999999986</v>
      </c>
      <c r="AE45" s="138">
        <f t="shared" si="1"/>
        <v>-8.4379501955135217E-3</v>
      </c>
    </row>
    <row r="46" spans="2:31" x14ac:dyDescent="0.25">
      <c r="B46" s="266">
        <v>42549</v>
      </c>
      <c r="C46" s="261">
        <v>600</v>
      </c>
      <c r="D46" s="262">
        <v>38.552599999999998</v>
      </c>
      <c r="E46" s="262">
        <v>34.67</v>
      </c>
      <c r="F46" s="262">
        <f t="shared" ref="F46" si="12">C46*(E46-D46)</f>
        <v>-2329.5599999999977</v>
      </c>
      <c r="G46" s="262">
        <f t="shared" ref="G46" si="13">D46*C46</f>
        <v>23131.559999999998</v>
      </c>
      <c r="H46" s="276">
        <f t="shared" ref="H46" si="14">(E46-D46)/D46</f>
        <v>-0.10070916099043895</v>
      </c>
      <c r="I46" s="262"/>
      <c r="O46" s="83">
        <v>1.07</v>
      </c>
      <c r="P46" s="83">
        <f t="shared" si="11"/>
        <v>51.156700000000008</v>
      </c>
      <c r="Q46" s="2"/>
      <c r="T46" s="93" t="s">
        <v>101</v>
      </c>
      <c r="U46" s="88" t="s">
        <v>129</v>
      </c>
      <c r="W46" s="133">
        <v>42703</v>
      </c>
      <c r="X46" s="10">
        <v>48.53</v>
      </c>
      <c r="Y46" s="10">
        <v>49.05</v>
      </c>
      <c r="Z46" s="10">
        <v>48.23</v>
      </c>
      <c r="AA46" s="10">
        <v>48.59</v>
      </c>
      <c r="AB46" s="95">
        <v>6955300</v>
      </c>
      <c r="AC46" s="10">
        <v>48.59</v>
      </c>
      <c r="AD46" s="2">
        <f t="shared" si="0"/>
        <v>0.82000000000000028</v>
      </c>
      <c r="AE46" s="138">
        <f t="shared" si="1"/>
        <v>2.0622808826562533E-3</v>
      </c>
    </row>
    <row r="47" spans="2:31" x14ac:dyDescent="0.25">
      <c r="B47" s="266">
        <v>42552</v>
      </c>
      <c r="C47" s="261">
        <v>600</v>
      </c>
      <c r="D47" s="262">
        <v>38.552599999999998</v>
      </c>
      <c r="E47" s="262">
        <v>36.770000000000003</v>
      </c>
      <c r="F47" s="262">
        <f t="shared" ref="F47" si="15">C47*(E47-D47)</f>
        <v>-1069.559999999997</v>
      </c>
      <c r="G47" s="262">
        <f t="shared" ref="G47" si="16">D47*C47</f>
        <v>23131.559999999998</v>
      </c>
      <c r="H47" s="276">
        <f t="shared" ref="H47" si="17">(E47-D47)/D47</f>
        <v>-4.6238126611434643E-2</v>
      </c>
      <c r="I47" s="262"/>
      <c r="O47" s="83">
        <v>1.06</v>
      </c>
      <c r="P47" s="83">
        <f t="shared" si="11"/>
        <v>50.678600000000003</v>
      </c>
      <c r="Q47" s="2"/>
      <c r="T47" s="93" t="s">
        <v>102</v>
      </c>
      <c r="U47" s="88">
        <v>0.4</v>
      </c>
      <c r="W47" s="133">
        <v>42702</v>
      </c>
      <c r="X47" s="10">
        <v>49.08</v>
      </c>
      <c r="Y47" s="10">
        <v>49.35</v>
      </c>
      <c r="Z47" s="10">
        <v>48.48</v>
      </c>
      <c r="AA47" s="10">
        <v>48.49</v>
      </c>
      <c r="AB47" s="95">
        <v>9164700</v>
      </c>
      <c r="AC47" s="10">
        <v>48.49</v>
      </c>
      <c r="AD47" s="2">
        <f t="shared" si="0"/>
        <v>0.87000000000000455</v>
      </c>
      <c r="AE47" s="138">
        <f t="shared" si="1"/>
        <v>-1.523151909017062E-2</v>
      </c>
    </row>
    <row r="48" spans="2:31" x14ac:dyDescent="0.25">
      <c r="B48" s="266">
        <v>42556</v>
      </c>
      <c r="C48" s="275">
        <v>600</v>
      </c>
      <c r="D48" s="370">
        <v>38.552599999999998</v>
      </c>
      <c r="E48" s="262">
        <v>35.619999999999997</v>
      </c>
      <c r="F48" s="262">
        <f t="shared" ref="F48" si="18">C48*(E48-D48)</f>
        <v>-1759.5600000000004</v>
      </c>
      <c r="G48" s="262">
        <f t="shared" ref="G48" si="19">D48*C48</f>
        <v>23131.559999999998</v>
      </c>
      <c r="H48" s="276">
        <f t="shared" ref="H48" si="20">(E48-D48)/D48</f>
        <v>-7.6067502580889512E-2</v>
      </c>
      <c r="I48" s="262"/>
      <c r="O48" s="83">
        <v>1.05</v>
      </c>
      <c r="P48" s="83">
        <f t="shared" si="11"/>
        <v>50.200500000000005</v>
      </c>
      <c r="Q48" s="2"/>
      <c r="T48" s="93" t="s">
        <v>103</v>
      </c>
      <c r="U48" s="88">
        <v>0.91983199999999998</v>
      </c>
      <c r="W48" s="133">
        <v>42699</v>
      </c>
      <c r="X48" s="10">
        <v>49.17</v>
      </c>
      <c r="Y48" s="10">
        <v>49.41</v>
      </c>
      <c r="Z48" s="10">
        <v>48.89</v>
      </c>
      <c r="AA48" s="10">
        <v>49.24</v>
      </c>
      <c r="AB48" s="95">
        <v>2241400</v>
      </c>
      <c r="AC48" s="10">
        <v>49.24</v>
      </c>
      <c r="AD48" s="2">
        <f t="shared" si="0"/>
        <v>0.51999999999999602</v>
      </c>
      <c r="AE48" s="138">
        <f t="shared" si="1"/>
        <v>6.0963218857956747E-4</v>
      </c>
    </row>
    <row r="49" spans="2:31" x14ac:dyDescent="0.25">
      <c r="B49" s="266">
        <v>42559</v>
      </c>
      <c r="C49" s="275">
        <v>600</v>
      </c>
      <c r="D49" s="370">
        <v>38.552599999999998</v>
      </c>
      <c r="E49" s="262">
        <v>37.369999999999997</v>
      </c>
      <c r="F49" s="262">
        <f t="shared" ref="F49" si="21">C49*(E49-D49)</f>
        <v>-709.5600000000004</v>
      </c>
      <c r="G49" s="262">
        <f t="shared" ref="G49" si="22">D49*C49</f>
        <v>23131.559999999998</v>
      </c>
      <c r="H49" s="276">
        <f t="shared" ref="H49" si="23">(E49-D49)/D49</f>
        <v>-3.0674973931719283E-2</v>
      </c>
      <c r="I49" s="262"/>
      <c r="O49" s="83">
        <v>1.04</v>
      </c>
      <c r="P49" s="83">
        <f t="shared" si="11"/>
        <v>49.722400000000007</v>
      </c>
      <c r="Q49" s="2"/>
      <c r="T49" s="93" t="s">
        <v>122</v>
      </c>
      <c r="U49" s="88" t="s">
        <v>402</v>
      </c>
      <c r="W49" s="133">
        <v>42697</v>
      </c>
      <c r="X49" s="10">
        <v>48.79</v>
      </c>
      <c r="Y49" s="10">
        <v>49.29</v>
      </c>
      <c r="Z49" s="10">
        <v>48.63</v>
      </c>
      <c r="AA49" s="10">
        <v>49.21</v>
      </c>
      <c r="AB49" s="95">
        <v>4723700</v>
      </c>
      <c r="AC49" s="10">
        <v>49.21</v>
      </c>
      <c r="AD49" s="2">
        <f t="shared" si="0"/>
        <v>0.65999999999999659</v>
      </c>
      <c r="AE49" s="138">
        <f t="shared" si="1"/>
        <v>6.3394683026585241E-3</v>
      </c>
    </row>
    <row r="50" spans="2:31" x14ac:dyDescent="0.25">
      <c r="B50" s="266">
        <v>42562</v>
      </c>
      <c r="C50" s="275">
        <v>600</v>
      </c>
      <c r="D50" s="370">
        <v>38.552599999999998</v>
      </c>
      <c r="E50" s="262">
        <v>38.119999999999997</v>
      </c>
      <c r="F50" s="262">
        <f t="shared" ref="F50:F52" si="24">C50*(E50-D50)</f>
        <v>-259.56000000000046</v>
      </c>
      <c r="G50" s="262">
        <f t="shared" ref="G50:G52" si="25">D50*C50</f>
        <v>23131.559999999998</v>
      </c>
      <c r="H50" s="276">
        <f t="shared" ref="H50:H52" si="26">(E50-D50)/D50</f>
        <v>-1.1221033082074899E-2</v>
      </c>
      <c r="I50" s="262"/>
      <c r="O50" s="83">
        <v>1.03</v>
      </c>
      <c r="P50" s="83">
        <f t="shared" si="11"/>
        <v>49.244300000000003</v>
      </c>
      <c r="Q50" s="2"/>
      <c r="T50" s="93"/>
      <c r="U50" s="88"/>
      <c r="W50" s="133">
        <v>42696</v>
      </c>
      <c r="X50" s="10">
        <v>48.84</v>
      </c>
      <c r="Y50" s="10">
        <v>49.3</v>
      </c>
      <c r="Z50" s="10">
        <v>48.75</v>
      </c>
      <c r="AA50" s="10">
        <v>48.9</v>
      </c>
      <c r="AB50" s="95">
        <v>8937900</v>
      </c>
      <c r="AC50" s="10">
        <v>48.9</v>
      </c>
      <c r="AD50" s="2">
        <f t="shared" si="0"/>
        <v>0.54999999999999716</v>
      </c>
      <c r="AE50" s="138">
        <f t="shared" si="1"/>
        <v>5.9658506480146922E-3</v>
      </c>
    </row>
    <row r="51" spans="2:31" x14ac:dyDescent="0.25">
      <c r="B51" s="266">
        <v>42563</v>
      </c>
      <c r="C51" s="261">
        <v>500</v>
      </c>
      <c r="D51" s="262">
        <v>38.395200000000003</v>
      </c>
      <c r="E51" s="262">
        <v>40.21</v>
      </c>
      <c r="F51" s="262">
        <f t="shared" si="24"/>
        <v>907.39999999999907</v>
      </c>
      <c r="G51" s="262">
        <f t="shared" si="25"/>
        <v>19197.600000000002</v>
      </c>
      <c r="H51" s="276">
        <f t="shared" si="26"/>
        <v>4.7266324957286276E-2</v>
      </c>
      <c r="I51" s="262"/>
      <c r="O51" s="83">
        <v>1.02</v>
      </c>
      <c r="P51" s="83">
        <f>O51*$Q$4</f>
        <v>48.766200000000005</v>
      </c>
      <c r="Q51" s="2"/>
      <c r="T51" s="93" t="s">
        <v>105</v>
      </c>
      <c r="U51" s="88" t="s">
        <v>649</v>
      </c>
      <c r="W51" s="133">
        <v>42695</v>
      </c>
      <c r="X51" s="10">
        <v>48.98</v>
      </c>
      <c r="Y51" s="10">
        <v>49.17</v>
      </c>
      <c r="Z51" s="10">
        <v>48.51</v>
      </c>
      <c r="AA51" s="10">
        <v>48.61</v>
      </c>
      <c r="AB51" s="95">
        <v>8660300</v>
      </c>
      <c r="AC51" s="10">
        <v>48.61</v>
      </c>
      <c r="AD51" s="2">
        <f t="shared" si="0"/>
        <v>0.66000000000000369</v>
      </c>
      <c r="AE51" s="138">
        <f t="shared" si="1"/>
        <v>-5.9304703476482645E-3</v>
      </c>
    </row>
    <row r="52" spans="2:31" x14ac:dyDescent="0.25">
      <c r="B52" s="266">
        <v>42566</v>
      </c>
      <c r="C52" s="261">
        <v>400</v>
      </c>
      <c r="D52" s="262">
        <v>37.874299999999998</v>
      </c>
      <c r="E52" s="262">
        <v>39.979999999999997</v>
      </c>
      <c r="F52" s="262">
        <f t="shared" si="24"/>
        <v>842.27999999999952</v>
      </c>
      <c r="G52" s="262">
        <f t="shared" si="25"/>
        <v>15149.72</v>
      </c>
      <c r="H52" s="276">
        <f t="shared" si="26"/>
        <v>5.559706714051478E-2</v>
      </c>
      <c r="I52" s="262"/>
      <c r="O52" s="83">
        <v>1.01</v>
      </c>
      <c r="P52" s="83">
        <f t="shared" si="11"/>
        <v>48.2881</v>
      </c>
      <c r="Q52" s="2"/>
      <c r="T52" s="93" t="s">
        <v>106</v>
      </c>
      <c r="U52" s="88" t="s">
        <v>364</v>
      </c>
      <c r="W52" s="133">
        <v>42692</v>
      </c>
      <c r="X52" s="10">
        <v>48.8</v>
      </c>
      <c r="Y52" s="10">
        <v>48.98</v>
      </c>
      <c r="Z52" s="10">
        <v>48.25</v>
      </c>
      <c r="AA52" s="10">
        <v>48.9</v>
      </c>
      <c r="AB52" s="95">
        <v>7835300</v>
      </c>
      <c r="AC52" s="10">
        <v>48.9</v>
      </c>
      <c r="AD52" s="2">
        <f t="shared" si="0"/>
        <v>0.72999999999999687</v>
      </c>
      <c r="AE52" s="138">
        <f t="shared" si="1"/>
        <v>8.0395794681509258E-3</v>
      </c>
    </row>
    <row r="53" spans="2:31" x14ac:dyDescent="0.25">
      <c r="B53" s="266">
        <v>42569</v>
      </c>
      <c r="C53" s="261">
        <v>400</v>
      </c>
      <c r="D53" s="262">
        <v>37.874299999999998</v>
      </c>
      <c r="E53" s="262">
        <v>40.1</v>
      </c>
      <c r="F53" s="262">
        <f t="shared" ref="F53" si="27">C53*(E53-D53)</f>
        <v>890.28000000000134</v>
      </c>
      <c r="G53" s="262">
        <f t="shared" ref="G53" si="28">D53*C53</f>
        <v>15149.72</v>
      </c>
      <c r="H53" s="276">
        <f t="shared" ref="H53" si="29">(E53-D53)/D53</f>
        <v>5.8765442529631E-2</v>
      </c>
      <c r="I53" s="262"/>
      <c r="O53" s="83">
        <v>1</v>
      </c>
      <c r="P53" s="83">
        <f t="shared" si="11"/>
        <v>47.81</v>
      </c>
      <c r="Q53" s="2"/>
      <c r="T53" s="93" t="s">
        <v>107</v>
      </c>
      <c r="U53" s="90">
        <v>8795723</v>
      </c>
      <c r="W53" s="133">
        <v>42691</v>
      </c>
      <c r="X53" s="10">
        <v>47.41</v>
      </c>
      <c r="Y53" s="10">
        <v>48.53</v>
      </c>
      <c r="Z53" s="10">
        <v>47.21</v>
      </c>
      <c r="AA53" s="10">
        <v>48.51</v>
      </c>
      <c r="AB53" s="95">
        <v>8485900</v>
      </c>
      <c r="AC53" s="10">
        <v>48.51</v>
      </c>
      <c r="AD53" s="2">
        <f t="shared" si="0"/>
        <v>1.3200000000000003</v>
      </c>
      <c r="AE53" s="138">
        <f t="shared" si="1"/>
        <v>2.3849725622625551E-2</v>
      </c>
    </row>
    <row r="54" spans="2:31" x14ac:dyDescent="0.25">
      <c r="B54" s="266">
        <v>42570</v>
      </c>
      <c r="C54" s="261">
        <v>400</v>
      </c>
      <c r="D54" s="262">
        <v>37.874299999999998</v>
      </c>
      <c r="E54" s="262">
        <v>40.53</v>
      </c>
      <c r="F54" s="262">
        <f t="shared" ref="F54:F56" si="30">C54*(E54-D54)</f>
        <v>1062.2800000000011</v>
      </c>
      <c r="G54" s="262">
        <f t="shared" ref="G54:G56" si="31">D54*C54</f>
        <v>15149.72</v>
      </c>
      <c r="H54" s="276">
        <f t="shared" ref="H54:H56" si="32">(E54-D54)/D54</f>
        <v>7.0118787673963692E-2</v>
      </c>
      <c r="I54" s="262"/>
      <c r="O54" s="83">
        <v>0.99</v>
      </c>
      <c r="P54" s="83">
        <f t="shared" si="11"/>
        <v>47.331900000000005</v>
      </c>
      <c r="T54" s="93" t="s">
        <v>110</v>
      </c>
      <c r="U54" s="90">
        <v>8391670</v>
      </c>
      <c r="W54" s="133">
        <v>42690</v>
      </c>
      <c r="X54" s="10">
        <v>47.59</v>
      </c>
      <c r="Y54" s="10">
        <v>47.74</v>
      </c>
      <c r="Z54" s="10">
        <v>47.16</v>
      </c>
      <c r="AA54" s="10">
        <v>47.38</v>
      </c>
      <c r="AB54" s="95">
        <v>6767300</v>
      </c>
      <c r="AC54" s="10">
        <v>47.38</v>
      </c>
      <c r="AD54" s="2">
        <f t="shared" si="0"/>
        <v>0.5800000000000054</v>
      </c>
      <c r="AE54" s="138">
        <f t="shared" si="1"/>
        <v>-5.6663168940187525E-3</v>
      </c>
    </row>
    <row r="55" spans="2:31" x14ac:dyDescent="0.25">
      <c r="B55" s="266">
        <v>42571</v>
      </c>
      <c r="C55" s="275">
        <v>300</v>
      </c>
      <c r="D55" s="370">
        <v>36.805999999999997</v>
      </c>
      <c r="E55" s="370">
        <v>40.21</v>
      </c>
      <c r="F55" s="262">
        <f t="shared" si="30"/>
        <v>1021.2000000000011</v>
      </c>
      <c r="G55" s="262">
        <f t="shared" si="31"/>
        <v>11041.8</v>
      </c>
      <c r="H55" s="276">
        <f t="shared" si="32"/>
        <v>9.2484920936803883E-2</v>
      </c>
      <c r="I55" s="262"/>
      <c r="O55" s="83">
        <v>0.98</v>
      </c>
      <c r="P55" s="83">
        <f t="shared" si="11"/>
        <v>46.8538</v>
      </c>
      <c r="T55" s="93" t="s">
        <v>108</v>
      </c>
      <c r="U55" s="88" t="s">
        <v>650</v>
      </c>
      <c r="W55" s="133">
        <v>42689</v>
      </c>
      <c r="X55" s="10">
        <v>49.02</v>
      </c>
      <c r="Y55" s="10">
        <v>49.24</v>
      </c>
      <c r="Z55" s="10">
        <v>47</v>
      </c>
      <c r="AA55" s="10">
        <v>47.65</v>
      </c>
      <c r="AB55" s="95">
        <v>14148400</v>
      </c>
      <c r="AC55" s="10">
        <v>47.65</v>
      </c>
      <c r="AD55" s="2">
        <f t="shared" si="0"/>
        <v>2.240000000000002</v>
      </c>
      <c r="AE55" s="138">
        <f t="shared" si="1"/>
        <v>3.7918685485569537E-3</v>
      </c>
    </row>
    <row r="56" spans="2:31" x14ac:dyDescent="0.25">
      <c r="B56" s="266">
        <v>42572</v>
      </c>
      <c r="C56" s="261">
        <v>350</v>
      </c>
      <c r="D56" s="262">
        <v>37.059399999999997</v>
      </c>
      <c r="E56" s="262">
        <v>38.520000000000003</v>
      </c>
      <c r="F56" s="262">
        <f t="shared" si="30"/>
        <v>511.21000000000231</v>
      </c>
      <c r="G56" s="262">
        <f t="shared" si="31"/>
        <v>12970.789999999999</v>
      </c>
      <c r="H56" s="276">
        <f t="shared" si="32"/>
        <v>3.9412402791194859E-2</v>
      </c>
      <c r="I56" s="262"/>
      <c r="O56" s="83">
        <v>0.97</v>
      </c>
      <c r="P56" s="83">
        <f t="shared" si="11"/>
        <v>46.375700000000002</v>
      </c>
      <c r="T56" s="93" t="s">
        <v>111</v>
      </c>
      <c r="U56" s="88">
        <v>8.18</v>
      </c>
      <c r="W56" s="133">
        <v>42688</v>
      </c>
      <c r="X56" s="10">
        <v>46.62</v>
      </c>
      <c r="Y56" s="10">
        <v>47.48</v>
      </c>
      <c r="Z56" s="10">
        <v>46.61</v>
      </c>
      <c r="AA56" s="10">
        <v>47.47</v>
      </c>
      <c r="AB56" s="95">
        <v>11729400</v>
      </c>
      <c r="AC56" s="10">
        <v>47.47</v>
      </c>
      <c r="AD56" s="2">
        <f t="shared" si="0"/>
        <v>0.86999999999999744</v>
      </c>
      <c r="AE56" s="138">
        <f t="shared" si="1"/>
        <v>2.3501509271237619E-2</v>
      </c>
    </row>
    <row r="57" spans="2:31" x14ac:dyDescent="0.25">
      <c r="B57" s="266">
        <v>42575</v>
      </c>
      <c r="C57" s="261">
        <v>350</v>
      </c>
      <c r="D57" s="262">
        <v>37.059399999999997</v>
      </c>
      <c r="E57" s="262">
        <v>38.96</v>
      </c>
      <c r="F57" s="262">
        <f t="shared" ref="F57" si="33">C57*(E57-D57)</f>
        <v>665.21000000000151</v>
      </c>
      <c r="G57" s="262">
        <f t="shared" ref="G57" si="34">D57*C57</f>
        <v>12970.789999999999</v>
      </c>
      <c r="H57" s="276">
        <f t="shared" ref="H57" si="35">(E57-D57)/D57</f>
        <v>5.1285233975725576E-2</v>
      </c>
      <c r="I57" s="262"/>
      <c r="O57" s="83">
        <v>0.96</v>
      </c>
      <c r="P57" s="83">
        <f t="shared" si="11"/>
        <v>45.897599999999997</v>
      </c>
      <c r="T57" s="93" t="s">
        <v>112</v>
      </c>
      <c r="U57" s="88">
        <v>5.79</v>
      </c>
      <c r="W57" s="133">
        <v>42685</v>
      </c>
      <c r="X57" s="10">
        <v>45.75</v>
      </c>
      <c r="Y57" s="10">
        <v>46.95</v>
      </c>
      <c r="Z57" s="10">
        <v>45.27</v>
      </c>
      <c r="AA57" s="10">
        <v>46.38</v>
      </c>
      <c r="AB57" s="95">
        <v>10232200</v>
      </c>
      <c r="AC57" s="10">
        <v>46.38</v>
      </c>
      <c r="AD57" s="2">
        <f t="shared" si="0"/>
        <v>1.6799999999999997</v>
      </c>
      <c r="AE57" s="138">
        <f t="shared" si="1"/>
        <v>9.3579978237214867E-3</v>
      </c>
    </row>
    <row r="58" spans="2:31" x14ac:dyDescent="0.25">
      <c r="B58" s="266">
        <v>42577</v>
      </c>
      <c r="C58" s="261">
        <v>350</v>
      </c>
      <c r="D58" s="262">
        <v>37.059399999999997</v>
      </c>
      <c r="E58" s="262">
        <v>39.03</v>
      </c>
      <c r="F58" s="262">
        <f t="shared" ref="F58" si="36">C58*(E58-D58)</f>
        <v>689.71000000000163</v>
      </c>
      <c r="G58" s="262">
        <f t="shared" ref="G58" si="37">D58*C58</f>
        <v>12970.789999999999</v>
      </c>
      <c r="H58" s="276">
        <f t="shared" ref="H58" si="38">(E58-D58)/D58</f>
        <v>5.3174093482355481E-2</v>
      </c>
      <c r="I58" s="262"/>
      <c r="O58" s="83">
        <v>0.95</v>
      </c>
      <c r="P58" s="83">
        <f t="shared" si="11"/>
        <v>45.419499999999999</v>
      </c>
      <c r="T58" s="93" t="s">
        <v>109</v>
      </c>
      <c r="U58" s="88" t="s">
        <v>651</v>
      </c>
      <c r="W58" s="133">
        <v>42684</v>
      </c>
      <c r="X58" s="10">
        <v>45.42</v>
      </c>
      <c r="Y58" s="10">
        <v>46.13</v>
      </c>
      <c r="Z58" s="10">
        <v>44.97</v>
      </c>
      <c r="AA58" s="10">
        <v>45.95</v>
      </c>
      <c r="AB58" s="95">
        <v>20759900</v>
      </c>
      <c r="AC58" s="10">
        <v>45.95</v>
      </c>
      <c r="AD58" s="2">
        <f t="shared" si="0"/>
        <v>1.1600000000000037</v>
      </c>
      <c r="AE58" s="138">
        <f t="shared" si="1"/>
        <v>1.5469613259668558E-2</v>
      </c>
    </row>
    <row r="59" spans="2:31" x14ac:dyDescent="0.25">
      <c r="B59" s="266">
        <v>42580</v>
      </c>
      <c r="C59" s="261">
        <v>300</v>
      </c>
      <c r="D59" s="262">
        <v>36.606099999999998</v>
      </c>
      <c r="E59" s="262">
        <v>39.659999999999997</v>
      </c>
      <c r="F59" s="262">
        <f t="shared" ref="F59:F62" si="39">C59*(E59-D59)</f>
        <v>916.16999999999962</v>
      </c>
      <c r="G59" s="262">
        <f t="shared" ref="G59:G62" si="40">D59*C59</f>
        <v>10981.83</v>
      </c>
      <c r="H59" s="276">
        <f t="shared" ref="H59:H62" si="41">(E59-D59)/D59</f>
        <v>8.3425986379319264E-2</v>
      </c>
      <c r="I59" s="262">
        <v>36</v>
      </c>
      <c r="O59" s="83">
        <v>0.94</v>
      </c>
      <c r="P59" s="83">
        <f t="shared" si="11"/>
        <v>44.941400000000002</v>
      </c>
      <c r="W59" s="133">
        <v>42683</v>
      </c>
      <c r="X59" s="10">
        <v>43.7</v>
      </c>
      <c r="Y59" s="10">
        <v>45.49</v>
      </c>
      <c r="Z59" s="10">
        <v>43.57</v>
      </c>
      <c r="AA59" s="10">
        <v>45.25</v>
      </c>
      <c r="AB59" s="95">
        <v>13139000</v>
      </c>
      <c r="AC59" s="10">
        <v>45.25</v>
      </c>
      <c r="AD59" s="2">
        <f t="shared" si="0"/>
        <v>1.9200000000000017</v>
      </c>
      <c r="AE59" s="138">
        <f t="shared" si="1"/>
        <v>1.6168874915787113E-2</v>
      </c>
    </row>
    <row r="60" spans="2:31" x14ac:dyDescent="0.25">
      <c r="B60" s="266">
        <v>42580</v>
      </c>
      <c r="C60" s="261">
        <v>350</v>
      </c>
      <c r="D60" s="262">
        <v>36.945300000000003</v>
      </c>
      <c r="E60" s="262">
        <v>38.75</v>
      </c>
      <c r="F60" s="262">
        <f t="shared" si="39"/>
        <v>631.64499999999884</v>
      </c>
      <c r="G60" s="262">
        <f t="shared" si="40"/>
        <v>12930.855000000001</v>
      </c>
      <c r="H60" s="276">
        <f t="shared" si="41"/>
        <v>4.8847891342065075E-2</v>
      </c>
      <c r="I60" s="262"/>
      <c r="O60" s="83">
        <v>0.93</v>
      </c>
      <c r="P60" s="83">
        <f t="shared" si="11"/>
        <v>44.463300000000004</v>
      </c>
      <c r="W60" s="133">
        <v>42682</v>
      </c>
      <c r="X60" s="10">
        <v>43.63</v>
      </c>
      <c r="Y60" s="10">
        <v>44.64</v>
      </c>
      <c r="Z60" s="10">
        <v>43.13</v>
      </c>
      <c r="AA60" s="10">
        <v>44.53</v>
      </c>
      <c r="AB60" s="95">
        <v>9732800</v>
      </c>
      <c r="AC60" s="10">
        <v>44.53</v>
      </c>
      <c r="AD60" s="2">
        <f t="shared" si="0"/>
        <v>1.509999999999998</v>
      </c>
      <c r="AE60" s="138" t="e">
        <f t="shared" si="1"/>
        <v>#DIV/0!</v>
      </c>
    </row>
    <row r="61" spans="2:31" x14ac:dyDescent="0.25">
      <c r="B61" s="266">
        <v>42584</v>
      </c>
      <c r="C61" s="261">
        <v>400</v>
      </c>
      <c r="D61" s="262">
        <v>37.037100000000002</v>
      </c>
      <c r="E61" s="262">
        <v>36.39</v>
      </c>
      <c r="F61" s="262">
        <f t="shared" si="39"/>
        <v>-258.84000000000071</v>
      </c>
      <c r="G61" s="262">
        <f t="shared" si="40"/>
        <v>14814.84</v>
      </c>
      <c r="H61" s="276">
        <f t="shared" si="41"/>
        <v>-1.747167029816054E-2</v>
      </c>
      <c r="I61" s="262">
        <v>36.5</v>
      </c>
      <c r="O61" s="83">
        <v>0.92</v>
      </c>
      <c r="P61" s="83">
        <f t="shared" si="11"/>
        <v>43.985200000000006</v>
      </c>
      <c r="W61" s="133">
        <v>42682</v>
      </c>
      <c r="X61" s="10" t="s">
        <v>270</v>
      </c>
      <c r="Y61" s="10"/>
      <c r="Z61" s="10"/>
      <c r="AA61" s="10"/>
      <c r="AB61" s="95"/>
      <c r="AC61" s="10"/>
      <c r="AD61" s="2">
        <f t="shared" si="0"/>
        <v>0</v>
      </c>
      <c r="AE61" s="138">
        <f t="shared" si="1"/>
        <v>-1</v>
      </c>
    </row>
    <row r="62" spans="2:31" x14ac:dyDescent="0.25">
      <c r="B62" s="266">
        <v>42597</v>
      </c>
      <c r="C62" s="261">
        <v>400</v>
      </c>
      <c r="D62" s="262">
        <v>37.037100000000002</v>
      </c>
      <c r="E62" s="262">
        <v>36.92</v>
      </c>
      <c r="F62" s="262">
        <f t="shared" si="39"/>
        <v>-46.840000000000259</v>
      </c>
      <c r="G62" s="262">
        <f t="shared" si="40"/>
        <v>14814.84</v>
      </c>
      <c r="H62" s="276">
        <f t="shared" si="41"/>
        <v>-3.1616946251191544E-3</v>
      </c>
      <c r="I62" s="262"/>
      <c r="O62" s="83">
        <v>0.91</v>
      </c>
      <c r="P62" s="83">
        <f t="shared" si="11"/>
        <v>43.507100000000001</v>
      </c>
      <c r="W62" s="133">
        <v>42681</v>
      </c>
      <c r="X62" s="10">
        <v>43.4</v>
      </c>
      <c r="Y62" s="10">
        <v>44.61</v>
      </c>
      <c r="Z62" s="10">
        <v>43.03</v>
      </c>
      <c r="AA62" s="10">
        <v>44.21</v>
      </c>
      <c r="AB62" s="95">
        <v>11534700</v>
      </c>
      <c r="AC62" s="10">
        <v>44.01</v>
      </c>
      <c r="AD62" s="2">
        <f t="shared" si="0"/>
        <v>1.5799999999999983</v>
      </c>
      <c r="AE62" s="138">
        <f t="shared" si="1"/>
        <v>3.1162136832239895E-2</v>
      </c>
    </row>
    <row r="63" spans="2:31" x14ac:dyDescent="0.25">
      <c r="B63" s="266">
        <v>42599</v>
      </c>
      <c r="C63" s="261">
        <v>400</v>
      </c>
      <c r="D63" s="262">
        <v>37.037100000000002</v>
      </c>
      <c r="E63" s="262">
        <v>37.51</v>
      </c>
      <c r="F63" s="262">
        <f t="shared" ref="F63" si="42">C63*(E63-D63)</f>
        <v>189.15999999999826</v>
      </c>
      <c r="G63" s="262">
        <f t="shared" ref="G63" si="43">D63*C63</f>
        <v>14814.84</v>
      </c>
      <c r="H63" s="276">
        <f t="shared" ref="H63" si="44">(E63-D63)/D63</f>
        <v>1.2768278293926781E-2</v>
      </c>
      <c r="I63" s="262"/>
      <c r="O63" s="83">
        <v>0.9</v>
      </c>
      <c r="P63" s="83">
        <f t="shared" si="11"/>
        <v>43.029000000000003</v>
      </c>
      <c r="W63" s="133">
        <v>42678</v>
      </c>
      <c r="X63" s="10">
        <v>41.81</v>
      </c>
      <c r="Y63" s="10">
        <v>43.24</v>
      </c>
      <c r="Z63" s="10">
        <v>41.75</v>
      </c>
      <c r="AA63" s="10">
        <v>42.88</v>
      </c>
      <c r="AB63" s="95">
        <v>10813000</v>
      </c>
      <c r="AC63" s="10">
        <v>42.68</v>
      </c>
      <c r="AD63" s="2">
        <f t="shared" si="0"/>
        <v>1.490000000000002</v>
      </c>
      <c r="AE63" s="138">
        <f t="shared" si="1"/>
        <v>2.276539659717236E-2</v>
      </c>
    </row>
    <row r="64" spans="2:31" x14ac:dyDescent="0.25">
      <c r="B64" s="266">
        <v>42600</v>
      </c>
      <c r="C64" s="261">
        <v>400</v>
      </c>
      <c r="D64" s="262">
        <v>37.037100000000002</v>
      </c>
      <c r="E64" s="262">
        <v>37.07</v>
      </c>
      <c r="F64" s="262">
        <f t="shared" ref="F64" si="45">C64*(E64-D64)</f>
        <v>13.159999999999172</v>
      </c>
      <c r="G64" s="262">
        <f t="shared" ref="G64" si="46">D64*C64</f>
        <v>14814.84</v>
      </c>
      <c r="H64" s="276">
        <f t="shared" ref="H64" si="47">(E64-D64)/D64</f>
        <v>8.8829848989251125E-4</v>
      </c>
      <c r="I64" s="262"/>
      <c r="W64" s="133">
        <v>42677</v>
      </c>
      <c r="X64" s="10">
        <v>42.06</v>
      </c>
      <c r="Y64" s="10">
        <v>42.57</v>
      </c>
      <c r="Z64" s="10">
        <v>41.77</v>
      </c>
      <c r="AA64" s="10">
        <v>41.92</v>
      </c>
      <c r="AB64" s="95">
        <v>8142800</v>
      </c>
      <c r="AC64" s="10">
        <v>41.73</v>
      </c>
      <c r="AD64" s="2">
        <f t="shared" si="0"/>
        <v>0.79999999999999716</v>
      </c>
      <c r="AE64" s="138">
        <f t="shared" si="1"/>
        <v>-2.3957834211796314E-4</v>
      </c>
    </row>
    <row r="65" spans="2:31" x14ac:dyDescent="0.25">
      <c r="B65" s="266">
        <v>42601</v>
      </c>
      <c r="C65" s="261">
        <v>400</v>
      </c>
      <c r="D65" s="262">
        <v>37.037100000000002</v>
      </c>
      <c r="E65" s="262">
        <v>36.770000000000003</v>
      </c>
      <c r="F65" s="262">
        <f t="shared" ref="F65" si="48">C65*(E65-D65)</f>
        <v>-106.83999999999969</v>
      </c>
      <c r="G65" s="262">
        <f t="shared" ref="G65" si="49">D65*C65</f>
        <v>14814.84</v>
      </c>
      <c r="H65" s="276">
        <f t="shared" ref="H65" si="50">(E65-D65)/D65</f>
        <v>-7.2116877401308208E-3</v>
      </c>
      <c r="I65" s="262"/>
      <c r="W65" s="133">
        <v>42676</v>
      </c>
      <c r="X65" s="10">
        <v>41.84</v>
      </c>
      <c r="Y65" s="10">
        <v>42.37</v>
      </c>
      <c r="Z65" s="10">
        <v>41.72</v>
      </c>
      <c r="AA65" s="10">
        <v>41.93</v>
      </c>
      <c r="AB65" s="95">
        <v>10361500</v>
      </c>
      <c r="AC65" s="10">
        <v>41.74</v>
      </c>
      <c r="AD65" s="2">
        <f t="shared" si="0"/>
        <v>0.64999999999999858</v>
      </c>
      <c r="AE65" s="138">
        <f t="shared" si="1"/>
        <v>1.1993283761095874E-3</v>
      </c>
    </row>
    <row r="66" spans="2:31" x14ac:dyDescent="0.25">
      <c r="B66" s="266">
        <v>42604</v>
      </c>
      <c r="C66" s="261">
        <v>400</v>
      </c>
      <c r="D66" s="262">
        <v>37.037100000000002</v>
      </c>
      <c r="E66" s="262">
        <v>36.61</v>
      </c>
      <c r="F66" s="262">
        <f t="shared" ref="F66" si="51">C66*(E66-D66)</f>
        <v>-170.84000000000117</v>
      </c>
      <c r="G66" s="262">
        <f t="shared" ref="G66" si="52">D66*C66</f>
        <v>14814.84</v>
      </c>
      <c r="H66" s="276">
        <f t="shared" ref="H66" si="53">(E66-D66)/D66</f>
        <v>-1.1531680396143405E-2</v>
      </c>
      <c r="I66" s="262"/>
      <c r="W66" s="133">
        <v>42675</v>
      </c>
      <c r="X66" s="10">
        <v>41.84</v>
      </c>
      <c r="Y66" s="10">
        <v>42.48</v>
      </c>
      <c r="Z66" s="10">
        <v>41.55</v>
      </c>
      <c r="AA66" s="10">
        <v>41.88</v>
      </c>
      <c r="AB66" s="95">
        <v>10889300</v>
      </c>
      <c r="AC66" s="10">
        <v>41.69</v>
      </c>
      <c r="AD66" s="2">
        <f t="shared" si="0"/>
        <v>0.92999999999999972</v>
      </c>
      <c r="AE66" s="138">
        <f t="shared" si="1"/>
        <v>2.6455026455025621E-3</v>
      </c>
    </row>
    <row r="67" spans="2:31" x14ac:dyDescent="0.25">
      <c r="B67" s="266">
        <v>42605</v>
      </c>
      <c r="C67" s="261">
        <v>400</v>
      </c>
      <c r="D67" s="262">
        <v>37.037100000000002</v>
      </c>
      <c r="E67" s="262">
        <v>36.69</v>
      </c>
      <c r="F67" s="262">
        <f t="shared" ref="F67" si="54">C67*(E67-D67)</f>
        <v>-138.84000000000185</v>
      </c>
      <c r="G67" s="262">
        <f t="shared" ref="G67" si="55">D67*C67</f>
        <v>14814.84</v>
      </c>
      <c r="H67" s="276">
        <f t="shared" ref="H67" si="56">(E67-D67)/D67</f>
        <v>-9.3716840681372093E-3</v>
      </c>
      <c r="I67" s="262"/>
      <c r="W67" s="133">
        <v>42674</v>
      </c>
      <c r="X67" s="10">
        <v>41.72</v>
      </c>
      <c r="Y67" s="10">
        <v>41.82</v>
      </c>
      <c r="Z67" s="10">
        <v>41.13</v>
      </c>
      <c r="AA67" s="10">
        <v>41.77</v>
      </c>
      <c r="AB67" s="95">
        <v>8697100</v>
      </c>
      <c r="AC67" s="10">
        <v>41.58</v>
      </c>
      <c r="AD67" s="2">
        <f>Y67-Z67</f>
        <v>0.68999999999999773</v>
      </c>
      <c r="AE67" s="138" t="e">
        <f>AC67/#REF!-1</f>
        <v>#REF!</v>
      </c>
    </row>
    <row r="68" spans="2:31" x14ac:dyDescent="0.25">
      <c r="B68" s="266">
        <v>42606</v>
      </c>
      <c r="C68" s="261">
        <v>400</v>
      </c>
      <c r="D68" s="262">
        <v>37.037100000000002</v>
      </c>
      <c r="E68" s="262">
        <v>36.770000000000003</v>
      </c>
      <c r="F68" s="262">
        <f t="shared" ref="F68" si="57">C68*(E68-D68)</f>
        <v>-106.83999999999969</v>
      </c>
      <c r="G68" s="262">
        <f t="shared" ref="G68" si="58">D68*C68</f>
        <v>14814.84</v>
      </c>
      <c r="H68" s="276">
        <f t="shared" ref="H68" si="59">(E68-D68)/D68</f>
        <v>-7.2116877401308208E-3</v>
      </c>
      <c r="I68" s="262"/>
      <c r="W68" s="133">
        <v>42671</v>
      </c>
      <c r="X68" s="10">
        <v>41.39</v>
      </c>
      <c r="Y68" s="10">
        <v>41.88</v>
      </c>
      <c r="Z68" s="10">
        <v>41</v>
      </c>
      <c r="AA68" s="10">
        <v>41.34</v>
      </c>
      <c r="AB68" s="95">
        <v>8474700</v>
      </c>
      <c r="AC68" s="10">
        <v>41.15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266">
        <v>42607</v>
      </c>
      <c r="C69" s="261">
        <v>400</v>
      </c>
      <c r="D69" s="262">
        <v>37.037100000000002</v>
      </c>
      <c r="E69" s="262">
        <v>36.47</v>
      </c>
      <c r="F69" s="262">
        <f t="shared" ref="F69" si="60">C69*(E69-D69)</f>
        <v>-226.8400000000014</v>
      </c>
      <c r="G69" s="262">
        <f t="shared" ref="G69" si="61">D69*C69</f>
        <v>14814.84</v>
      </c>
      <c r="H69" s="276">
        <f t="shared" ref="H69" si="62">(E69-D69)/D69</f>
        <v>-1.5311673970154344E-2</v>
      </c>
      <c r="I69" s="262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2:31" x14ac:dyDescent="0.25">
      <c r="B70" s="266">
        <v>42611</v>
      </c>
      <c r="C70" s="261">
        <v>400</v>
      </c>
      <c r="D70" s="262">
        <v>37.037100000000002</v>
      </c>
      <c r="E70" s="262">
        <v>36.549999999999997</v>
      </c>
      <c r="F70" s="262">
        <f t="shared" ref="F70" si="63">C70*(E70-D70)</f>
        <v>-194.84000000000208</v>
      </c>
      <c r="G70" s="262">
        <f t="shared" ref="G70" si="64">D70*C70</f>
        <v>14814.84</v>
      </c>
      <c r="H70" s="276">
        <f t="shared" ref="H70" si="65">(E70-D70)/D70</f>
        <v>-1.3151677642148148E-2</v>
      </c>
      <c r="I70" s="262"/>
    </row>
    <row r="71" spans="2:31" x14ac:dyDescent="0.25">
      <c r="B71" s="266">
        <v>42612</v>
      </c>
      <c r="C71" s="261">
        <v>400</v>
      </c>
      <c r="D71" s="262">
        <v>37.037100000000002</v>
      </c>
      <c r="E71" s="262">
        <v>37.159999999999997</v>
      </c>
      <c r="F71" s="262">
        <f t="shared" ref="F71" si="66">C71*(E71-D71)</f>
        <v>49.159999999997694</v>
      </c>
      <c r="G71" s="262">
        <f t="shared" ref="G71" si="67">D71*C71</f>
        <v>14814.84</v>
      </c>
      <c r="H71" s="276">
        <f t="shared" ref="H71" si="68">(E71-D71)/D71</f>
        <v>3.3182943588994339E-3</v>
      </c>
      <c r="I71" s="262"/>
    </row>
    <row r="72" spans="2:31" x14ac:dyDescent="0.25">
      <c r="B72" s="266">
        <v>42614</v>
      </c>
      <c r="C72" s="261">
        <v>400</v>
      </c>
      <c r="D72" s="262">
        <v>37.037100000000002</v>
      </c>
      <c r="E72" s="262">
        <v>36.82</v>
      </c>
      <c r="F72" s="262">
        <f t="shared" ref="F72" si="69">C72*(E72-D72)</f>
        <v>-86.840000000000828</v>
      </c>
      <c r="G72" s="262">
        <f t="shared" ref="G72" si="70">D72*C72</f>
        <v>14814.84</v>
      </c>
      <c r="H72" s="276">
        <f t="shared" ref="H72" si="71">(E72-D72)/D72</f>
        <v>-5.8616900351269961E-3</v>
      </c>
      <c r="I72" s="262"/>
    </row>
    <row r="73" spans="2:31" x14ac:dyDescent="0.25">
      <c r="B73" s="266">
        <v>42615</v>
      </c>
      <c r="C73" s="261">
        <v>400</v>
      </c>
      <c r="D73" s="262">
        <v>37.037100000000002</v>
      </c>
      <c r="E73" s="262">
        <v>37.17</v>
      </c>
      <c r="F73" s="262">
        <f t="shared" ref="F73:F74" si="72">C73*(E73-D73)</f>
        <v>53.159999999999741</v>
      </c>
      <c r="G73" s="262">
        <f t="shared" ref="G73:G74" si="73">D73*C73</f>
        <v>14814.84</v>
      </c>
      <c r="H73" s="276">
        <f t="shared" ref="H73:H74" si="74">(E73-D73)/D73</f>
        <v>3.5882938999003524E-3</v>
      </c>
      <c r="I73" s="262"/>
    </row>
    <row r="74" spans="2:31" x14ac:dyDescent="0.25">
      <c r="B74" s="266">
        <v>42615</v>
      </c>
      <c r="C74" s="261">
        <v>400</v>
      </c>
      <c r="D74" s="262">
        <v>36.834600000000002</v>
      </c>
      <c r="E74" s="262">
        <v>37.17</v>
      </c>
      <c r="F74" s="262">
        <f t="shared" si="72"/>
        <v>134.15999999999997</v>
      </c>
      <c r="G74" s="262">
        <f t="shared" si="73"/>
        <v>14733.84</v>
      </c>
      <c r="H74" s="276">
        <f t="shared" si="74"/>
        <v>9.1055692202440079E-3</v>
      </c>
      <c r="I74" s="262" t="s">
        <v>279</v>
      </c>
    </row>
    <row r="75" spans="2:31" x14ac:dyDescent="0.25">
      <c r="B75" s="266">
        <v>42619</v>
      </c>
      <c r="C75" s="261">
        <v>400</v>
      </c>
      <c r="D75" s="262">
        <v>36.834600000000002</v>
      </c>
      <c r="E75" s="262">
        <v>36.82</v>
      </c>
      <c r="F75" s="262">
        <f t="shared" ref="F75:F78" si="75">C75*(E75-D75)</f>
        <v>-5.8400000000006003</v>
      </c>
      <c r="G75" s="262">
        <f t="shared" ref="G75:G78" si="76">D75*C75</f>
        <v>14733.84</v>
      </c>
      <c r="H75" s="276">
        <f t="shared" ref="H75:H78" si="77">(E75-D75)/D75</f>
        <v>-3.9636645979599343E-4</v>
      </c>
      <c r="I75" s="262"/>
    </row>
    <row r="76" spans="2:31" x14ac:dyDescent="0.25">
      <c r="B76" s="266">
        <v>42620</v>
      </c>
      <c r="C76" s="261">
        <v>350</v>
      </c>
      <c r="D76" s="262">
        <v>36.642400000000002</v>
      </c>
      <c r="E76" s="262">
        <v>38.9</v>
      </c>
      <c r="F76" s="262">
        <f t="shared" si="75"/>
        <v>790.15999999999872</v>
      </c>
      <c r="G76" s="262">
        <f t="shared" si="76"/>
        <v>12824.84</v>
      </c>
      <c r="H76" s="276">
        <f t="shared" si="77"/>
        <v>6.1611684824138056E-2</v>
      </c>
      <c r="I76" s="262"/>
    </row>
    <row r="77" spans="2:31" x14ac:dyDescent="0.25">
      <c r="B77" s="266">
        <v>42620</v>
      </c>
      <c r="C77" s="261">
        <v>300</v>
      </c>
      <c r="D77" s="262">
        <v>36.269399999999997</v>
      </c>
      <c r="E77" s="262">
        <v>38.9</v>
      </c>
      <c r="F77" s="262">
        <f t="shared" si="75"/>
        <v>789.18000000000029</v>
      </c>
      <c r="G77" s="262">
        <f t="shared" si="76"/>
        <v>10880.82</v>
      </c>
      <c r="H77" s="276">
        <f t="shared" si="77"/>
        <v>7.2529460095838397E-2</v>
      </c>
      <c r="I77" s="262">
        <v>36</v>
      </c>
    </row>
    <row r="78" spans="2:31" x14ac:dyDescent="0.25">
      <c r="B78" s="266">
        <v>42620</v>
      </c>
      <c r="C78" s="261">
        <v>250</v>
      </c>
      <c r="D78" s="262">
        <v>35.705300000000001</v>
      </c>
      <c r="E78" s="262">
        <v>38.9</v>
      </c>
      <c r="F78" s="262">
        <f t="shared" si="75"/>
        <v>798.67499999999939</v>
      </c>
      <c r="G78" s="262">
        <f t="shared" si="76"/>
        <v>8926.3250000000007</v>
      </c>
      <c r="H78" s="276">
        <f t="shared" si="77"/>
        <v>8.9474111686500254E-2</v>
      </c>
      <c r="I78" s="262"/>
    </row>
    <row r="79" spans="2:31" x14ac:dyDescent="0.25">
      <c r="B79" s="266">
        <v>42622</v>
      </c>
      <c r="C79" s="261">
        <v>250</v>
      </c>
      <c r="D79" s="262">
        <v>35.705300000000001</v>
      </c>
      <c r="E79" s="262">
        <v>37.75</v>
      </c>
      <c r="F79" s="262">
        <f t="shared" ref="F79" si="78">C79*(E79-D79)</f>
        <v>511.17499999999973</v>
      </c>
      <c r="G79" s="262">
        <f t="shared" ref="G79" si="79">D79*C79</f>
        <v>8926.3250000000007</v>
      </c>
      <c r="H79" s="276">
        <f t="shared" ref="H79" si="80">(E79-D79)/D79</f>
        <v>5.7266008127644881E-2</v>
      </c>
      <c r="I79" s="262"/>
    </row>
    <row r="80" spans="2:31" x14ac:dyDescent="0.25">
      <c r="B80" s="266">
        <v>42625</v>
      </c>
      <c r="C80" s="261">
        <v>250</v>
      </c>
      <c r="D80" s="262">
        <v>35.705300000000001</v>
      </c>
      <c r="E80" s="262">
        <v>38.44</v>
      </c>
      <c r="F80" s="262">
        <f t="shared" ref="F80" si="81">C80*(E80-D80)</f>
        <v>683.67499999999916</v>
      </c>
      <c r="G80" s="262">
        <f t="shared" ref="G80" si="82">D80*C80</f>
        <v>8926.3250000000007</v>
      </c>
      <c r="H80" s="276">
        <f t="shared" ref="H80" si="83">(E80-D80)/D80</f>
        <v>7.6590870262958063E-2</v>
      </c>
      <c r="I80" s="262"/>
    </row>
    <row r="81" spans="2:9" x14ac:dyDescent="0.25">
      <c r="B81" s="266">
        <v>42627</v>
      </c>
      <c r="C81" s="261">
        <v>250</v>
      </c>
      <c r="D81" s="262">
        <v>35.705300000000001</v>
      </c>
      <c r="E81" s="262">
        <v>37.119999999999997</v>
      </c>
      <c r="F81" s="262">
        <f t="shared" ref="F81" si="84">C81*(E81-D81)</f>
        <v>353.67499999999905</v>
      </c>
      <c r="G81" s="262">
        <f t="shared" ref="G81" si="85">D81*C81</f>
        <v>8926.3250000000007</v>
      </c>
      <c r="H81" s="276">
        <f t="shared" ref="H81" si="86">(E81-D81)/D81</f>
        <v>3.9621568786706633E-2</v>
      </c>
      <c r="I81" s="262"/>
    </row>
    <row r="82" spans="2:9" x14ac:dyDescent="0.25">
      <c r="B82" s="266">
        <v>42629</v>
      </c>
      <c r="C82" s="261">
        <v>250</v>
      </c>
      <c r="D82" s="262">
        <v>35.705300000000001</v>
      </c>
      <c r="E82" s="262">
        <v>36.770000000000003</v>
      </c>
      <c r="F82" s="262">
        <f t="shared" ref="F82" si="87">C82*(E82-D82)</f>
        <v>266.17500000000052</v>
      </c>
      <c r="G82" s="262">
        <f t="shared" ref="G82" si="88">D82*C82</f>
        <v>8926.3250000000007</v>
      </c>
      <c r="H82" s="276">
        <f t="shared" ref="H82" si="89">(E82-D82)/D82</f>
        <v>2.9819102486185578E-2</v>
      </c>
      <c r="I82" s="262"/>
    </row>
    <row r="83" spans="2:9" x14ac:dyDescent="0.25">
      <c r="B83" s="266">
        <v>42632</v>
      </c>
      <c r="C83" s="261">
        <v>250</v>
      </c>
      <c r="D83" s="262">
        <v>35.705300000000001</v>
      </c>
      <c r="E83" s="262">
        <v>37.57</v>
      </c>
      <c r="F83" s="262">
        <f t="shared" ref="F83" si="90">C83*(E83-D83)</f>
        <v>466.17499999999978</v>
      </c>
      <c r="G83" s="262">
        <f t="shared" ref="G83" si="91">D83*C83</f>
        <v>8926.3250000000007</v>
      </c>
      <c r="H83" s="276">
        <f t="shared" ref="H83" si="92">(E83-D83)/D83</f>
        <v>5.2224739744519695E-2</v>
      </c>
      <c r="I83" s="262"/>
    </row>
    <row r="84" spans="2:9" x14ac:dyDescent="0.25">
      <c r="B84" s="266">
        <v>42633</v>
      </c>
      <c r="C84" s="261">
        <v>250</v>
      </c>
      <c r="D84" s="262">
        <v>35.705300000000001</v>
      </c>
      <c r="E84" s="262">
        <v>38.049999999999997</v>
      </c>
      <c r="F84" s="262">
        <f t="shared" ref="F84" si="93">C84*(E84-D84)</f>
        <v>586.17499999999905</v>
      </c>
      <c r="G84" s="262">
        <f t="shared" ref="G84" si="94">D84*C84</f>
        <v>8926.3250000000007</v>
      </c>
      <c r="H84" s="276">
        <f t="shared" ref="H84" si="95">(E84-D84)/D84</f>
        <v>6.5668122099520124E-2</v>
      </c>
      <c r="I84" s="262"/>
    </row>
    <row r="85" spans="2:9" x14ac:dyDescent="0.25">
      <c r="B85" s="266">
        <v>42635</v>
      </c>
      <c r="C85" s="261">
        <v>250</v>
      </c>
      <c r="D85" s="262">
        <v>35.705300000000001</v>
      </c>
      <c r="E85" s="262">
        <v>38.5</v>
      </c>
      <c r="F85" s="262">
        <f t="shared" ref="F85" si="96">C85*(E85-D85)</f>
        <v>698.67499999999973</v>
      </c>
      <c r="G85" s="262">
        <f t="shared" ref="G85" si="97">D85*C85</f>
        <v>8926.3250000000007</v>
      </c>
      <c r="H85" s="276">
        <f t="shared" ref="H85" si="98">(E85-D85)/D85</f>
        <v>7.8271293057333186E-2</v>
      </c>
      <c r="I85" s="262"/>
    </row>
    <row r="86" spans="2:9" x14ac:dyDescent="0.25">
      <c r="B86" s="266">
        <v>42636</v>
      </c>
      <c r="C86" s="261">
        <v>250</v>
      </c>
      <c r="D86" s="262">
        <v>35.705300000000001</v>
      </c>
      <c r="E86" s="262">
        <v>38.78</v>
      </c>
      <c r="F86" s="262">
        <f t="shared" ref="F86" si="99">C86*(E86-D86)</f>
        <v>768.67499999999995</v>
      </c>
      <c r="G86" s="262">
        <f t="shared" ref="G86" si="100">D86*C86</f>
        <v>8926.3250000000007</v>
      </c>
      <c r="H86" s="276">
        <f t="shared" ref="H86" si="101">(E86-D86)/D86</f>
        <v>8.6113266097750191E-2</v>
      </c>
      <c r="I86" s="262"/>
    </row>
    <row r="87" spans="2:9" x14ac:dyDescent="0.25">
      <c r="B87" s="266">
        <v>42639</v>
      </c>
      <c r="C87" s="261">
        <v>250</v>
      </c>
      <c r="D87" s="262">
        <v>35.705300000000001</v>
      </c>
      <c r="E87" s="262">
        <v>38.04</v>
      </c>
      <c r="F87" s="262">
        <f t="shared" ref="F87" si="102">C87*(E87-D87)</f>
        <v>583.6749999999995</v>
      </c>
      <c r="G87" s="262">
        <f t="shared" ref="G87" si="103">D87*C87</f>
        <v>8926.3250000000007</v>
      </c>
      <c r="H87" s="276">
        <f t="shared" ref="H87" si="104">(E87-D87)/D87</f>
        <v>6.5388051633791008E-2</v>
      </c>
      <c r="I87" s="262"/>
    </row>
    <row r="88" spans="2:9" x14ac:dyDescent="0.25">
      <c r="B88" s="266">
        <v>42640</v>
      </c>
      <c r="C88" s="261">
        <v>250</v>
      </c>
      <c r="D88" s="262">
        <v>35.705300000000001</v>
      </c>
      <c r="E88" s="262">
        <v>39.21</v>
      </c>
      <c r="F88" s="262">
        <f t="shared" ref="F88" si="105">C88*(E88-D88)</f>
        <v>876.17499999999995</v>
      </c>
      <c r="G88" s="262">
        <f t="shared" ref="G88" si="106">D88*C88</f>
        <v>8926.3250000000007</v>
      </c>
      <c r="H88" s="276">
        <f t="shared" ref="H88" si="107">(E88-D88)/D88</f>
        <v>9.8156296124104814E-2</v>
      </c>
      <c r="I88" s="262"/>
    </row>
    <row r="89" spans="2:9" x14ac:dyDescent="0.25">
      <c r="B89" s="266">
        <v>42641</v>
      </c>
      <c r="C89" s="261">
        <v>0</v>
      </c>
      <c r="D89" s="262"/>
      <c r="E89" s="262"/>
      <c r="F89" s="262">
        <v>993.45</v>
      </c>
      <c r="G89" s="262"/>
      <c r="H89" s="276"/>
      <c r="I89" s="262"/>
    </row>
    <row r="90" spans="2:9" x14ac:dyDescent="0.25">
      <c r="B90" s="193"/>
      <c r="C90" s="10"/>
      <c r="D90" s="40"/>
      <c r="E90" s="40"/>
      <c r="F90" s="40"/>
      <c r="G90" s="40"/>
      <c r="H90" s="231"/>
      <c r="I90" s="40"/>
    </row>
    <row r="91" spans="2:9" x14ac:dyDescent="0.25">
      <c r="B91" s="193"/>
      <c r="C91" s="10"/>
      <c r="D91" s="40"/>
      <c r="E91" s="40"/>
      <c r="F91" s="40"/>
      <c r="G91" s="40"/>
      <c r="H91" s="231"/>
      <c r="I91" s="40"/>
    </row>
    <row r="92" spans="2:9" x14ac:dyDescent="0.25">
      <c r="B92" s="544"/>
      <c r="C92" s="191"/>
      <c r="D92" s="192"/>
      <c r="E92" s="192"/>
      <c r="F92" s="192"/>
      <c r="G92" s="192"/>
      <c r="H92" s="545"/>
      <c r="I92" s="192"/>
    </row>
    <row r="93" spans="2:9" x14ac:dyDescent="0.25">
      <c r="B93" s="193"/>
      <c r="C93" s="10"/>
      <c r="D93" s="40"/>
      <c r="E93" s="40"/>
      <c r="F93" s="40"/>
      <c r="G93" s="40"/>
      <c r="H93" s="231"/>
      <c r="I93" s="40"/>
    </row>
    <row r="94" spans="2:9" x14ac:dyDescent="0.25">
      <c r="B94" s="193"/>
      <c r="C94" s="10"/>
      <c r="D94" s="40"/>
      <c r="E94" s="40"/>
      <c r="F94" s="40"/>
      <c r="G94" s="40"/>
      <c r="H94" s="231"/>
      <c r="I94" s="40"/>
    </row>
    <row r="95" spans="2:9" x14ac:dyDescent="0.25">
      <c r="B95" s="193"/>
      <c r="C95" s="10"/>
      <c r="D95" s="40"/>
      <c r="E95" s="40"/>
      <c r="F95" s="40"/>
      <c r="G95" s="40"/>
      <c r="H95" s="231"/>
      <c r="I95" s="40"/>
    </row>
    <row r="96" spans="2:9" x14ac:dyDescent="0.25">
      <c r="B96" s="193"/>
      <c r="C96" s="10"/>
      <c r="D96" s="40"/>
      <c r="E96" s="40"/>
      <c r="F96" s="40"/>
      <c r="G96" s="40"/>
      <c r="H96" s="231"/>
      <c r="I96" s="40"/>
    </row>
    <row r="97" spans="1:13" x14ac:dyDescent="0.25">
      <c r="B97" s="193"/>
      <c r="C97" s="10"/>
      <c r="D97" s="40"/>
      <c r="E97" s="40"/>
      <c r="F97" s="40"/>
      <c r="G97" s="40"/>
      <c r="H97" s="231"/>
      <c r="I97" s="40"/>
    </row>
    <row r="98" spans="1:13" x14ac:dyDescent="0.25">
      <c r="B98" s="193"/>
      <c r="C98" s="10"/>
      <c r="D98" s="40"/>
      <c r="E98" s="40"/>
      <c r="F98" s="40"/>
      <c r="G98" s="40"/>
      <c r="H98" s="231"/>
      <c r="I98" s="40"/>
    </row>
    <row r="99" spans="1:13" x14ac:dyDescent="0.25">
      <c r="B99" s="193"/>
      <c r="C99" s="10"/>
      <c r="D99" s="40"/>
      <c r="E99" s="40"/>
      <c r="F99" s="40"/>
      <c r="G99" s="40"/>
      <c r="H99" s="231"/>
      <c r="I99" s="40"/>
    </row>
    <row r="100" spans="1:13" x14ac:dyDescent="0.25">
      <c r="B100" s="193"/>
      <c r="C100" s="10"/>
      <c r="D100" s="40"/>
      <c r="E100" s="40"/>
      <c r="F100" s="40"/>
      <c r="G100" s="40"/>
      <c r="H100" s="231"/>
      <c r="I100" s="40"/>
    </row>
    <row r="101" spans="1:13" x14ac:dyDescent="0.25">
      <c r="B101" s="193"/>
      <c r="C101" s="10"/>
      <c r="D101" s="40"/>
      <c r="E101" s="40"/>
      <c r="F101" s="40"/>
      <c r="G101" s="40"/>
      <c r="H101" s="231"/>
      <c r="I101" s="40"/>
    </row>
    <row r="102" spans="1:13" x14ac:dyDescent="0.25">
      <c r="B102" s="193"/>
      <c r="C102" s="10"/>
      <c r="D102" s="40"/>
      <c r="E102" s="40"/>
      <c r="F102" s="40"/>
      <c r="G102" s="40"/>
      <c r="H102" s="231"/>
      <c r="I102" s="40"/>
    </row>
    <row r="104" spans="1:13" x14ac:dyDescent="0.25">
      <c r="L104" t="s">
        <v>213</v>
      </c>
      <c r="M104" s="455">
        <f>M122+K122-F122</f>
        <v>205.01999999999998</v>
      </c>
    </row>
    <row r="105" spans="1:13" x14ac:dyDescent="0.25">
      <c r="A105" s="263" t="s">
        <v>1</v>
      </c>
      <c r="B105" s="263" t="s">
        <v>2</v>
      </c>
      <c r="C105" s="263" t="s">
        <v>4</v>
      </c>
      <c r="D105" s="264" t="s">
        <v>5</v>
      </c>
      <c r="E105" s="264" t="s">
        <v>94</v>
      </c>
      <c r="F105" s="264" t="s">
        <v>60</v>
      </c>
      <c r="G105" s="263" t="s">
        <v>3</v>
      </c>
      <c r="H105" s="263" t="s">
        <v>6</v>
      </c>
      <c r="I105" s="264" t="s">
        <v>7</v>
      </c>
      <c r="J105" s="264" t="s">
        <v>95</v>
      </c>
      <c r="K105" s="264" t="s">
        <v>61</v>
      </c>
      <c r="L105" s="263" t="s">
        <v>37</v>
      </c>
      <c r="M105" s="263" t="s">
        <v>38</v>
      </c>
    </row>
    <row r="106" spans="1:13" x14ac:dyDescent="0.25">
      <c r="A106" s="265" t="s">
        <v>32</v>
      </c>
      <c r="B106" s="266">
        <v>42405</v>
      </c>
      <c r="C106" s="261">
        <v>30</v>
      </c>
      <c r="D106" s="262">
        <v>41.95</v>
      </c>
      <c r="E106" s="262">
        <v>0</v>
      </c>
      <c r="F106" s="262">
        <f t="shared" ref="F106" si="108">D106*C106+E106</f>
        <v>1258.5</v>
      </c>
      <c r="G106" s="266">
        <v>42445</v>
      </c>
      <c r="H106" s="267">
        <v>30</v>
      </c>
      <c r="I106" s="262">
        <v>48.65</v>
      </c>
      <c r="J106" s="262">
        <v>0.03</v>
      </c>
      <c r="K106" s="262">
        <f>H106*I106-J106</f>
        <v>1459.47</v>
      </c>
      <c r="L106" s="266">
        <v>42438</v>
      </c>
      <c r="M106" s="261">
        <v>4.05</v>
      </c>
    </row>
    <row r="107" spans="1:13" x14ac:dyDescent="0.25">
      <c r="A107" s="268" t="s">
        <v>71</v>
      </c>
      <c r="B107" s="266"/>
      <c r="C107" s="261"/>
      <c r="D107" s="262"/>
      <c r="E107" s="262"/>
      <c r="F107" s="262"/>
      <c r="G107" s="266"/>
      <c r="H107" s="267"/>
      <c r="I107" s="262"/>
      <c r="J107" s="262"/>
      <c r="K107" s="262"/>
      <c r="L107" s="266"/>
      <c r="M107" s="262"/>
    </row>
    <row r="108" spans="1:13" x14ac:dyDescent="0.25">
      <c r="A108" s="261"/>
      <c r="B108" s="266"/>
      <c r="C108" s="261"/>
      <c r="D108" s="262"/>
      <c r="E108" s="262"/>
      <c r="F108" s="262"/>
      <c r="G108" s="266"/>
      <c r="H108" s="267"/>
      <c r="I108" s="262"/>
      <c r="J108" s="262"/>
      <c r="K108" s="262"/>
      <c r="L108" s="261"/>
      <c r="M108" s="261"/>
    </row>
    <row r="109" spans="1:13" x14ac:dyDescent="0.25">
      <c r="A109" s="261"/>
      <c r="B109" s="266"/>
      <c r="C109" s="261"/>
      <c r="D109" s="262"/>
      <c r="E109" s="262"/>
      <c r="F109" s="262"/>
      <c r="G109" s="266"/>
      <c r="H109" s="267"/>
      <c r="I109" s="262"/>
      <c r="J109" s="262"/>
      <c r="K109" s="262"/>
      <c r="L109" s="261"/>
      <c r="M109" s="261"/>
    </row>
    <row r="110" spans="1:13" x14ac:dyDescent="0.25">
      <c r="A110" s="261"/>
      <c r="B110" s="266"/>
      <c r="C110" s="261"/>
      <c r="D110" s="262"/>
      <c r="E110" s="262"/>
      <c r="F110" s="262"/>
      <c r="G110" s="261"/>
      <c r="H110" s="267"/>
      <c r="I110" s="262"/>
      <c r="J110" s="262"/>
      <c r="K110" s="262"/>
      <c r="L110" s="261"/>
      <c r="M110" s="261"/>
    </row>
    <row r="111" spans="1:13" x14ac:dyDescent="0.25">
      <c r="A111" s="261"/>
      <c r="B111" s="266"/>
      <c r="C111" s="261"/>
      <c r="D111" s="262"/>
      <c r="E111" s="262"/>
      <c r="F111" s="262"/>
      <c r="G111" s="261"/>
      <c r="H111" s="267"/>
      <c r="I111" s="262"/>
      <c r="J111" s="262"/>
      <c r="K111" s="262"/>
      <c r="L111" s="261"/>
      <c r="M111" s="261"/>
    </row>
    <row r="112" spans="1:13" x14ac:dyDescent="0.25">
      <c r="A112" s="261"/>
      <c r="B112" s="266"/>
      <c r="C112" s="261"/>
      <c r="D112" s="262"/>
      <c r="E112" s="262"/>
      <c r="F112" s="262"/>
      <c r="G112" s="261"/>
      <c r="H112" s="267"/>
      <c r="I112" s="262"/>
      <c r="J112" s="262"/>
      <c r="K112" s="262"/>
      <c r="L112" s="261"/>
      <c r="M112" s="261"/>
    </row>
    <row r="113" spans="1:13" x14ac:dyDescent="0.25">
      <c r="A113" s="261"/>
      <c r="B113" s="266"/>
      <c r="C113" s="261"/>
      <c r="D113" s="262"/>
      <c r="E113" s="262"/>
      <c r="F113" s="262"/>
      <c r="G113" s="261"/>
      <c r="H113" s="267"/>
      <c r="I113" s="262"/>
      <c r="J113" s="262"/>
      <c r="K113" s="262"/>
      <c r="L113" s="261"/>
      <c r="M113" s="261"/>
    </row>
    <row r="114" spans="1:13" x14ac:dyDescent="0.25">
      <c r="A114" s="261"/>
      <c r="B114" s="261"/>
      <c r="C114" s="261"/>
      <c r="D114" s="262"/>
      <c r="E114" s="262"/>
      <c r="F114" s="262"/>
      <c r="G114" s="261"/>
      <c r="H114" s="261"/>
      <c r="I114" s="262"/>
      <c r="J114" s="262"/>
      <c r="K114" s="262"/>
      <c r="L114" s="261"/>
      <c r="M114" s="261"/>
    </row>
    <row r="115" spans="1:13" x14ac:dyDescent="0.25">
      <c r="A115" s="261"/>
      <c r="B115" s="261"/>
      <c r="C115" s="261"/>
      <c r="D115" s="262"/>
      <c r="E115" s="262"/>
      <c r="F115" s="262"/>
      <c r="G115" s="261"/>
      <c r="H115" s="261"/>
      <c r="I115" s="262"/>
      <c r="J115" s="262"/>
      <c r="K115" s="262"/>
      <c r="L115" s="261"/>
      <c r="M115" s="261"/>
    </row>
    <row r="116" spans="1:13" x14ac:dyDescent="0.25">
      <c r="A116" s="261"/>
      <c r="B116" s="261"/>
      <c r="C116" s="261"/>
      <c r="D116" s="262"/>
      <c r="E116" s="262"/>
      <c r="F116" s="262"/>
      <c r="G116" s="261"/>
      <c r="H116" s="261"/>
      <c r="I116" s="262"/>
      <c r="J116" s="262"/>
      <c r="K116" s="262"/>
      <c r="L116" s="261"/>
      <c r="M116" s="261"/>
    </row>
    <row r="117" spans="1:13" x14ac:dyDescent="0.25">
      <c r="A117" s="261"/>
      <c r="B117" s="261"/>
      <c r="C117" s="261"/>
      <c r="D117" s="262"/>
      <c r="E117" s="262"/>
      <c r="F117" s="262"/>
      <c r="G117" s="261"/>
      <c r="H117" s="261"/>
      <c r="I117" s="262"/>
      <c r="J117" s="262"/>
      <c r="K117" s="262"/>
      <c r="L117" s="261"/>
      <c r="M117" s="261"/>
    </row>
    <row r="118" spans="1:13" x14ac:dyDescent="0.25">
      <c r="A118" s="261"/>
      <c r="B118" s="261"/>
      <c r="C118" s="261"/>
      <c r="D118" s="262"/>
      <c r="E118" s="262"/>
      <c r="F118" s="262"/>
      <c r="G118" s="261"/>
      <c r="H118" s="261"/>
      <c r="I118" s="262"/>
      <c r="J118" s="262"/>
      <c r="K118" s="262"/>
      <c r="L118" s="261"/>
      <c r="M118" s="261"/>
    </row>
    <row r="119" spans="1:13" x14ac:dyDescent="0.25">
      <c r="A119" s="261"/>
      <c r="B119" s="261"/>
      <c r="C119" s="261"/>
      <c r="D119" s="262"/>
      <c r="E119" s="262"/>
      <c r="F119" s="262"/>
      <c r="G119" s="261"/>
      <c r="H119" s="261"/>
      <c r="I119" s="262"/>
      <c r="J119" s="262"/>
      <c r="K119" s="262"/>
      <c r="L119" s="261"/>
      <c r="M119" s="261"/>
    </row>
    <row r="120" spans="1:13" x14ac:dyDescent="0.25">
      <c r="A120" s="261"/>
      <c r="B120" s="261"/>
      <c r="C120" s="261"/>
      <c r="D120" s="262"/>
      <c r="E120" s="262"/>
      <c r="F120" s="262"/>
      <c r="G120" s="261"/>
      <c r="H120" s="261"/>
      <c r="I120" s="262"/>
      <c r="J120" s="262"/>
      <c r="K120" s="262"/>
      <c r="L120" s="261"/>
      <c r="M120" s="261"/>
    </row>
    <row r="121" spans="1:13" x14ac:dyDescent="0.25">
      <c r="A121" s="261"/>
      <c r="B121" s="261"/>
      <c r="C121" s="261"/>
      <c r="D121" s="262"/>
      <c r="E121" s="262"/>
      <c r="F121" s="262"/>
      <c r="G121" s="261"/>
      <c r="H121" s="267"/>
      <c r="I121" s="262"/>
      <c r="J121" s="262"/>
      <c r="K121" s="262"/>
      <c r="L121" s="261"/>
      <c r="M121" s="261"/>
    </row>
    <row r="122" spans="1:13" x14ac:dyDescent="0.25">
      <c r="A122" s="32" t="s">
        <v>81</v>
      </c>
      <c r="B122" s="14"/>
      <c r="C122" s="14">
        <f>SUM(C106:C114)</f>
        <v>30</v>
      </c>
      <c r="D122" s="18"/>
      <c r="E122" s="18"/>
      <c r="F122" s="18">
        <f>SUM(F106:F114)</f>
        <v>1258.5</v>
      </c>
      <c r="G122" s="14"/>
      <c r="H122" s="73">
        <f>SUM(H106:H110)</f>
        <v>30</v>
      </c>
      <c r="I122" s="18"/>
      <c r="J122" s="18"/>
      <c r="K122" s="18">
        <f>SUM(K106:K110)</f>
        <v>1459.47</v>
      </c>
      <c r="L122" s="14"/>
      <c r="M122" s="18">
        <f>SUM(M106:M121)</f>
        <v>4.05</v>
      </c>
    </row>
    <row r="126" spans="1:13" x14ac:dyDescent="0.25">
      <c r="L126" t="s">
        <v>65</v>
      </c>
      <c r="M126" s="455">
        <f>M155+K155-F155</f>
        <v>993.44999999999709</v>
      </c>
    </row>
    <row r="127" spans="1:13" x14ac:dyDescent="0.25">
      <c r="A127" s="263" t="s">
        <v>1</v>
      </c>
      <c r="B127" s="263" t="s">
        <v>2</v>
      </c>
      <c r="C127" s="263" t="s">
        <v>4</v>
      </c>
      <c r="D127" s="264" t="s">
        <v>5</v>
      </c>
      <c r="E127" s="264" t="s">
        <v>94</v>
      </c>
      <c r="F127" s="264" t="s">
        <v>60</v>
      </c>
      <c r="G127" s="263" t="s">
        <v>3</v>
      </c>
      <c r="H127" s="263" t="s">
        <v>6</v>
      </c>
      <c r="I127" s="264" t="s">
        <v>7</v>
      </c>
      <c r="J127" s="264" t="s">
        <v>95</v>
      </c>
      <c r="K127" s="264" t="s">
        <v>61</v>
      </c>
      <c r="L127" s="263" t="s">
        <v>37</v>
      </c>
      <c r="M127" s="263" t="s">
        <v>38</v>
      </c>
    </row>
    <row r="128" spans="1:13" x14ac:dyDescent="0.25">
      <c r="A128" s="265" t="s">
        <v>32</v>
      </c>
      <c r="B128" s="266">
        <v>42467</v>
      </c>
      <c r="C128" s="261">
        <v>50</v>
      </c>
      <c r="D128" s="262">
        <v>45.5</v>
      </c>
      <c r="E128" s="262">
        <v>0</v>
      </c>
      <c r="F128" s="262">
        <f t="shared" ref="F128:F139" si="109">D128*C128+E128</f>
        <v>2275</v>
      </c>
      <c r="G128" s="261"/>
      <c r="H128" s="261"/>
      <c r="I128" s="262"/>
      <c r="J128" s="262"/>
      <c r="K128" s="262"/>
      <c r="L128" s="266">
        <v>42522</v>
      </c>
      <c r="M128" s="262">
        <v>33.75</v>
      </c>
    </row>
    <row r="129" spans="1:13" x14ac:dyDescent="0.25">
      <c r="A129" s="268" t="s">
        <v>71</v>
      </c>
      <c r="B129" s="266">
        <v>42482</v>
      </c>
      <c r="C129" s="261">
        <v>50</v>
      </c>
      <c r="D129" s="262">
        <v>43.65</v>
      </c>
      <c r="E129" s="262">
        <v>0</v>
      </c>
      <c r="F129" s="262">
        <f t="shared" si="109"/>
        <v>2182.5</v>
      </c>
      <c r="G129" s="266">
        <v>42507</v>
      </c>
      <c r="H129" s="267">
        <v>100</v>
      </c>
      <c r="I129" s="262">
        <v>43.59</v>
      </c>
      <c r="J129" s="262">
        <v>0.1</v>
      </c>
      <c r="K129" s="262">
        <f>H129*I129-J129</f>
        <v>4358.8999999999996</v>
      </c>
      <c r="L129" s="266">
        <v>42615</v>
      </c>
      <c r="M129" s="262">
        <v>81</v>
      </c>
    </row>
    <row r="130" spans="1:13" x14ac:dyDescent="0.25">
      <c r="A130" s="261"/>
      <c r="B130" s="266">
        <v>42486</v>
      </c>
      <c r="C130" s="261">
        <v>50</v>
      </c>
      <c r="D130" s="262">
        <v>43.25</v>
      </c>
      <c r="E130" s="262">
        <v>0</v>
      </c>
      <c r="F130" s="262">
        <f t="shared" si="109"/>
        <v>2162.5</v>
      </c>
      <c r="G130" s="266">
        <v>42509</v>
      </c>
      <c r="H130" s="267">
        <v>50</v>
      </c>
      <c r="I130" s="262">
        <v>43.12</v>
      </c>
      <c r="J130" s="262">
        <v>0.05</v>
      </c>
      <c r="K130" s="262">
        <f>H130*I130-J130</f>
        <v>2155.9499999999998</v>
      </c>
      <c r="L130" s="261"/>
      <c r="M130" s="261"/>
    </row>
    <row r="131" spans="1:13" x14ac:dyDescent="0.25">
      <c r="A131" s="261"/>
      <c r="B131" s="266">
        <v>42489</v>
      </c>
      <c r="C131" s="261">
        <v>50</v>
      </c>
      <c r="D131" s="262">
        <v>41.95</v>
      </c>
      <c r="E131" s="262">
        <v>0</v>
      </c>
      <c r="F131" s="262">
        <f t="shared" si="109"/>
        <v>2097.5</v>
      </c>
      <c r="G131" s="266">
        <v>42515</v>
      </c>
      <c r="H131" s="267">
        <v>50</v>
      </c>
      <c r="I131" s="262">
        <v>43.96</v>
      </c>
      <c r="J131" s="262">
        <v>0.05</v>
      </c>
      <c r="K131" s="262">
        <f>H131*I131-J131</f>
        <v>2197.9499999999998</v>
      </c>
      <c r="L131" s="261"/>
      <c r="M131" s="261"/>
    </row>
    <row r="132" spans="1:13" x14ac:dyDescent="0.25">
      <c r="A132" s="261"/>
      <c r="B132" s="266">
        <v>42489</v>
      </c>
      <c r="C132" s="261">
        <v>50</v>
      </c>
      <c r="D132" s="262">
        <v>41.39</v>
      </c>
      <c r="E132" s="262">
        <v>0</v>
      </c>
      <c r="F132" s="262">
        <f t="shared" si="109"/>
        <v>2069.5</v>
      </c>
      <c r="G132" s="261"/>
      <c r="H132" s="261"/>
      <c r="I132" s="262"/>
      <c r="J132" s="262"/>
      <c r="K132" s="262"/>
      <c r="L132" s="261"/>
      <c r="M132" s="261"/>
    </row>
    <row r="133" spans="1:13" x14ac:dyDescent="0.25">
      <c r="A133" s="261"/>
      <c r="B133" s="266">
        <v>42509</v>
      </c>
      <c r="C133" s="261">
        <v>50</v>
      </c>
      <c r="D133" s="262">
        <v>42.59</v>
      </c>
      <c r="E133" s="262">
        <v>0</v>
      </c>
      <c r="F133" s="262">
        <f t="shared" si="109"/>
        <v>2129.5</v>
      </c>
      <c r="G133" s="266">
        <v>42545</v>
      </c>
      <c r="H133" s="267">
        <v>100</v>
      </c>
      <c r="I133" s="262">
        <v>37.01</v>
      </c>
      <c r="J133" s="262">
        <v>0.57999999999999996</v>
      </c>
      <c r="K133" s="262">
        <f>H133*I133-J133</f>
        <v>3700.42</v>
      </c>
      <c r="L133" s="261"/>
      <c r="M133" s="261"/>
    </row>
    <row r="134" spans="1:13" x14ac:dyDescent="0.25">
      <c r="A134" s="261"/>
      <c r="B134" s="266">
        <v>42509</v>
      </c>
      <c r="C134" s="261">
        <v>50</v>
      </c>
      <c r="D134" s="262">
        <v>42.59</v>
      </c>
      <c r="E134" s="262">
        <v>0</v>
      </c>
      <c r="F134" s="262">
        <f t="shared" si="109"/>
        <v>2129.5</v>
      </c>
      <c r="G134" s="266">
        <v>42563</v>
      </c>
      <c r="H134" s="267">
        <v>100</v>
      </c>
      <c r="I134" s="262">
        <v>39.340000000000003</v>
      </c>
      <c r="J134" s="262">
        <v>0.09</v>
      </c>
      <c r="K134" s="262">
        <f>H134*I134-J134</f>
        <v>3933.9100000000003</v>
      </c>
      <c r="L134" s="261"/>
      <c r="M134" s="261"/>
    </row>
    <row r="135" spans="1:13" x14ac:dyDescent="0.25">
      <c r="A135" s="261"/>
      <c r="B135" s="266">
        <v>42515</v>
      </c>
      <c r="C135" s="261">
        <v>50</v>
      </c>
      <c r="D135" s="262">
        <v>43.45</v>
      </c>
      <c r="E135" s="262">
        <v>0</v>
      </c>
      <c r="F135" s="262">
        <f t="shared" si="109"/>
        <v>2172.5</v>
      </c>
      <c r="G135" s="542"/>
      <c r="H135" s="261"/>
      <c r="I135" s="262"/>
      <c r="J135" s="262"/>
      <c r="K135" s="262"/>
      <c r="L135" s="261"/>
      <c r="M135" s="261"/>
    </row>
    <row r="136" spans="1:13" x14ac:dyDescent="0.25">
      <c r="A136" s="261"/>
      <c r="B136" s="266">
        <v>42535</v>
      </c>
      <c r="C136" s="261">
        <v>100</v>
      </c>
      <c r="D136" s="262">
        <v>39.85</v>
      </c>
      <c r="E136" s="262">
        <v>0</v>
      </c>
      <c r="F136" s="262">
        <f t="shared" si="109"/>
        <v>3985</v>
      </c>
      <c r="G136" s="266">
        <v>42566</v>
      </c>
      <c r="H136" s="411">
        <v>100</v>
      </c>
      <c r="I136" s="370">
        <v>40.479999999999997</v>
      </c>
      <c r="J136" s="370">
        <v>0.09</v>
      </c>
      <c r="K136" s="370">
        <f t="shared" ref="K136:K142" si="110">H136*I136-J136</f>
        <v>4047.9099999999994</v>
      </c>
      <c r="L136" s="261"/>
      <c r="M136" s="261"/>
    </row>
    <row r="137" spans="1:13" x14ac:dyDescent="0.25">
      <c r="A137" s="261"/>
      <c r="B137" s="266">
        <v>42537</v>
      </c>
      <c r="C137" s="261">
        <v>100</v>
      </c>
      <c r="D137" s="262">
        <v>37.85</v>
      </c>
      <c r="E137" s="262">
        <v>0</v>
      </c>
      <c r="F137" s="262">
        <f t="shared" si="109"/>
        <v>3785</v>
      </c>
      <c r="G137" s="266">
        <v>42571</v>
      </c>
      <c r="H137" s="267">
        <v>100</v>
      </c>
      <c r="I137" s="262">
        <v>41.08</v>
      </c>
      <c r="J137" s="262">
        <v>0.09</v>
      </c>
      <c r="K137" s="370">
        <f t="shared" si="110"/>
        <v>4107.91</v>
      </c>
      <c r="L137" s="261"/>
      <c r="M137" s="261"/>
    </row>
    <row r="138" spans="1:13" x14ac:dyDescent="0.25">
      <c r="A138" s="261"/>
      <c r="B138" s="266">
        <v>42545</v>
      </c>
      <c r="C138" s="261">
        <v>50</v>
      </c>
      <c r="D138" s="262">
        <v>36.01</v>
      </c>
      <c r="E138" s="262">
        <v>0</v>
      </c>
      <c r="F138" s="262">
        <f t="shared" si="109"/>
        <v>1800.5</v>
      </c>
      <c r="G138" s="266">
        <v>42580</v>
      </c>
      <c r="H138" s="267">
        <v>50</v>
      </c>
      <c r="I138" s="262">
        <v>39.78</v>
      </c>
      <c r="J138" s="262">
        <v>0.04</v>
      </c>
      <c r="K138" s="262">
        <f t="shared" si="110"/>
        <v>1988.96</v>
      </c>
      <c r="L138" s="261"/>
      <c r="M138" s="261"/>
    </row>
    <row r="139" spans="1:13" x14ac:dyDescent="0.25">
      <c r="A139" s="261"/>
      <c r="B139" s="266">
        <v>42545</v>
      </c>
      <c r="C139" s="261">
        <v>50</v>
      </c>
      <c r="D139" s="262">
        <v>36.01</v>
      </c>
      <c r="E139" s="262">
        <v>0</v>
      </c>
      <c r="F139" s="262">
        <f t="shared" si="109"/>
        <v>1800.5</v>
      </c>
      <c r="G139" s="266">
        <v>42620</v>
      </c>
      <c r="H139" s="267">
        <v>50</v>
      </c>
      <c r="I139" s="262">
        <v>38.18</v>
      </c>
      <c r="J139" s="262">
        <v>0.04</v>
      </c>
      <c r="K139" s="262">
        <f t="shared" si="110"/>
        <v>1908.96</v>
      </c>
      <c r="L139" s="261"/>
      <c r="M139" s="261"/>
    </row>
    <row r="140" spans="1:13" x14ac:dyDescent="0.25">
      <c r="A140" s="261"/>
      <c r="B140" s="266">
        <v>42545</v>
      </c>
      <c r="C140" s="261">
        <v>100</v>
      </c>
      <c r="D140" s="262">
        <v>36.01</v>
      </c>
      <c r="E140" s="262">
        <v>0</v>
      </c>
      <c r="F140" s="262">
        <f>D140*C140+E140</f>
        <v>3601</v>
      </c>
      <c r="G140" s="266">
        <v>42620</v>
      </c>
      <c r="H140" s="267">
        <v>50</v>
      </c>
      <c r="I140" s="262">
        <v>38.880000000000003</v>
      </c>
      <c r="J140" s="262">
        <v>0.04</v>
      </c>
      <c r="K140" s="262">
        <f t="shared" si="110"/>
        <v>1943.9600000000003</v>
      </c>
      <c r="L140" s="261"/>
      <c r="M140" s="261"/>
    </row>
    <row r="141" spans="1:13" x14ac:dyDescent="0.25">
      <c r="A141" s="261"/>
      <c r="B141" s="266">
        <v>42548</v>
      </c>
      <c r="C141" s="261">
        <v>100</v>
      </c>
      <c r="D141" s="262">
        <v>33.880000000000003</v>
      </c>
      <c r="E141" s="262">
        <v>0</v>
      </c>
      <c r="F141" s="262">
        <f>D141*C141+E141</f>
        <v>3388.0000000000005</v>
      </c>
      <c r="G141" s="266">
        <v>42620</v>
      </c>
      <c r="H141" s="267">
        <v>50</v>
      </c>
      <c r="I141" s="262">
        <v>39.090000000000003</v>
      </c>
      <c r="J141" s="262">
        <v>-0.09</v>
      </c>
      <c r="K141" s="262">
        <f t="shared" si="110"/>
        <v>1954.5900000000001</v>
      </c>
      <c r="L141" s="261"/>
      <c r="M141" s="261"/>
    </row>
    <row r="142" spans="1:13" x14ac:dyDescent="0.25">
      <c r="A142" s="261"/>
      <c r="B142" s="266">
        <v>42572</v>
      </c>
      <c r="C142" s="261">
        <v>50</v>
      </c>
      <c r="D142" s="262">
        <v>38.58</v>
      </c>
      <c r="E142" s="262">
        <v>0</v>
      </c>
      <c r="F142" s="262">
        <f>D142*C142+E142</f>
        <v>1929</v>
      </c>
      <c r="G142" s="266">
        <v>42641</v>
      </c>
      <c r="H142" s="267">
        <v>250</v>
      </c>
      <c r="I142" s="262">
        <v>39.68</v>
      </c>
      <c r="J142" s="262">
        <v>0.22</v>
      </c>
      <c r="K142" s="262">
        <f t="shared" si="110"/>
        <v>9919.7800000000007</v>
      </c>
      <c r="L142" s="261"/>
      <c r="M142" s="261"/>
    </row>
    <row r="143" spans="1:13" x14ac:dyDescent="0.25">
      <c r="A143" s="261"/>
      <c r="B143" s="266">
        <v>42580</v>
      </c>
      <c r="C143" s="261">
        <v>50</v>
      </c>
      <c r="D143" s="262">
        <v>38.979999999999997</v>
      </c>
      <c r="E143" s="262">
        <v>0</v>
      </c>
      <c r="F143" s="262">
        <f>D143*C143+E143</f>
        <v>1948.9999999999998</v>
      </c>
      <c r="G143" s="261"/>
      <c r="H143" s="261"/>
      <c r="I143" s="262"/>
      <c r="J143" s="262"/>
      <c r="K143" s="262"/>
      <c r="L143" s="261"/>
      <c r="M143" s="261"/>
    </row>
    <row r="144" spans="1:13" x14ac:dyDescent="0.25">
      <c r="A144" s="261"/>
      <c r="B144" s="266">
        <v>42584</v>
      </c>
      <c r="C144" s="261">
        <v>50</v>
      </c>
      <c r="D144" s="262">
        <v>37.68</v>
      </c>
      <c r="E144" s="262">
        <v>0</v>
      </c>
      <c r="F144" s="262">
        <f>D144*C144+E144</f>
        <v>1884</v>
      </c>
      <c r="G144" s="261"/>
      <c r="H144" s="261"/>
      <c r="I144" s="262"/>
      <c r="J144" s="262"/>
      <c r="K144" s="262"/>
      <c r="L144" s="261"/>
      <c r="M144" s="261"/>
    </row>
    <row r="145" spans="1:13" x14ac:dyDescent="0.25">
      <c r="A145" s="261"/>
      <c r="B145" s="261"/>
      <c r="C145" s="261"/>
      <c r="D145" s="262"/>
      <c r="E145" s="262"/>
      <c r="F145" s="262"/>
      <c r="G145" s="261"/>
      <c r="H145" s="261"/>
      <c r="I145" s="262"/>
      <c r="J145" s="262"/>
      <c r="K145" s="262"/>
      <c r="L145" s="261"/>
      <c r="M145" s="261"/>
    </row>
    <row r="146" spans="1:13" x14ac:dyDescent="0.25">
      <c r="A146" s="261"/>
      <c r="B146" s="261"/>
      <c r="C146" s="261"/>
      <c r="D146" s="262"/>
      <c r="E146" s="262"/>
      <c r="F146" s="262"/>
      <c r="G146" s="261"/>
      <c r="H146" s="261"/>
      <c r="I146" s="262"/>
      <c r="J146" s="262"/>
      <c r="K146" s="262"/>
      <c r="L146" s="261"/>
      <c r="M146" s="261"/>
    </row>
    <row r="147" spans="1:13" x14ac:dyDescent="0.25">
      <c r="A147" s="261"/>
      <c r="B147" s="261"/>
      <c r="C147" s="261"/>
      <c r="D147" s="262"/>
      <c r="E147" s="262"/>
      <c r="F147" s="262"/>
      <c r="G147" s="261"/>
      <c r="H147" s="261"/>
      <c r="I147" s="262"/>
      <c r="J147" s="262"/>
      <c r="K147" s="262"/>
      <c r="L147" s="261"/>
      <c r="M147" s="261"/>
    </row>
    <row r="148" spans="1:13" x14ac:dyDescent="0.25">
      <c r="A148" s="261"/>
      <c r="B148" s="261"/>
      <c r="C148" s="261"/>
      <c r="D148" s="262"/>
      <c r="E148" s="262"/>
      <c r="F148" s="262"/>
      <c r="G148" s="261"/>
      <c r="H148" s="261"/>
      <c r="I148" s="262"/>
      <c r="J148" s="262"/>
      <c r="K148" s="262"/>
      <c r="L148" s="261"/>
      <c r="M148" s="261"/>
    </row>
    <row r="149" spans="1:13" x14ac:dyDescent="0.25">
      <c r="A149" s="261"/>
      <c r="B149" s="261"/>
      <c r="C149" s="261"/>
      <c r="D149" s="262"/>
      <c r="E149" s="262"/>
      <c r="F149" s="262"/>
      <c r="G149" s="261"/>
      <c r="H149" s="261"/>
      <c r="I149" s="262"/>
      <c r="J149" s="262"/>
      <c r="K149" s="262"/>
      <c r="L149" s="261"/>
      <c r="M149" s="261"/>
    </row>
    <row r="150" spans="1:13" x14ac:dyDescent="0.25">
      <c r="A150" s="261"/>
      <c r="B150" s="261"/>
      <c r="C150" s="261"/>
      <c r="D150" s="262"/>
      <c r="E150" s="262"/>
      <c r="F150" s="262"/>
      <c r="G150" s="261"/>
      <c r="H150" s="261"/>
      <c r="I150" s="262"/>
      <c r="J150" s="262"/>
      <c r="K150" s="262"/>
      <c r="L150" s="261"/>
      <c r="M150" s="261"/>
    </row>
    <row r="151" spans="1:13" x14ac:dyDescent="0.25">
      <c r="A151" s="261"/>
      <c r="B151" s="261"/>
      <c r="C151" s="261"/>
      <c r="D151" s="262"/>
      <c r="E151" s="262"/>
      <c r="F151" s="262"/>
      <c r="G151" s="261"/>
      <c r="H151" s="261"/>
      <c r="I151" s="262"/>
      <c r="J151" s="262"/>
      <c r="K151" s="262"/>
      <c r="L151" s="261"/>
      <c r="M151" s="261"/>
    </row>
    <row r="152" spans="1:13" x14ac:dyDescent="0.25">
      <c r="A152" s="261"/>
      <c r="B152" s="261"/>
      <c r="C152" s="261"/>
      <c r="D152" s="262"/>
      <c r="E152" s="262"/>
      <c r="F152" s="262"/>
      <c r="G152" s="261"/>
      <c r="H152" s="261"/>
      <c r="I152" s="262"/>
      <c r="J152" s="262"/>
      <c r="K152" s="262"/>
      <c r="L152" s="261"/>
      <c r="M152" s="261"/>
    </row>
    <row r="153" spans="1:13" x14ac:dyDescent="0.25">
      <c r="A153" s="261"/>
      <c r="B153" s="261"/>
      <c r="C153" s="261"/>
      <c r="D153" s="262"/>
      <c r="E153" s="262"/>
      <c r="F153" s="262"/>
      <c r="G153" s="261"/>
      <c r="H153" s="261"/>
      <c r="I153" s="262"/>
      <c r="J153" s="262"/>
      <c r="K153" s="262"/>
      <c r="L153" s="261"/>
      <c r="M153" s="261"/>
    </row>
    <row r="154" spans="1:13" x14ac:dyDescent="0.25">
      <c r="A154" s="261"/>
      <c r="B154" s="261"/>
      <c r="C154" s="261"/>
      <c r="D154" s="262"/>
      <c r="E154" s="262"/>
      <c r="F154" s="262"/>
      <c r="G154" s="261"/>
      <c r="H154" s="267"/>
      <c r="I154" s="262"/>
      <c r="J154" s="262"/>
      <c r="K154" s="262"/>
      <c r="L154" s="261"/>
      <c r="M154" s="261"/>
    </row>
    <row r="155" spans="1:13" x14ac:dyDescent="0.25">
      <c r="A155" s="32" t="s">
        <v>81</v>
      </c>
      <c r="B155" s="14"/>
      <c r="C155" s="14">
        <f>SUM(C128:C145)</f>
        <v>1050</v>
      </c>
      <c r="D155" s="18"/>
      <c r="E155" s="18"/>
      <c r="F155" s="18">
        <f>SUM(F128:F145)</f>
        <v>41340.5</v>
      </c>
      <c r="G155" s="14"/>
      <c r="H155" s="73">
        <f>SUM(H128:H154)</f>
        <v>1050</v>
      </c>
      <c r="I155" s="18"/>
      <c r="J155" s="18"/>
      <c r="K155" s="18">
        <f>SUM(K128:K154)</f>
        <v>42219.199999999997</v>
      </c>
      <c r="L155" s="14"/>
      <c r="M155" s="18">
        <f>SUM(M128:M154)</f>
        <v>114.75</v>
      </c>
    </row>
    <row r="156" spans="1:13" ht="15.75" thickBot="1" x14ac:dyDescent="0.3">
      <c r="A156" s="467" t="s">
        <v>198</v>
      </c>
      <c r="B156" s="468"/>
      <c r="C156" s="469">
        <f>SumByColor($A$30,C128:C154)</f>
        <v>0</v>
      </c>
      <c r="D156" s="469"/>
      <c r="E156" s="469"/>
      <c r="F156" s="470">
        <f>SumByColor($A$30,F128:F154)</f>
        <v>0</v>
      </c>
      <c r="G156" s="469"/>
      <c r="H156" s="469">
        <f>SumByColor($A$30,H129:H154)</f>
        <v>0</v>
      </c>
      <c r="I156" s="469"/>
      <c r="J156" s="469"/>
      <c r="K156" s="470">
        <f>SumByColor($A$30,K129:K154)</f>
        <v>0</v>
      </c>
      <c r="L156" s="469"/>
      <c r="M156" s="470">
        <f>SumByColor($A$30,M128:M154)</f>
        <v>0</v>
      </c>
    </row>
  </sheetData>
  <mergeCells count="1">
    <mergeCell ref="O42:P42"/>
  </mergeCells>
  <conditionalFormatting sqref="F45:F59 F61:F91 F93:F102">
    <cfRule type="expression" dxfId="177" priority="31">
      <formula>F45&gt;0</formula>
    </cfRule>
    <cfRule type="expression" dxfId="176" priority="32">
      <formula>F45&lt;0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{9567B0E6-F8E6-4973-A0E9-2584AA22BFE8}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40:F44">
    <cfRule type="expression" dxfId="175" priority="33">
      <formula>F40&gt;0</formula>
    </cfRule>
    <cfRule type="expression" dxfId="174" priority="34">
      <formula>F40&lt;0</formula>
    </cfRule>
  </conditionalFormatting>
  <conditionalFormatting sqref="F45:F59 F61:F91 F93:F102">
    <cfRule type="expression" dxfId="173" priority="29">
      <formula>F45&gt;0</formula>
    </cfRule>
    <cfRule type="expression" dxfId="172" priority="30">
      <formula>F45&lt;0</formula>
    </cfRule>
  </conditionalFormatting>
  <conditionalFormatting sqref="H40:H59 H61:H91 H93:H102">
    <cfRule type="expression" dxfId="171" priority="27">
      <formula>H40&gt;0</formula>
    </cfRule>
    <cfRule type="expression" dxfId="170" priority="28">
      <formula>H40&lt;0</formula>
    </cfRule>
  </conditionalFormatting>
  <conditionalFormatting sqref="F36:F39">
    <cfRule type="expression" dxfId="169" priority="25">
      <formula>F36&gt;0</formula>
    </cfRule>
    <cfRule type="expression" dxfId="168" priority="26">
      <formula>F36&lt;0</formula>
    </cfRule>
  </conditionalFormatting>
  <conditionalFormatting sqref="H36:H39">
    <cfRule type="expression" dxfId="167" priority="23">
      <formula>H36&gt;0</formula>
    </cfRule>
    <cfRule type="expression" dxfId="166" priority="24">
      <formula>H36&lt;0</formula>
    </cfRule>
  </conditionalFormatting>
  <conditionalFormatting sqref="Q7">
    <cfRule type="expression" dxfId="165" priority="17">
      <formula>Q7&gt;0</formula>
    </cfRule>
    <cfRule type="expression" dxfId="164" priority="18">
      <formula>Q7&lt;0</formula>
    </cfRule>
  </conditionalFormatting>
  <conditionalFormatting sqref="Q8">
    <cfRule type="expression" dxfId="163" priority="15">
      <formula>Q8&gt;0</formula>
    </cfRule>
    <cfRule type="expression" dxfId="162" priority="16">
      <formula>Q8&lt;0</formula>
    </cfRule>
  </conditionalFormatting>
  <conditionalFormatting sqref="Q10">
    <cfRule type="expression" dxfId="161" priority="13">
      <formula>Q10&gt;0</formula>
    </cfRule>
    <cfRule type="expression" dxfId="160" priority="14">
      <formula>Q10&lt;0</formula>
    </cfRule>
  </conditionalFormatting>
  <conditionalFormatting sqref="F60">
    <cfRule type="expression" dxfId="159" priority="11">
      <formula>F60&gt;0</formula>
    </cfRule>
    <cfRule type="expression" dxfId="158" priority="12">
      <formula>F60&lt;0</formula>
    </cfRule>
  </conditionalFormatting>
  <conditionalFormatting sqref="F60">
    <cfRule type="expression" dxfId="157" priority="9">
      <formula>F60&gt;0</formula>
    </cfRule>
    <cfRule type="expression" dxfId="156" priority="10">
      <formula>F60&lt;0</formula>
    </cfRule>
  </conditionalFormatting>
  <conditionalFormatting sqref="H60">
    <cfRule type="expression" dxfId="155" priority="7">
      <formula>H60&gt;0</formula>
    </cfRule>
    <cfRule type="expression" dxfId="154" priority="8">
      <formula>H60&lt;0</formula>
    </cfRule>
  </conditionalFormatting>
  <conditionalFormatting sqref="F92">
    <cfRule type="expression" dxfId="153" priority="5">
      <formula>F92&gt;0</formula>
    </cfRule>
    <cfRule type="expression" dxfId="152" priority="6">
      <formula>F92&lt;0</formula>
    </cfRule>
  </conditionalFormatting>
  <conditionalFormatting sqref="F92">
    <cfRule type="expression" dxfId="151" priority="3">
      <formula>F92&gt;0</formula>
    </cfRule>
    <cfRule type="expression" dxfId="150" priority="4">
      <formula>F92&lt;0</formula>
    </cfRule>
  </conditionalFormatting>
  <conditionalFormatting sqref="H92">
    <cfRule type="expression" dxfId="149" priority="1">
      <formula>H92&gt;0</formula>
    </cfRule>
    <cfRule type="expression" dxfId="148" priority="2">
      <formula>H92&lt;0</formula>
    </cfRule>
  </conditionalFormatting>
  <hyperlinks>
    <hyperlink ref="A3" location="ACTIVE!A1" display="Back"/>
    <hyperlink ref="A107" location="ACTIVE!A1" display="Back"/>
    <hyperlink ref="A12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67B0E6-F8E6-4973-A0E9-2584AA22BFE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AO69"/>
  <sheetViews>
    <sheetView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18.5703125" customWidth="1"/>
    <col min="21" max="21" width="11.7109375" customWidth="1"/>
    <col min="22" max="22" width="21.28515625" customWidth="1"/>
    <col min="23" max="23" width="15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1" x14ac:dyDescent="0.25">
      <c r="A2" s="6" t="s">
        <v>396</v>
      </c>
      <c r="B2" s="459">
        <v>42746</v>
      </c>
      <c r="C2" s="4">
        <v>80</v>
      </c>
      <c r="D2" s="3">
        <v>34.020000000000003</v>
      </c>
      <c r="E2" s="3">
        <v>0</v>
      </c>
      <c r="F2" s="3">
        <f>C2*D2+E2</f>
        <v>2721.6000000000004</v>
      </c>
      <c r="G2" s="459">
        <v>42760</v>
      </c>
      <c r="H2" s="185">
        <v>80</v>
      </c>
      <c r="I2" s="3">
        <v>33.68</v>
      </c>
      <c r="J2" s="3">
        <v>0.06</v>
      </c>
      <c r="K2" s="3">
        <f>H2*I2-J2</f>
        <v>2694.34</v>
      </c>
      <c r="L2" s="74"/>
      <c r="M2" s="3"/>
      <c r="O2" s="11" t="s">
        <v>57</v>
      </c>
      <c r="Q2" s="72">
        <f>C18-H18</f>
        <v>0</v>
      </c>
      <c r="W2" s="133">
        <v>42768</v>
      </c>
      <c r="X2" s="10">
        <v>34.299999999999997</v>
      </c>
      <c r="Y2" s="10">
        <v>34.53</v>
      </c>
      <c r="Z2" s="10">
        <v>33.950000000000003</v>
      </c>
      <c r="AA2" s="10">
        <v>34.19</v>
      </c>
      <c r="AB2" s="95">
        <v>10704800</v>
      </c>
      <c r="AC2" s="10">
        <v>34.19</v>
      </c>
      <c r="AD2" s="2">
        <f>Y2-Z2</f>
        <v>0.57999999999999829</v>
      </c>
      <c r="AE2" s="138">
        <f>AC2/AC3-1</f>
        <v>-1.4413375612568502E-2</v>
      </c>
    </row>
    <row r="3" spans="1:41" x14ac:dyDescent="0.25">
      <c r="A3" s="23" t="s">
        <v>71</v>
      </c>
      <c r="B3" s="503">
        <v>42758</v>
      </c>
      <c r="C3" s="4">
        <v>40</v>
      </c>
      <c r="D3" s="3">
        <v>32.28</v>
      </c>
      <c r="E3" s="3">
        <v>0</v>
      </c>
      <c r="F3" s="3">
        <f>C3*D3+E3</f>
        <v>1291.2</v>
      </c>
      <c r="G3" s="74">
        <v>42766</v>
      </c>
      <c r="H3" s="185">
        <v>40</v>
      </c>
      <c r="I3" s="3">
        <v>31.8</v>
      </c>
      <c r="J3" s="3">
        <v>0.03</v>
      </c>
      <c r="K3" s="3">
        <f>H3*I3-J3</f>
        <v>1271.97</v>
      </c>
      <c r="L3" s="4"/>
      <c r="M3" s="4"/>
      <c r="O3" s="11" t="s">
        <v>58</v>
      </c>
      <c r="Q3" s="230">
        <f>IF(Q2=0, Q4, (F18-K18-M18)/Q2)</f>
        <v>34.44</v>
      </c>
      <c r="T3" s="1"/>
      <c r="W3" s="133">
        <v>42767</v>
      </c>
      <c r="X3" s="10">
        <v>34.200000000000003</v>
      </c>
      <c r="Y3" s="10">
        <v>34.76</v>
      </c>
      <c r="Z3" s="10">
        <v>33.71</v>
      </c>
      <c r="AA3" s="10">
        <v>34.69</v>
      </c>
      <c r="AB3" s="95">
        <v>17224100</v>
      </c>
      <c r="AC3" s="10">
        <v>34.69</v>
      </c>
      <c r="AD3" s="2">
        <f t="shared" ref="AD3:AD66" si="0">Y3-Z3</f>
        <v>1.0499999999999972</v>
      </c>
      <c r="AE3" s="138">
        <f t="shared" ref="AE3:AE66" si="1">AC3/AC4-1</f>
        <v>3.7690696978761595E-2</v>
      </c>
      <c r="AL3" s="234"/>
      <c r="AO3" s="234"/>
    </row>
    <row r="4" spans="1:41" x14ac:dyDescent="0.25">
      <c r="B4" s="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201">
        <v>34.44</v>
      </c>
      <c r="R4" s="505">
        <v>7.3000000000000001E-3</v>
      </c>
      <c r="W4" s="133">
        <v>42766</v>
      </c>
      <c r="X4" s="10">
        <v>32.35</v>
      </c>
      <c r="Y4" s="10">
        <v>33.69</v>
      </c>
      <c r="Z4" s="10">
        <v>32.19</v>
      </c>
      <c r="AA4" s="10">
        <v>33.43</v>
      </c>
      <c r="AB4" s="95">
        <v>36869300</v>
      </c>
      <c r="AC4" s="10">
        <v>33.43</v>
      </c>
      <c r="AD4" s="2">
        <f t="shared" si="0"/>
        <v>1.5</v>
      </c>
      <c r="AE4" s="138">
        <f t="shared" si="1"/>
        <v>-3.1575898030127614E-2</v>
      </c>
    </row>
    <row r="5" spans="1:41" x14ac:dyDescent="0.25">
      <c r="B5" s="4"/>
      <c r="C5" s="4"/>
      <c r="D5" s="3"/>
      <c r="E5" s="3"/>
      <c r="F5" s="3"/>
      <c r="G5" s="4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42765</v>
      </c>
      <c r="X5" s="10">
        <v>34.479999999999997</v>
      </c>
      <c r="Y5" s="10">
        <v>34.99</v>
      </c>
      <c r="Z5" s="10">
        <v>34.200000000000003</v>
      </c>
      <c r="AA5" s="10">
        <v>34.520000000000003</v>
      </c>
      <c r="AB5" s="95">
        <v>6576000</v>
      </c>
      <c r="AC5" s="10">
        <v>34.520000000000003</v>
      </c>
      <c r="AD5" s="2">
        <f t="shared" si="0"/>
        <v>0.78999999999999915</v>
      </c>
      <c r="AE5" s="138">
        <f t="shared" si="1"/>
        <v>-2.0237062734894673E-3</v>
      </c>
    </row>
    <row r="6" spans="1:41" x14ac:dyDescent="0.25">
      <c r="B6" s="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42762</v>
      </c>
      <c r="X6" s="10">
        <v>34.049999999999997</v>
      </c>
      <c r="Y6" s="10">
        <v>34.770000000000003</v>
      </c>
      <c r="Z6" s="10">
        <v>34.01</v>
      </c>
      <c r="AA6" s="10">
        <v>34.590000000000003</v>
      </c>
      <c r="AB6" s="95">
        <v>10937200</v>
      </c>
      <c r="AC6" s="10">
        <v>34.590000000000003</v>
      </c>
      <c r="AD6" s="2">
        <f t="shared" si="0"/>
        <v>0.76000000000000512</v>
      </c>
      <c r="AE6" s="138">
        <f t="shared" si="1"/>
        <v>1.9451812555260961E-2</v>
      </c>
    </row>
    <row r="7" spans="1:41" x14ac:dyDescent="0.25">
      <c r="B7" s="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181</v>
      </c>
      <c r="Q7" s="2">
        <f>Q10+Q8</f>
        <v>-46.489999999999782</v>
      </c>
      <c r="R7">
        <v>0</v>
      </c>
      <c r="W7" s="133">
        <v>42761</v>
      </c>
      <c r="X7" s="10">
        <v>33.9</v>
      </c>
      <c r="Y7" s="10">
        <v>34.21</v>
      </c>
      <c r="Z7" s="10">
        <v>33.58</v>
      </c>
      <c r="AA7" s="10">
        <v>33.93</v>
      </c>
      <c r="AB7" s="95">
        <v>10654900</v>
      </c>
      <c r="AC7" s="10">
        <v>33.93</v>
      </c>
      <c r="AD7" s="2">
        <f t="shared" si="0"/>
        <v>0.63000000000000256</v>
      </c>
      <c r="AE7" s="138">
        <f t="shared" si="1"/>
        <v>7.422802850356236E-3</v>
      </c>
    </row>
    <row r="8" spans="1:41" x14ac:dyDescent="0.25">
      <c r="O8" s="11" t="s">
        <v>184</v>
      </c>
      <c r="P8" s="34"/>
      <c r="Q8" s="2">
        <f>K18+M18-F18+Q2*Q4</f>
        <v>-46.489999999999782</v>
      </c>
      <c r="W8" s="133">
        <v>42760</v>
      </c>
      <c r="X8" s="10">
        <v>32.68</v>
      </c>
      <c r="Y8" s="10">
        <v>33.99</v>
      </c>
      <c r="Z8" s="10">
        <v>32.619999999999997</v>
      </c>
      <c r="AA8" s="10">
        <v>33.68</v>
      </c>
      <c r="AB8" s="95">
        <v>12327800</v>
      </c>
      <c r="AC8" s="10">
        <v>33.68</v>
      </c>
      <c r="AD8" s="2">
        <f t="shared" si="0"/>
        <v>1.3700000000000045</v>
      </c>
      <c r="AE8" s="138">
        <f t="shared" si="1"/>
        <v>3.3128834355828252E-2</v>
      </c>
    </row>
    <row r="9" spans="1:41" x14ac:dyDescent="0.25">
      <c r="O9" s="11" t="s">
        <v>214</v>
      </c>
      <c r="Q9" s="138">
        <f>IF(Q2=0, 0, Q8/Q6)</f>
        <v>0</v>
      </c>
      <c r="W9" s="133">
        <v>42759</v>
      </c>
      <c r="X9" s="10">
        <v>32.79</v>
      </c>
      <c r="Y9" s="10">
        <v>32.94</v>
      </c>
      <c r="Z9" s="10">
        <v>32.340000000000003</v>
      </c>
      <c r="AA9" s="10">
        <v>32.6</v>
      </c>
      <c r="AB9" s="95">
        <v>10414600</v>
      </c>
      <c r="AC9" s="10">
        <v>32.6</v>
      </c>
      <c r="AD9" s="2">
        <f t="shared" si="0"/>
        <v>0.59999999999999432</v>
      </c>
      <c r="AE9" s="138">
        <f t="shared" si="1"/>
        <v>-3.3628859675940426E-3</v>
      </c>
    </row>
    <row r="10" spans="1:41" x14ac:dyDescent="0.25">
      <c r="O10" s="11" t="s">
        <v>213</v>
      </c>
      <c r="P10" s="34"/>
      <c r="Q10" s="2">
        <f>M36</f>
        <v>0</v>
      </c>
      <c r="W10" s="133">
        <v>42758</v>
      </c>
      <c r="X10" s="10">
        <v>33.08</v>
      </c>
      <c r="Y10" s="10">
        <v>33.1</v>
      </c>
      <c r="Z10" s="10">
        <v>32.11</v>
      </c>
      <c r="AA10" s="10">
        <v>32.71</v>
      </c>
      <c r="AB10" s="95">
        <v>14130900</v>
      </c>
      <c r="AC10" s="10">
        <v>32.71</v>
      </c>
      <c r="AD10" s="2">
        <f t="shared" si="0"/>
        <v>0.99000000000000199</v>
      </c>
      <c r="AE10" s="138">
        <f t="shared" si="1"/>
        <v>-1.5648510382184622E-2</v>
      </c>
    </row>
    <row r="11" spans="1:41" x14ac:dyDescent="0.25">
      <c r="O11" s="11" t="s">
        <v>178</v>
      </c>
      <c r="P11" s="34"/>
      <c r="Q11" s="138">
        <f>IF(U58="N/A (N/A)", 0, VALUE(TRIM(CLEAN(MID(U58, FIND("(", U58)+1, 5)))))</f>
        <v>4.07E-2</v>
      </c>
      <c r="W11" s="133">
        <v>42755</v>
      </c>
      <c r="X11" s="10">
        <v>33.42</v>
      </c>
      <c r="Y11" s="10">
        <v>33.57</v>
      </c>
      <c r="Z11" s="10">
        <v>33.159999999999997</v>
      </c>
      <c r="AA11" s="10">
        <v>33.229999999999997</v>
      </c>
      <c r="AB11" s="95">
        <v>8447000</v>
      </c>
      <c r="AC11" s="10">
        <v>33.229999999999997</v>
      </c>
      <c r="AD11" s="2">
        <f t="shared" si="0"/>
        <v>0.41000000000000369</v>
      </c>
      <c r="AE11" s="138">
        <f t="shared" si="1"/>
        <v>-7.1706005377950577E-3</v>
      </c>
    </row>
    <row r="12" spans="1:41" x14ac:dyDescent="0.25">
      <c r="W12" s="133">
        <v>42754</v>
      </c>
      <c r="X12" s="10">
        <v>33.979999999999997</v>
      </c>
      <c r="Y12" s="10">
        <v>34.090000000000003</v>
      </c>
      <c r="Z12" s="10">
        <v>33.46</v>
      </c>
      <c r="AA12" s="10">
        <v>33.47</v>
      </c>
      <c r="AB12" s="95">
        <v>7498400</v>
      </c>
      <c r="AC12" s="10">
        <v>33.47</v>
      </c>
      <c r="AD12" s="2">
        <f t="shared" si="0"/>
        <v>0.63000000000000256</v>
      </c>
      <c r="AE12" s="138">
        <f t="shared" si="1"/>
        <v>-1.8475073313783064E-2</v>
      </c>
    </row>
    <row r="13" spans="1:41" x14ac:dyDescent="0.25">
      <c r="W13" s="133">
        <v>42753</v>
      </c>
      <c r="X13" s="10">
        <v>33.9</v>
      </c>
      <c r="Y13" s="10">
        <v>34.200000000000003</v>
      </c>
      <c r="Z13" s="10">
        <v>33.729999999999997</v>
      </c>
      <c r="AA13" s="10">
        <v>34.1</v>
      </c>
      <c r="AB13" s="95">
        <v>9603600</v>
      </c>
      <c r="AC13" s="10">
        <v>34.1</v>
      </c>
      <c r="AD13" s="2">
        <f t="shared" si="0"/>
        <v>0.47000000000000597</v>
      </c>
      <c r="AE13" s="138">
        <f t="shared" si="1"/>
        <v>1.0370370370370363E-2</v>
      </c>
    </row>
    <row r="14" spans="1:41" x14ac:dyDescent="0.25">
      <c r="W14" s="133">
        <v>42752</v>
      </c>
      <c r="X14" s="10">
        <v>34.049999999999997</v>
      </c>
      <c r="Y14" s="10">
        <v>34.119999999999997</v>
      </c>
      <c r="Z14" s="10">
        <v>33.619999999999997</v>
      </c>
      <c r="AA14" s="10">
        <v>33.75</v>
      </c>
      <c r="AB14" s="95">
        <v>9961500</v>
      </c>
      <c r="AC14" s="10">
        <v>33.75</v>
      </c>
      <c r="AD14" s="2">
        <f t="shared" si="0"/>
        <v>0.5</v>
      </c>
      <c r="AE14" s="138">
        <f t="shared" si="1"/>
        <v>-6.4763026199587959E-3</v>
      </c>
    </row>
    <row r="15" spans="1:41" x14ac:dyDescent="0.25">
      <c r="W15" s="133">
        <v>42748</v>
      </c>
      <c r="X15" s="10">
        <v>34.25</v>
      </c>
      <c r="Y15" s="10">
        <v>34.47</v>
      </c>
      <c r="Z15" s="10">
        <v>33.86</v>
      </c>
      <c r="AA15" s="10">
        <v>33.97</v>
      </c>
      <c r="AB15" s="95">
        <v>12568500</v>
      </c>
      <c r="AC15" s="10">
        <v>33.97</v>
      </c>
      <c r="AD15" s="2">
        <f t="shared" si="0"/>
        <v>0.60999999999999943</v>
      </c>
      <c r="AE15" s="138">
        <f t="shared" si="1"/>
        <v>8.839127872717345E-4</v>
      </c>
    </row>
    <row r="16" spans="1:41" x14ac:dyDescent="0.25">
      <c r="W16" s="133">
        <v>42747</v>
      </c>
      <c r="X16" s="10">
        <v>34.270000000000003</v>
      </c>
      <c r="Y16" s="10">
        <v>34.69</v>
      </c>
      <c r="Z16" s="10">
        <v>33.93</v>
      </c>
      <c r="AA16" s="10">
        <v>33.94</v>
      </c>
      <c r="AB16" s="95">
        <v>10696900</v>
      </c>
      <c r="AC16" s="10">
        <v>33.94</v>
      </c>
      <c r="AD16" s="2">
        <f t="shared" si="0"/>
        <v>0.75999999999999801</v>
      </c>
      <c r="AE16" s="138">
        <f t="shared" si="1"/>
        <v>-9.9183197199533835E-3</v>
      </c>
    </row>
    <row r="17" spans="1:31" x14ac:dyDescent="0.25">
      <c r="W17" s="133">
        <v>42746</v>
      </c>
      <c r="X17" s="10">
        <v>35.159999999999997</v>
      </c>
      <c r="Y17" s="10">
        <v>35.49</v>
      </c>
      <c r="Z17" s="10">
        <v>33.56</v>
      </c>
      <c r="AA17" s="10">
        <v>34.28</v>
      </c>
      <c r="AB17" s="95">
        <v>15617900</v>
      </c>
      <c r="AC17" s="10">
        <v>34.28</v>
      </c>
      <c r="AD17" s="2">
        <f t="shared" si="0"/>
        <v>1.9299999999999997</v>
      </c>
      <c r="AE17" s="138">
        <f t="shared" si="1"/>
        <v>-2.6136363636363735E-2</v>
      </c>
    </row>
    <row r="18" spans="1:31" x14ac:dyDescent="0.25">
      <c r="A18" s="36" t="s">
        <v>81</v>
      </c>
      <c r="B18" s="37"/>
      <c r="C18" s="37">
        <f>SUM(C2:C17)</f>
        <v>120</v>
      </c>
      <c r="D18" s="38"/>
      <c r="E18" s="38"/>
      <c r="F18" s="38">
        <f>SUM(F2:F17)</f>
        <v>4012.8</v>
      </c>
      <c r="G18" s="37"/>
      <c r="H18" s="183">
        <f>SUM(H2:H17)</f>
        <v>120</v>
      </c>
      <c r="I18" s="38"/>
      <c r="J18" s="38"/>
      <c r="K18" s="38">
        <f>SUM(K2:K17)</f>
        <v>3966.3100000000004</v>
      </c>
      <c r="L18" s="38"/>
      <c r="M18" s="38">
        <f>SUM(M2:M3)</f>
        <v>0</v>
      </c>
      <c r="W18" s="133">
        <v>42745</v>
      </c>
      <c r="X18" s="10">
        <v>35.049999999999997</v>
      </c>
      <c r="Y18" s="10">
        <v>35.26</v>
      </c>
      <c r="Z18" s="10">
        <v>34.6</v>
      </c>
      <c r="AA18" s="10">
        <v>35.200000000000003</v>
      </c>
      <c r="AB18" s="95">
        <v>11951600</v>
      </c>
      <c r="AC18" s="10">
        <v>35.200000000000003</v>
      </c>
      <c r="AD18" s="2">
        <f t="shared" si="0"/>
        <v>0.65999999999999659</v>
      </c>
      <c r="AE18" s="138">
        <f t="shared" si="1"/>
        <v>3.993154592127901E-3</v>
      </c>
    </row>
    <row r="19" spans="1:31" x14ac:dyDescent="0.25">
      <c r="G19" s="2"/>
      <c r="W19" s="133">
        <v>42744</v>
      </c>
      <c r="X19" s="10">
        <v>35.15</v>
      </c>
      <c r="Y19" s="10">
        <v>35.44</v>
      </c>
      <c r="Z19" s="10">
        <v>34.93</v>
      </c>
      <c r="AA19" s="10">
        <v>35.06</v>
      </c>
      <c r="AB19" s="95">
        <v>11731200</v>
      </c>
      <c r="AC19" s="10">
        <v>35.06</v>
      </c>
      <c r="AD19" s="2">
        <f t="shared" si="0"/>
        <v>0.50999999999999801</v>
      </c>
      <c r="AE19" s="138">
        <f t="shared" si="1"/>
        <v>-1.1396011396010985E-3</v>
      </c>
    </row>
    <row r="20" spans="1:31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5" t="s">
        <v>65</v>
      </c>
      <c r="G20" s="229" t="s">
        <v>152</v>
      </c>
      <c r="H20" s="195" t="s">
        <v>88</v>
      </c>
      <c r="I20" s="195" t="s">
        <v>155</v>
      </c>
      <c r="W20" s="133">
        <v>42741</v>
      </c>
      <c r="X20" s="10">
        <v>36.9</v>
      </c>
      <c r="Y20" s="10">
        <v>36.979999999999997</v>
      </c>
      <c r="Z20" s="10">
        <v>35</v>
      </c>
      <c r="AA20" s="10">
        <v>35.1</v>
      </c>
      <c r="AB20" s="95">
        <v>33625300</v>
      </c>
      <c r="AC20" s="10">
        <v>35.1</v>
      </c>
      <c r="AD20" s="2">
        <f t="shared" si="0"/>
        <v>1.9799999999999969</v>
      </c>
      <c r="AE20" s="138">
        <f t="shared" si="1"/>
        <v>-7.5342465753424626E-2</v>
      </c>
    </row>
    <row r="21" spans="1:31" x14ac:dyDescent="0.25">
      <c r="B21" s="193">
        <v>42746</v>
      </c>
      <c r="C21" s="10">
        <v>80</v>
      </c>
      <c r="D21" s="40">
        <v>34.020000000000003</v>
      </c>
      <c r="E21" s="40">
        <v>34.28</v>
      </c>
      <c r="F21" s="40">
        <f>C21*(E21-D21)</f>
        <v>20.799999999999841</v>
      </c>
      <c r="G21" s="40">
        <f>D21*C21</f>
        <v>2721.6000000000004</v>
      </c>
      <c r="H21" s="231">
        <f>(E21-D21)/D21</f>
        <v>7.6425631981186948E-3</v>
      </c>
      <c r="I21" s="231"/>
      <c r="W21" s="133">
        <v>42740</v>
      </c>
      <c r="X21" s="10">
        <v>37.96</v>
      </c>
      <c r="Y21" s="10">
        <v>38.15</v>
      </c>
      <c r="Z21" s="10">
        <v>37.29</v>
      </c>
      <c r="AA21" s="10">
        <v>37.96</v>
      </c>
      <c r="AB21" s="95">
        <v>4924400</v>
      </c>
      <c r="AC21" s="10">
        <v>37.96</v>
      </c>
      <c r="AD21" s="2">
        <f t="shared" si="0"/>
        <v>0.85999999999999943</v>
      </c>
      <c r="AE21" s="138">
        <f t="shared" si="1"/>
        <v>5.8293587705351424E-3</v>
      </c>
    </row>
    <row r="22" spans="1:31" x14ac:dyDescent="0.25">
      <c r="B22" s="193">
        <v>42758</v>
      </c>
      <c r="C22" s="10">
        <v>120</v>
      </c>
      <c r="D22" s="40">
        <v>33.44</v>
      </c>
      <c r="E22" s="40">
        <v>32.71</v>
      </c>
      <c r="F22" s="40">
        <f>C22*(E22-D22)</f>
        <v>-87.599999999999625</v>
      </c>
      <c r="G22" s="40">
        <f>D22*C22</f>
        <v>4012.7999999999997</v>
      </c>
      <c r="H22" s="231">
        <f>(E22-D22)/D22</f>
        <v>-2.1830143540669766E-2</v>
      </c>
      <c r="I22" s="231"/>
      <c r="W22" s="133">
        <v>42739</v>
      </c>
      <c r="X22" s="10">
        <v>38.06</v>
      </c>
      <c r="Y22" s="10">
        <v>38.31</v>
      </c>
      <c r="Z22" s="10">
        <v>37.58</v>
      </c>
      <c r="AA22" s="10">
        <v>37.74</v>
      </c>
      <c r="AB22" s="95">
        <v>6620300</v>
      </c>
      <c r="AC22" s="10">
        <v>37.74</v>
      </c>
      <c r="AD22" s="2">
        <f t="shared" si="0"/>
        <v>0.73000000000000398</v>
      </c>
      <c r="AE22" s="138">
        <f t="shared" si="1"/>
        <v>6.9370330843117056E-3</v>
      </c>
    </row>
    <row r="23" spans="1:31" x14ac:dyDescent="0.25">
      <c r="A23" t="s">
        <v>459</v>
      </c>
      <c r="B23" s="193">
        <v>42760</v>
      </c>
      <c r="C23" s="10">
        <v>40</v>
      </c>
      <c r="D23" s="40">
        <v>32.961500000000001</v>
      </c>
      <c r="E23" s="40">
        <v>33.68</v>
      </c>
      <c r="F23" s="40">
        <f>C23*(E23-D23)</f>
        <v>28.739999999999952</v>
      </c>
      <c r="G23" s="40">
        <f>D23*C23</f>
        <v>1318.46</v>
      </c>
      <c r="H23" s="231">
        <f>(E23-D23)/D23</f>
        <v>2.1798158457594429E-2</v>
      </c>
      <c r="I23" s="231"/>
      <c r="W23" s="133">
        <v>42738</v>
      </c>
      <c r="X23" s="10">
        <v>36.69</v>
      </c>
      <c r="Y23" s="10">
        <v>37.479999999999997</v>
      </c>
      <c r="Z23" s="10">
        <v>36.450000000000003</v>
      </c>
      <c r="AA23" s="10">
        <v>37.479999999999997</v>
      </c>
      <c r="AB23" s="95">
        <v>6928200</v>
      </c>
      <c r="AC23" s="10">
        <v>37.479999999999997</v>
      </c>
      <c r="AD23" s="2">
        <f t="shared" si="0"/>
        <v>1.029999999999994</v>
      </c>
      <c r="AE23" s="138">
        <f t="shared" si="1"/>
        <v>3.3931034482758582E-2</v>
      </c>
    </row>
    <row r="24" spans="1:31" x14ac:dyDescent="0.25">
      <c r="B24" s="193">
        <v>42766</v>
      </c>
      <c r="C24" s="10">
        <v>0</v>
      </c>
      <c r="D24" s="40"/>
      <c r="E24" s="40"/>
      <c r="F24" s="40">
        <v>-46.46</v>
      </c>
      <c r="G24" s="40"/>
      <c r="H24" s="231"/>
      <c r="I24" s="231"/>
      <c r="W24" s="133">
        <v>42734</v>
      </c>
      <c r="X24" s="10">
        <v>36</v>
      </c>
      <c r="Y24" s="10">
        <v>36.43</v>
      </c>
      <c r="Z24" s="10">
        <v>35.92</v>
      </c>
      <c r="AA24" s="10">
        <v>36.25</v>
      </c>
      <c r="AB24" s="95">
        <v>4944800</v>
      </c>
      <c r="AC24" s="10">
        <v>36.25</v>
      </c>
      <c r="AD24" s="2">
        <f t="shared" si="0"/>
        <v>0.50999999999999801</v>
      </c>
      <c r="AE24" s="138">
        <f t="shared" si="1"/>
        <v>4.7117516629713307E-3</v>
      </c>
    </row>
    <row r="25" spans="1:31" x14ac:dyDescent="0.25">
      <c r="B25" s="193"/>
      <c r="C25" s="10"/>
      <c r="D25" s="40"/>
      <c r="E25" s="40"/>
      <c r="F25" s="40"/>
      <c r="G25" s="40"/>
      <c r="H25" s="232"/>
      <c r="I25" s="232"/>
      <c r="W25" s="133">
        <v>42733</v>
      </c>
      <c r="X25" s="10">
        <v>35.85</v>
      </c>
      <c r="Y25" s="10">
        <v>36.26</v>
      </c>
      <c r="Z25" s="10">
        <v>35.81</v>
      </c>
      <c r="AA25" s="10">
        <v>36.08</v>
      </c>
      <c r="AB25" s="95">
        <v>3603000</v>
      </c>
      <c r="AC25" s="10">
        <v>36.08</v>
      </c>
      <c r="AD25" s="2">
        <f t="shared" si="0"/>
        <v>0.44999999999999574</v>
      </c>
      <c r="AE25" s="138">
        <f t="shared" si="1"/>
        <v>4.174784302811041E-3</v>
      </c>
    </row>
    <row r="26" spans="1:31" x14ac:dyDescent="0.25">
      <c r="B26" s="193"/>
      <c r="C26" s="10"/>
      <c r="D26" s="40"/>
      <c r="E26" s="40"/>
      <c r="F26" s="40"/>
      <c r="G26" s="40"/>
      <c r="H26" s="232"/>
      <c r="I26" s="232"/>
      <c r="W26" s="133">
        <v>42732</v>
      </c>
      <c r="X26" s="10">
        <v>36.32</v>
      </c>
      <c r="Y26" s="10">
        <v>36.46</v>
      </c>
      <c r="Z26" s="10">
        <v>35.85</v>
      </c>
      <c r="AA26" s="10">
        <v>35.93</v>
      </c>
      <c r="AB26" s="95">
        <v>4648600</v>
      </c>
      <c r="AC26" s="10">
        <v>35.93</v>
      </c>
      <c r="AD26" s="2">
        <f t="shared" si="0"/>
        <v>0.60999999999999943</v>
      </c>
      <c r="AE26" s="138">
        <f t="shared" si="1"/>
        <v>-1.1282333516785981E-2</v>
      </c>
    </row>
    <row r="27" spans="1:31" x14ac:dyDescent="0.25">
      <c r="B27" s="193"/>
      <c r="C27" s="10"/>
      <c r="D27" s="40"/>
      <c r="E27" s="40"/>
      <c r="F27" s="40"/>
      <c r="G27" s="40"/>
      <c r="H27" s="232"/>
      <c r="I27" s="232"/>
      <c r="W27" s="133">
        <v>42731</v>
      </c>
      <c r="X27" s="10">
        <v>36.64</v>
      </c>
      <c r="Y27" s="10">
        <v>36.82</v>
      </c>
      <c r="Z27" s="10">
        <v>36.26</v>
      </c>
      <c r="AA27" s="10">
        <v>36.340000000000003</v>
      </c>
      <c r="AB27" s="95">
        <v>4331000</v>
      </c>
      <c r="AC27" s="10">
        <v>36.340000000000003</v>
      </c>
      <c r="AD27" s="2">
        <f t="shared" si="0"/>
        <v>0.56000000000000227</v>
      </c>
      <c r="AE27" s="138">
        <f t="shared" si="1"/>
        <v>-1.30363932645301E-2</v>
      </c>
    </row>
    <row r="28" spans="1:31" x14ac:dyDescent="0.25">
      <c r="B28" s="193"/>
      <c r="C28" s="10"/>
      <c r="D28" s="40"/>
      <c r="E28" s="40"/>
      <c r="F28" s="40"/>
      <c r="G28" s="40"/>
      <c r="H28" s="232"/>
      <c r="I28" s="232"/>
      <c r="W28" s="133">
        <v>42727</v>
      </c>
      <c r="X28" s="10">
        <v>36.909999999999997</v>
      </c>
      <c r="Y28" s="10">
        <v>36.950000000000003</v>
      </c>
      <c r="Z28" s="10">
        <v>36.46</v>
      </c>
      <c r="AA28" s="10">
        <v>36.82</v>
      </c>
      <c r="AB28" s="95">
        <v>2811500</v>
      </c>
      <c r="AC28" s="10">
        <v>36.82</v>
      </c>
      <c r="AD28" s="2">
        <f t="shared" si="0"/>
        <v>0.49000000000000199</v>
      </c>
      <c r="AE28" s="138">
        <f t="shared" si="1"/>
        <v>-2.4383635871036979E-3</v>
      </c>
    </row>
    <row r="29" spans="1:31" x14ac:dyDescent="0.25">
      <c r="B29" s="193"/>
      <c r="C29" s="10"/>
      <c r="D29" s="40"/>
      <c r="E29" s="40"/>
      <c r="F29" s="40"/>
      <c r="G29" s="40"/>
      <c r="H29" s="232"/>
      <c r="I29" s="232"/>
      <c r="W29" s="133">
        <v>42726</v>
      </c>
      <c r="X29" s="10">
        <v>36.49</v>
      </c>
      <c r="Y29" s="10">
        <v>37.39</v>
      </c>
      <c r="Z29" s="10">
        <v>36.35</v>
      </c>
      <c r="AA29" s="10">
        <v>36.909999999999997</v>
      </c>
      <c r="AB29" s="95">
        <v>5831000</v>
      </c>
      <c r="AC29" s="10">
        <v>36.909999999999997</v>
      </c>
      <c r="AD29" s="2">
        <f t="shared" si="0"/>
        <v>1.0399999999999991</v>
      </c>
      <c r="AE29" s="138">
        <f t="shared" si="1"/>
        <v>1.4847401704701557E-2</v>
      </c>
    </row>
    <row r="30" spans="1:31" x14ac:dyDescent="0.25">
      <c r="B30" s="193"/>
      <c r="C30" s="10"/>
      <c r="D30" s="40"/>
      <c r="E30" s="40"/>
      <c r="F30" s="40"/>
      <c r="G30" s="40"/>
      <c r="H30" s="232"/>
      <c r="I30" s="232"/>
      <c r="W30" s="133">
        <v>42725</v>
      </c>
      <c r="X30" s="10">
        <v>36.25</v>
      </c>
      <c r="Y30" s="10">
        <v>36.479999999999997</v>
      </c>
      <c r="Z30" s="10">
        <v>36.03</v>
      </c>
      <c r="AA30" s="10">
        <v>36.369999999999997</v>
      </c>
      <c r="AB30" s="95">
        <v>3547500</v>
      </c>
      <c r="AC30" s="10">
        <v>36.369999999999997</v>
      </c>
      <c r="AD30" s="2">
        <f t="shared" si="0"/>
        <v>0.44999999999999574</v>
      </c>
      <c r="AE30" s="138">
        <f t="shared" si="1"/>
        <v>3.3103448275861869E-3</v>
      </c>
    </row>
    <row r="31" spans="1:31" x14ac:dyDescent="0.25">
      <c r="B31" s="193"/>
      <c r="C31" s="10"/>
      <c r="D31" s="40"/>
      <c r="E31" s="40"/>
      <c r="F31" s="40"/>
      <c r="G31" s="40"/>
      <c r="H31" s="232"/>
      <c r="I31" s="232"/>
      <c r="W31" s="133">
        <v>42724</v>
      </c>
      <c r="X31" s="10">
        <v>36.630000000000003</v>
      </c>
      <c r="Y31" s="10">
        <v>36.78</v>
      </c>
      <c r="Z31" s="10">
        <v>36.03</v>
      </c>
      <c r="AA31" s="10">
        <v>36.25</v>
      </c>
      <c r="AB31" s="95">
        <v>4660700</v>
      </c>
      <c r="AC31" s="10">
        <v>36.25</v>
      </c>
      <c r="AD31" s="2">
        <f t="shared" si="0"/>
        <v>0.75</v>
      </c>
      <c r="AE31" s="138">
        <f t="shared" si="1"/>
        <v>-8.7503418102269359E-3</v>
      </c>
    </row>
    <row r="32" spans="1:31" x14ac:dyDescent="0.25">
      <c r="B32" s="193"/>
      <c r="C32" s="10"/>
      <c r="D32" s="40"/>
      <c r="E32" s="40"/>
      <c r="F32" s="40"/>
      <c r="G32" s="40"/>
      <c r="H32" s="232"/>
      <c r="I32" s="232"/>
      <c r="W32" s="133">
        <v>42723</v>
      </c>
      <c r="X32" s="10">
        <v>36.479999999999997</v>
      </c>
      <c r="Y32" s="10">
        <v>36.869999999999997</v>
      </c>
      <c r="Z32" s="10">
        <v>36.4</v>
      </c>
      <c r="AA32" s="10">
        <v>36.57</v>
      </c>
      <c r="AB32" s="95">
        <v>5099900</v>
      </c>
      <c r="AC32" s="10">
        <v>36.57</v>
      </c>
      <c r="AD32" s="2">
        <f t="shared" si="0"/>
        <v>0.46999999999999886</v>
      </c>
      <c r="AE32" s="138">
        <f t="shared" si="1"/>
        <v>1.6433853738702098E-3</v>
      </c>
    </row>
    <row r="33" spans="1:31" x14ac:dyDescent="0.25">
      <c r="B33" s="10"/>
      <c r="C33" s="10"/>
      <c r="D33" s="40"/>
      <c r="E33" s="40"/>
      <c r="F33" s="40"/>
      <c r="G33" s="40"/>
      <c r="H33" s="232"/>
      <c r="I33" s="232"/>
      <c r="W33" s="133">
        <v>42720</v>
      </c>
      <c r="X33" s="10">
        <v>36.96</v>
      </c>
      <c r="Y33" s="10">
        <v>36.979999999999997</v>
      </c>
      <c r="Z33" s="10">
        <v>36.299999999999997</v>
      </c>
      <c r="AA33" s="10">
        <v>36.51</v>
      </c>
      <c r="AB33" s="95">
        <v>5484900</v>
      </c>
      <c r="AC33" s="10">
        <v>36.51</v>
      </c>
      <c r="AD33" s="2">
        <f t="shared" si="0"/>
        <v>0.67999999999999972</v>
      </c>
      <c r="AE33" s="138">
        <f t="shared" si="1"/>
        <v>-5.9896542335964309E-3</v>
      </c>
    </row>
    <row r="34" spans="1:31" x14ac:dyDescent="0.25">
      <c r="B34" s="10"/>
      <c r="C34" s="10"/>
      <c r="D34" s="40"/>
      <c r="E34" s="40"/>
      <c r="F34" s="40"/>
      <c r="G34" s="40"/>
      <c r="H34" s="232"/>
      <c r="I34" s="232"/>
      <c r="W34" s="133">
        <v>42719</v>
      </c>
      <c r="X34" s="10">
        <v>36.78</v>
      </c>
      <c r="Y34" s="10">
        <v>37.56</v>
      </c>
      <c r="Z34" s="10">
        <v>36.42</v>
      </c>
      <c r="AA34" s="10">
        <v>36.729999999999997</v>
      </c>
      <c r="AB34" s="95">
        <v>6690000</v>
      </c>
      <c r="AC34" s="10">
        <v>36.729999999999997</v>
      </c>
      <c r="AD34" s="2">
        <f t="shared" si="0"/>
        <v>1.1400000000000006</v>
      </c>
      <c r="AE34" s="138">
        <f t="shared" si="1"/>
        <v>-7.2972972972973338E-3</v>
      </c>
    </row>
    <row r="35" spans="1:31" x14ac:dyDescent="0.25">
      <c r="W35" s="133">
        <v>42718</v>
      </c>
      <c r="X35" s="10">
        <v>37.299999999999997</v>
      </c>
      <c r="Y35" s="10">
        <v>37.51</v>
      </c>
      <c r="Z35" s="10">
        <v>36.54</v>
      </c>
      <c r="AA35" s="10">
        <v>37</v>
      </c>
      <c r="AB35" s="95">
        <v>10607000</v>
      </c>
      <c r="AC35" s="10">
        <v>37</v>
      </c>
      <c r="AD35" s="2">
        <f t="shared" si="0"/>
        <v>0.96999999999999886</v>
      </c>
      <c r="AE35" s="138">
        <f t="shared" si="1"/>
        <v>-1.7525225703664327E-2</v>
      </c>
    </row>
    <row r="36" spans="1:31" x14ac:dyDescent="0.25">
      <c r="L36" t="s">
        <v>215</v>
      </c>
      <c r="M36" s="2">
        <f>M50+K50-F50</f>
        <v>0</v>
      </c>
      <c r="W36" s="133">
        <v>42717</v>
      </c>
      <c r="X36" s="10">
        <v>37.58</v>
      </c>
      <c r="Y36" s="10">
        <v>37.79</v>
      </c>
      <c r="Z36" s="10">
        <v>37.39</v>
      </c>
      <c r="AA36" s="10">
        <v>37.659999999999997</v>
      </c>
      <c r="AB36" s="95">
        <v>6731900</v>
      </c>
      <c r="AC36" s="10">
        <v>37.659999999999997</v>
      </c>
      <c r="AD36" s="2">
        <f t="shared" si="0"/>
        <v>0.39999999999999858</v>
      </c>
      <c r="AE36" s="138">
        <f t="shared" si="1"/>
        <v>1.1006711409395908E-2</v>
      </c>
    </row>
    <row r="37" spans="1:31" x14ac:dyDescent="0.25">
      <c r="A37" s="387" t="s">
        <v>1</v>
      </c>
      <c r="B37" s="387" t="s">
        <v>2</v>
      </c>
      <c r="C37" s="387" t="s">
        <v>4</v>
      </c>
      <c r="D37" s="389" t="s">
        <v>5</v>
      </c>
      <c r="E37" s="389" t="s">
        <v>94</v>
      </c>
      <c r="F37" s="389" t="s">
        <v>60</v>
      </c>
      <c r="G37" s="387" t="s">
        <v>3</v>
      </c>
      <c r="H37" s="387" t="s">
        <v>6</v>
      </c>
      <c r="I37" s="389" t="s">
        <v>7</v>
      </c>
      <c r="J37" s="389" t="s">
        <v>95</v>
      </c>
      <c r="K37" s="389" t="s">
        <v>61</v>
      </c>
      <c r="L37" s="387" t="s">
        <v>77</v>
      </c>
      <c r="M37" s="387" t="s">
        <v>38</v>
      </c>
      <c r="W37" s="133">
        <v>42716</v>
      </c>
      <c r="X37" s="10">
        <v>36.369999999999997</v>
      </c>
      <c r="Y37" s="10">
        <v>37.69</v>
      </c>
      <c r="Z37" s="10">
        <v>36.36</v>
      </c>
      <c r="AA37" s="10">
        <v>37.25</v>
      </c>
      <c r="AB37" s="95">
        <v>8787700</v>
      </c>
      <c r="AC37" s="10">
        <v>37.25</v>
      </c>
      <c r="AD37" s="2">
        <f t="shared" si="0"/>
        <v>1.3299999999999983</v>
      </c>
      <c r="AE37" s="138">
        <f t="shared" si="1"/>
        <v>2.6170798898071723E-2</v>
      </c>
    </row>
    <row r="38" spans="1:31" x14ac:dyDescent="0.25">
      <c r="A38" s="390" t="s">
        <v>396</v>
      </c>
      <c r="B38" s="380"/>
      <c r="C38" s="381"/>
      <c r="D38" s="382"/>
      <c r="E38" s="382"/>
      <c r="F38" s="382"/>
      <c r="G38" s="380"/>
      <c r="H38" s="385"/>
      <c r="I38" s="382"/>
      <c r="J38" s="382"/>
      <c r="K38" s="382"/>
      <c r="L38" s="380"/>
      <c r="M38" s="382"/>
      <c r="W38" s="133">
        <v>42713</v>
      </c>
      <c r="X38" s="10">
        <v>36.22</v>
      </c>
      <c r="Y38" s="10">
        <v>36.86</v>
      </c>
      <c r="Z38" s="10">
        <v>36.15</v>
      </c>
      <c r="AA38" s="10">
        <v>36.299999999999997</v>
      </c>
      <c r="AB38" s="95">
        <v>7684400</v>
      </c>
      <c r="AC38" s="10">
        <v>36.299999999999997</v>
      </c>
      <c r="AD38" s="2">
        <f t="shared" si="0"/>
        <v>0.71000000000000085</v>
      </c>
      <c r="AE38" s="138">
        <f t="shared" si="1"/>
        <v>1.0860484544695126E-2</v>
      </c>
    </row>
    <row r="39" spans="1:31" x14ac:dyDescent="0.25">
      <c r="A39" s="391" t="s">
        <v>71</v>
      </c>
      <c r="B39" s="380"/>
      <c r="C39" s="381"/>
      <c r="D39" s="382"/>
      <c r="E39" s="382"/>
      <c r="F39" s="382"/>
      <c r="G39" s="380"/>
      <c r="H39" s="385"/>
      <c r="I39" s="382"/>
      <c r="J39" s="382"/>
      <c r="K39" s="382"/>
      <c r="L39" s="381"/>
      <c r="M39" s="381"/>
      <c r="W39" s="133">
        <v>42712</v>
      </c>
      <c r="X39" s="10">
        <v>35.4</v>
      </c>
      <c r="Y39" s="10">
        <v>36.479999999999997</v>
      </c>
      <c r="Z39" s="10">
        <v>35.22</v>
      </c>
      <c r="AA39" s="10">
        <v>35.909999999999997</v>
      </c>
      <c r="AB39" s="95">
        <v>11317000</v>
      </c>
      <c r="AC39" s="10">
        <v>35.909999999999997</v>
      </c>
      <c r="AD39" s="2">
        <f t="shared" si="0"/>
        <v>1.259999999999998</v>
      </c>
      <c r="AE39" s="138">
        <f t="shared" si="1"/>
        <v>1.814573291749344E-2</v>
      </c>
    </row>
    <row r="40" spans="1:31" x14ac:dyDescent="0.25">
      <c r="A40" s="381"/>
      <c r="B40" s="381"/>
      <c r="C40" s="381"/>
      <c r="D40" s="382"/>
      <c r="E40" s="382"/>
      <c r="F40" s="382"/>
      <c r="G40" s="380"/>
      <c r="H40" s="385"/>
      <c r="I40" s="382"/>
      <c r="J40" s="382"/>
      <c r="K40" s="382"/>
      <c r="L40" s="381"/>
      <c r="M40" s="381"/>
      <c r="W40" s="133">
        <v>42711</v>
      </c>
      <c r="X40" s="10">
        <v>35.29</v>
      </c>
      <c r="Y40" s="10">
        <v>35.32</v>
      </c>
      <c r="Z40" s="10">
        <v>34.619999999999997</v>
      </c>
      <c r="AA40" s="10">
        <v>35.270000000000003</v>
      </c>
      <c r="AB40" s="95">
        <v>10381600</v>
      </c>
      <c r="AC40" s="10">
        <v>35.270000000000003</v>
      </c>
      <c r="AD40" s="2">
        <f t="shared" si="0"/>
        <v>0.70000000000000284</v>
      </c>
      <c r="AE40" s="138">
        <f t="shared" si="1"/>
        <v>6.8512703397087815E-3</v>
      </c>
    </row>
    <row r="41" spans="1:31" x14ac:dyDescent="0.25">
      <c r="A41" s="381"/>
      <c r="B41" s="381"/>
      <c r="C41" s="381"/>
      <c r="D41" s="382"/>
      <c r="E41" s="382"/>
      <c r="F41" s="382"/>
      <c r="G41" s="381"/>
      <c r="H41" s="381"/>
      <c r="I41" s="382"/>
      <c r="J41" s="382"/>
      <c r="K41" s="382"/>
      <c r="L41" s="381"/>
      <c r="M41" s="381"/>
      <c r="O41" s="34"/>
      <c r="R41" s="34"/>
      <c r="W41" s="133">
        <v>42710</v>
      </c>
      <c r="X41" s="10">
        <v>35.33</v>
      </c>
      <c r="Y41" s="10">
        <v>35.950000000000003</v>
      </c>
      <c r="Z41" s="10">
        <v>34.57</v>
      </c>
      <c r="AA41" s="10">
        <v>35.03</v>
      </c>
      <c r="AB41" s="95">
        <v>30537900</v>
      </c>
      <c r="AC41" s="10">
        <v>35.03</v>
      </c>
      <c r="AD41" s="2">
        <f t="shared" si="0"/>
        <v>1.3800000000000026</v>
      </c>
      <c r="AE41" s="138">
        <f t="shared" si="1"/>
        <v>-5.4265658747300161E-2</v>
      </c>
    </row>
    <row r="42" spans="1:31" ht="20.25" thickBot="1" x14ac:dyDescent="0.35">
      <c r="A42" s="381"/>
      <c r="B42" s="381"/>
      <c r="C42" s="381"/>
      <c r="D42" s="382"/>
      <c r="E42" s="382"/>
      <c r="F42" s="382"/>
      <c r="G42" s="381"/>
      <c r="H42" s="381"/>
      <c r="I42" s="382"/>
      <c r="J42" s="382"/>
      <c r="K42" s="382"/>
      <c r="L42" s="381"/>
      <c r="M42" s="381"/>
      <c r="O42" s="605" t="s">
        <v>78</v>
      </c>
      <c r="P42" s="605"/>
      <c r="Q42" s="34"/>
      <c r="R42" s="34"/>
      <c r="T42" s="91" t="s">
        <v>113</v>
      </c>
      <c r="W42" s="133">
        <v>42709</v>
      </c>
      <c r="X42" s="10">
        <v>36.65</v>
      </c>
      <c r="Y42" s="10">
        <v>37.18</v>
      </c>
      <c r="Z42" s="10">
        <v>36.4</v>
      </c>
      <c r="AA42" s="10">
        <v>37.04</v>
      </c>
      <c r="AB42" s="95">
        <v>6424400</v>
      </c>
      <c r="AC42" s="10">
        <v>37.04</v>
      </c>
      <c r="AD42" s="2">
        <f t="shared" si="0"/>
        <v>0.78000000000000114</v>
      </c>
      <c r="AE42" s="138">
        <f t="shared" si="1"/>
        <v>1.396112784013126E-2</v>
      </c>
    </row>
    <row r="43" spans="1:31" ht="15.75" thickTop="1" x14ac:dyDescent="0.25">
      <c r="A43" s="381"/>
      <c r="B43" s="381"/>
      <c r="C43" s="381"/>
      <c r="D43" s="382"/>
      <c r="E43" s="382"/>
      <c r="F43" s="382"/>
      <c r="G43" s="381"/>
      <c r="H43" s="381"/>
      <c r="I43" s="382"/>
      <c r="J43" s="382"/>
      <c r="K43" s="382"/>
      <c r="L43" s="381"/>
      <c r="M43" s="381"/>
      <c r="O43" s="83">
        <v>1.1000000000000001</v>
      </c>
      <c r="P43" s="83">
        <f>O43*$Q$4</f>
        <v>37.884</v>
      </c>
      <c r="Q43" s="34"/>
      <c r="R43" s="34"/>
      <c r="T43" s="128" t="s">
        <v>98</v>
      </c>
      <c r="U43" s="98">
        <v>34.69</v>
      </c>
      <c r="W43" s="133">
        <v>42706</v>
      </c>
      <c r="X43" s="10">
        <v>36.700000000000003</v>
      </c>
      <c r="Y43" s="10">
        <v>37.11</v>
      </c>
      <c r="Z43" s="10">
        <v>36.409999999999997</v>
      </c>
      <c r="AA43" s="10">
        <v>36.53</v>
      </c>
      <c r="AB43" s="95">
        <v>6915900</v>
      </c>
      <c r="AC43" s="10">
        <v>36.53</v>
      </c>
      <c r="AD43" s="2">
        <f t="shared" si="0"/>
        <v>0.70000000000000284</v>
      </c>
      <c r="AE43" s="138">
        <f t="shared" si="1"/>
        <v>-1.0937927262782976E-3</v>
      </c>
    </row>
    <row r="44" spans="1:31" x14ac:dyDescent="0.25">
      <c r="A44" s="381"/>
      <c r="B44" s="381"/>
      <c r="C44" s="381"/>
      <c r="D44" s="382"/>
      <c r="E44" s="382"/>
      <c r="F44" s="382"/>
      <c r="G44" s="381"/>
      <c r="H44" s="381"/>
      <c r="I44" s="382"/>
      <c r="J44" s="382"/>
      <c r="K44" s="382"/>
      <c r="L44" s="381"/>
      <c r="M44" s="381"/>
      <c r="O44" s="83">
        <v>1.0900000000000001</v>
      </c>
      <c r="P44" s="83">
        <f t="shared" ref="P44:P63" si="2">O44*$Q$4</f>
        <v>37.5396</v>
      </c>
      <c r="Q44" s="34"/>
      <c r="R44" s="34"/>
      <c r="T44" s="93" t="s">
        <v>99</v>
      </c>
      <c r="U44" s="88">
        <v>34.26</v>
      </c>
      <c r="W44" s="133">
        <v>42705</v>
      </c>
      <c r="X44" s="10">
        <v>37.4</v>
      </c>
      <c r="Y44" s="10">
        <v>37.68</v>
      </c>
      <c r="Z44" s="10">
        <v>36.56</v>
      </c>
      <c r="AA44" s="10">
        <v>36.57</v>
      </c>
      <c r="AB44" s="95">
        <v>6557800</v>
      </c>
      <c r="AC44" s="10">
        <v>36.57</v>
      </c>
      <c r="AD44" s="2">
        <f t="shared" si="0"/>
        <v>1.1199999999999974</v>
      </c>
      <c r="AE44" s="138" t="e">
        <f t="shared" si="1"/>
        <v>#DIV/0!</v>
      </c>
    </row>
    <row r="45" spans="1:31" x14ac:dyDescent="0.25">
      <c r="A45" s="381"/>
      <c r="B45" s="381"/>
      <c r="C45" s="381"/>
      <c r="D45" s="382"/>
      <c r="E45" s="382"/>
      <c r="F45" s="382"/>
      <c r="G45" s="381"/>
      <c r="H45" s="381"/>
      <c r="I45" s="382"/>
      <c r="J45" s="382"/>
      <c r="K45" s="382"/>
      <c r="L45" s="381"/>
      <c r="M45" s="381"/>
      <c r="O45" s="83">
        <v>1.08</v>
      </c>
      <c r="P45" s="83">
        <f t="shared" si="2"/>
        <v>37.1952</v>
      </c>
      <c r="Q45" s="34"/>
      <c r="R45" s="34"/>
      <c r="T45" s="93" t="s">
        <v>100</v>
      </c>
      <c r="U45" s="88" t="s">
        <v>129</v>
      </c>
      <c r="W45" s="133">
        <v>42705</v>
      </c>
      <c r="X45" s="10" t="s">
        <v>397</v>
      </c>
      <c r="Y45" s="10"/>
      <c r="Z45" s="10"/>
      <c r="AA45" s="10"/>
      <c r="AB45" s="95"/>
      <c r="AC45" s="10"/>
      <c r="AD45" s="2">
        <f t="shared" si="0"/>
        <v>0</v>
      </c>
      <c r="AE45" s="138">
        <f t="shared" si="1"/>
        <v>-1</v>
      </c>
    </row>
    <row r="46" spans="1:31" x14ac:dyDescent="0.25">
      <c r="A46" s="381"/>
      <c r="B46" s="381"/>
      <c r="C46" s="381"/>
      <c r="D46" s="382"/>
      <c r="E46" s="382"/>
      <c r="F46" s="382"/>
      <c r="G46" s="381"/>
      <c r="H46" s="381"/>
      <c r="I46" s="382"/>
      <c r="J46" s="382"/>
      <c r="K46" s="382"/>
      <c r="L46" s="381"/>
      <c r="M46" s="381"/>
      <c r="O46" s="83">
        <v>1.07</v>
      </c>
      <c r="P46" s="83">
        <f t="shared" si="2"/>
        <v>36.8508</v>
      </c>
      <c r="Q46" s="83"/>
      <c r="R46" s="34"/>
      <c r="T46" s="93" t="s">
        <v>101</v>
      </c>
      <c r="U46" s="88" t="s">
        <v>129</v>
      </c>
      <c r="W46" s="133">
        <v>42704</v>
      </c>
      <c r="X46" s="10">
        <v>37.79</v>
      </c>
      <c r="Y46" s="10">
        <v>38.380000000000003</v>
      </c>
      <c r="Z46" s="10">
        <v>37.4</v>
      </c>
      <c r="AA46" s="10">
        <v>37.700000000000003</v>
      </c>
      <c r="AB46" s="95">
        <v>10812600</v>
      </c>
      <c r="AC46" s="10">
        <v>37.36</v>
      </c>
      <c r="AD46" s="2">
        <f t="shared" si="0"/>
        <v>0.98000000000000398</v>
      </c>
      <c r="AE46" s="138">
        <f t="shared" si="1"/>
        <v>-4.2643923240939241E-3</v>
      </c>
    </row>
    <row r="47" spans="1:31" x14ac:dyDescent="0.25">
      <c r="A47" s="381"/>
      <c r="B47" s="381"/>
      <c r="C47" s="381"/>
      <c r="D47" s="382"/>
      <c r="E47" s="382"/>
      <c r="F47" s="382"/>
      <c r="G47" s="381"/>
      <c r="H47" s="381"/>
      <c r="I47" s="382"/>
      <c r="J47" s="382"/>
      <c r="K47" s="382"/>
      <c r="L47" s="381"/>
      <c r="M47" s="381"/>
      <c r="O47" s="83">
        <v>1.06</v>
      </c>
      <c r="P47" s="83">
        <f t="shared" si="2"/>
        <v>36.506399999999999</v>
      </c>
      <c r="Q47" s="83"/>
      <c r="R47" s="34"/>
      <c r="T47" s="93" t="s">
        <v>102</v>
      </c>
      <c r="U47" s="88">
        <v>42.7</v>
      </c>
      <c r="W47" s="133">
        <v>42703</v>
      </c>
      <c r="X47" s="10">
        <v>38.17</v>
      </c>
      <c r="Y47" s="10">
        <v>38.49</v>
      </c>
      <c r="Z47" s="10">
        <v>37.71</v>
      </c>
      <c r="AA47" s="10">
        <v>37.86</v>
      </c>
      <c r="AB47" s="95">
        <v>5516900</v>
      </c>
      <c r="AC47" s="10">
        <v>37.520000000000003</v>
      </c>
      <c r="AD47" s="2">
        <f t="shared" si="0"/>
        <v>0.78000000000000114</v>
      </c>
      <c r="AE47" s="138">
        <f t="shared" si="1"/>
        <v>-7.6699285903200076E-3</v>
      </c>
    </row>
    <row r="48" spans="1:31" x14ac:dyDescent="0.25">
      <c r="A48" s="381"/>
      <c r="B48" s="381"/>
      <c r="C48" s="381"/>
      <c r="D48" s="382"/>
      <c r="E48" s="382"/>
      <c r="F48" s="382"/>
      <c r="G48" s="381"/>
      <c r="H48" s="381"/>
      <c r="I48" s="382"/>
      <c r="J48" s="382"/>
      <c r="K48" s="382"/>
      <c r="L48" s="381"/>
      <c r="M48" s="381"/>
      <c r="O48" s="83">
        <v>1.05</v>
      </c>
      <c r="P48" s="83">
        <f t="shared" si="2"/>
        <v>36.161999999999999</v>
      </c>
      <c r="Q48" s="83"/>
      <c r="R48" s="34"/>
      <c r="T48" s="93" t="s">
        <v>103</v>
      </c>
      <c r="U48" s="88">
        <v>0.474466</v>
      </c>
      <c r="W48" s="133">
        <v>42702</v>
      </c>
      <c r="X48" s="10">
        <v>38.159999999999997</v>
      </c>
      <c r="Y48" s="10">
        <v>38.4</v>
      </c>
      <c r="Z48" s="10">
        <v>38.04</v>
      </c>
      <c r="AA48" s="10">
        <v>38.15</v>
      </c>
      <c r="AB48" s="95">
        <v>4883100</v>
      </c>
      <c r="AC48" s="10">
        <v>37.81</v>
      </c>
      <c r="AD48" s="2">
        <f t="shared" si="0"/>
        <v>0.35999999999999943</v>
      </c>
      <c r="AE48" s="138">
        <f t="shared" si="1"/>
        <v>-1.5843675732768459E-3</v>
      </c>
    </row>
    <row r="49" spans="1:31" x14ac:dyDescent="0.25">
      <c r="A49" s="381"/>
      <c r="B49" s="381"/>
      <c r="C49" s="381"/>
      <c r="D49" s="382"/>
      <c r="E49" s="382"/>
      <c r="F49" s="382"/>
      <c r="G49" s="381"/>
      <c r="H49" s="381"/>
      <c r="I49" s="382"/>
      <c r="J49" s="382"/>
      <c r="K49" s="382"/>
      <c r="L49" s="381"/>
      <c r="M49" s="381"/>
      <c r="O49" s="83">
        <v>1.04</v>
      </c>
      <c r="P49" s="83">
        <f t="shared" si="2"/>
        <v>35.817599999999999</v>
      </c>
      <c r="Q49" s="83"/>
      <c r="R49" s="34"/>
      <c r="T49" s="93" t="s">
        <v>104</v>
      </c>
      <c r="U49" s="88" t="s">
        <v>129</v>
      </c>
      <c r="W49" s="133">
        <v>42699</v>
      </c>
      <c r="X49" s="10">
        <v>38.200000000000003</v>
      </c>
      <c r="Y49" s="10">
        <v>38.479999999999997</v>
      </c>
      <c r="Z49" s="10">
        <v>38.01</v>
      </c>
      <c r="AA49" s="10">
        <v>38.21</v>
      </c>
      <c r="AB49" s="95">
        <v>2320800</v>
      </c>
      <c r="AC49" s="10">
        <v>37.869999999999997</v>
      </c>
      <c r="AD49" s="2">
        <f t="shared" si="0"/>
        <v>0.46999999999999886</v>
      </c>
      <c r="AE49" s="138">
        <f t="shared" si="1"/>
        <v>2.6476039184537559E-3</v>
      </c>
    </row>
    <row r="50" spans="1:31" x14ac:dyDescent="0.25">
      <c r="A50" s="36" t="s">
        <v>81</v>
      </c>
      <c r="B50" s="37"/>
      <c r="C50" s="37">
        <f>SUM(C38:C49)</f>
        <v>0</v>
      </c>
      <c r="D50" s="38"/>
      <c r="E50" s="38"/>
      <c r="F50" s="38">
        <f>SUM(F38:F49)</f>
        <v>0</v>
      </c>
      <c r="G50" s="37"/>
      <c r="H50" s="183">
        <f>SUM(H38:H49)</f>
        <v>0</v>
      </c>
      <c r="I50" s="38"/>
      <c r="J50" s="38"/>
      <c r="K50" s="38">
        <f>SUM(K38:K49)</f>
        <v>0</v>
      </c>
      <c r="L50" s="38"/>
      <c r="M50" s="38">
        <f>SUM(M38:M39)</f>
        <v>0</v>
      </c>
      <c r="O50" s="83">
        <v>1.03</v>
      </c>
      <c r="P50" s="83">
        <f t="shared" si="2"/>
        <v>35.473199999999999</v>
      </c>
      <c r="Q50" s="83"/>
      <c r="R50" s="34"/>
      <c r="T50" s="93"/>
      <c r="U50" s="88"/>
      <c r="W50" s="133">
        <v>42697</v>
      </c>
      <c r="X50" s="10">
        <v>37.479999999999997</v>
      </c>
      <c r="Y50" s="10">
        <v>38.11</v>
      </c>
      <c r="Z50" s="10">
        <v>37.119999999999997</v>
      </c>
      <c r="AA50" s="10">
        <v>38.11</v>
      </c>
      <c r="AB50" s="95">
        <v>6554900</v>
      </c>
      <c r="AC50" s="10">
        <v>37.770000000000003</v>
      </c>
      <c r="AD50" s="2">
        <f t="shared" si="0"/>
        <v>0.99000000000000199</v>
      </c>
      <c r="AE50" s="138">
        <f t="shared" si="1"/>
        <v>7.4686583088823255E-3</v>
      </c>
    </row>
    <row r="51" spans="1:31" x14ac:dyDescent="0.25">
      <c r="G51" s="2"/>
      <c r="O51" s="83">
        <v>1.02</v>
      </c>
      <c r="P51" s="83">
        <f t="shared" si="2"/>
        <v>35.128799999999998</v>
      </c>
      <c r="Q51" s="83"/>
      <c r="R51" s="34"/>
      <c r="T51" s="93" t="s">
        <v>105</v>
      </c>
      <c r="U51" s="88" t="s">
        <v>652</v>
      </c>
      <c r="W51" s="133">
        <v>42696</v>
      </c>
      <c r="X51" s="10">
        <v>38.5</v>
      </c>
      <c r="Y51" s="10">
        <v>38.69</v>
      </c>
      <c r="Z51" s="10">
        <v>37.56</v>
      </c>
      <c r="AA51" s="10">
        <v>37.83</v>
      </c>
      <c r="AB51" s="95">
        <v>10562800</v>
      </c>
      <c r="AC51" s="10">
        <v>37.49</v>
      </c>
      <c r="AD51" s="2">
        <f t="shared" si="0"/>
        <v>1.1299999999999955</v>
      </c>
      <c r="AE51" s="138">
        <f t="shared" si="1"/>
        <v>-2.496749024707412E-2</v>
      </c>
    </row>
    <row r="52" spans="1:31" x14ac:dyDescent="0.25">
      <c r="O52" s="83">
        <v>1.01</v>
      </c>
      <c r="P52" s="83">
        <f t="shared" si="2"/>
        <v>34.784399999999998</v>
      </c>
      <c r="Q52" s="83"/>
      <c r="R52" s="34"/>
      <c r="T52" s="93" t="s">
        <v>106</v>
      </c>
      <c r="U52" s="88" t="s">
        <v>653</v>
      </c>
      <c r="W52" s="133">
        <v>42695</v>
      </c>
      <c r="X52" s="10">
        <v>38.68</v>
      </c>
      <c r="Y52" s="10">
        <v>38.89</v>
      </c>
      <c r="Z52" s="10">
        <v>38.46</v>
      </c>
      <c r="AA52" s="10">
        <v>38.799999999999997</v>
      </c>
      <c r="AB52" s="95">
        <v>6112300</v>
      </c>
      <c r="AC52" s="10">
        <v>38.450000000000003</v>
      </c>
      <c r="AD52" s="2">
        <f t="shared" si="0"/>
        <v>0.42999999999999972</v>
      </c>
      <c r="AE52" s="138">
        <f t="shared" si="1"/>
        <v>6.2810782517666031E-3</v>
      </c>
    </row>
    <row r="53" spans="1:31" x14ac:dyDescent="0.25">
      <c r="O53" s="83">
        <v>1</v>
      </c>
      <c r="P53" s="83">
        <f t="shared" si="2"/>
        <v>34.44</v>
      </c>
      <c r="Q53" s="83"/>
      <c r="R53" s="34"/>
      <c r="T53" s="93" t="s">
        <v>107</v>
      </c>
      <c r="U53" s="90">
        <v>10763707</v>
      </c>
      <c r="W53" s="133">
        <v>42692</v>
      </c>
      <c r="X53" s="10">
        <v>39</v>
      </c>
      <c r="Y53" s="10">
        <v>39.08</v>
      </c>
      <c r="Z53" s="10">
        <v>38.5</v>
      </c>
      <c r="AA53" s="10">
        <v>38.56</v>
      </c>
      <c r="AB53" s="95">
        <v>6477100</v>
      </c>
      <c r="AC53" s="10">
        <v>38.21</v>
      </c>
      <c r="AD53" s="2">
        <f t="shared" si="0"/>
        <v>0.57999999999999829</v>
      </c>
      <c r="AE53" s="138">
        <f t="shared" si="1"/>
        <v>-8.5625324338349795E-3</v>
      </c>
    </row>
    <row r="54" spans="1:31" x14ac:dyDescent="0.25">
      <c r="O54" s="83">
        <v>0.99</v>
      </c>
      <c r="P54" s="83">
        <f t="shared" si="2"/>
        <v>34.095599999999997</v>
      </c>
      <c r="Q54" s="83"/>
      <c r="R54" s="34"/>
      <c r="T54" s="93" t="s">
        <v>110</v>
      </c>
      <c r="U54" s="90">
        <v>11124300</v>
      </c>
      <c r="W54" s="133">
        <v>42691</v>
      </c>
      <c r="X54" s="10">
        <v>38.26</v>
      </c>
      <c r="Y54" s="10">
        <v>39.409999999999997</v>
      </c>
      <c r="Z54" s="10">
        <v>38.01</v>
      </c>
      <c r="AA54" s="10">
        <v>38.89</v>
      </c>
      <c r="AB54" s="95">
        <v>9721600</v>
      </c>
      <c r="AC54" s="10">
        <v>38.54</v>
      </c>
      <c r="AD54" s="2">
        <f t="shared" si="0"/>
        <v>1.3999999999999986</v>
      </c>
      <c r="AE54" s="138">
        <f t="shared" si="1"/>
        <v>2.1468327590776548E-2</v>
      </c>
    </row>
    <row r="55" spans="1:31" x14ac:dyDescent="0.25">
      <c r="O55" s="83">
        <v>0.98</v>
      </c>
      <c r="P55" s="83">
        <f t="shared" si="2"/>
        <v>33.751199999999997</v>
      </c>
      <c r="Q55" s="83"/>
      <c r="T55" s="93" t="s">
        <v>108</v>
      </c>
      <c r="U55" s="88" t="s">
        <v>606</v>
      </c>
      <c r="W55" s="133">
        <v>42690</v>
      </c>
      <c r="X55" s="10">
        <v>37.78</v>
      </c>
      <c r="Y55" s="10">
        <v>38.49</v>
      </c>
      <c r="Z55" s="10">
        <v>37.4</v>
      </c>
      <c r="AA55" s="10">
        <v>38.07</v>
      </c>
      <c r="AB55" s="95">
        <v>18397000</v>
      </c>
      <c r="AC55" s="10">
        <v>37.729999999999997</v>
      </c>
      <c r="AD55" s="2">
        <f t="shared" si="0"/>
        <v>1.0900000000000034</v>
      </c>
      <c r="AE55" s="138">
        <f t="shared" si="1"/>
        <v>1.2614063338701076E-2</v>
      </c>
    </row>
    <row r="56" spans="1:31" x14ac:dyDescent="0.25">
      <c r="O56" s="83">
        <v>0.97</v>
      </c>
      <c r="P56" s="83">
        <f t="shared" si="2"/>
        <v>33.406799999999997</v>
      </c>
      <c r="Q56" s="83"/>
      <c r="T56" s="93" t="s">
        <v>111</v>
      </c>
      <c r="U56" s="88">
        <v>19.89</v>
      </c>
      <c r="W56" s="133">
        <v>42689</v>
      </c>
      <c r="X56" s="10">
        <v>39.479999999999997</v>
      </c>
      <c r="Y56" s="10">
        <v>39.5</v>
      </c>
      <c r="Z56" s="10">
        <v>37.25</v>
      </c>
      <c r="AA56" s="10">
        <v>37.6</v>
      </c>
      <c r="AB56" s="95">
        <v>27149300</v>
      </c>
      <c r="AC56" s="10">
        <v>37.26</v>
      </c>
      <c r="AD56" s="2">
        <f t="shared" si="0"/>
        <v>2.25</v>
      </c>
      <c r="AE56" s="138">
        <f t="shared" si="1"/>
        <v>-8.3620265617314282E-2</v>
      </c>
    </row>
    <row r="57" spans="1:31" x14ac:dyDescent="0.25">
      <c r="O57" s="83">
        <v>0.96</v>
      </c>
      <c r="P57" s="83">
        <f t="shared" si="2"/>
        <v>33.062399999999997</v>
      </c>
      <c r="Q57" s="83"/>
      <c r="T57" s="93" t="s">
        <v>112</v>
      </c>
      <c r="U57" s="88">
        <v>1.72</v>
      </c>
      <c r="W57" s="133">
        <v>42688</v>
      </c>
      <c r="X57" s="10">
        <v>40.22</v>
      </c>
      <c r="Y57" s="10">
        <v>41.19</v>
      </c>
      <c r="Z57" s="10">
        <v>39.92</v>
      </c>
      <c r="AA57" s="10">
        <v>41.03</v>
      </c>
      <c r="AB57" s="95">
        <v>11175900</v>
      </c>
      <c r="AC57" s="10">
        <v>40.659999999999997</v>
      </c>
      <c r="AD57" s="2">
        <f t="shared" si="0"/>
        <v>1.269999999999996</v>
      </c>
      <c r="AE57" s="138">
        <f t="shared" si="1"/>
        <v>9.4339622641508303E-3</v>
      </c>
    </row>
    <row r="58" spans="1:31" x14ac:dyDescent="0.25">
      <c r="O58" s="83">
        <v>0.95</v>
      </c>
      <c r="P58" s="83">
        <f t="shared" si="2"/>
        <v>32.717999999999996</v>
      </c>
      <c r="Q58" s="83"/>
      <c r="T58" s="93" t="s">
        <v>109</v>
      </c>
      <c r="U58" s="88" t="s">
        <v>654</v>
      </c>
      <c r="W58" s="133">
        <v>42685</v>
      </c>
      <c r="X58" s="10">
        <v>40.380000000000003</v>
      </c>
      <c r="Y58" s="10">
        <v>40.799999999999997</v>
      </c>
      <c r="Z58" s="10">
        <v>39.590000000000003</v>
      </c>
      <c r="AA58" s="10">
        <v>40.65</v>
      </c>
      <c r="AB58" s="95">
        <v>5830200</v>
      </c>
      <c r="AC58" s="10">
        <v>40.28</v>
      </c>
      <c r="AD58" s="2">
        <f t="shared" si="0"/>
        <v>1.2099999999999937</v>
      </c>
      <c r="AE58" s="138">
        <f t="shared" si="1"/>
        <v>1.4609571788413156E-2</v>
      </c>
    </row>
    <row r="59" spans="1:31" x14ac:dyDescent="0.25">
      <c r="O59" s="83">
        <v>0.94</v>
      </c>
      <c r="P59" s="83">
        <f t="shared" si="2"/>
        <v>32.373599999999996</v>
      </c>
      <c r="Q59" s="83"/>
      <c r="W59" s="133">
        <v>42684</v>
      </c>
      <c r="X59" s="10">
        <v>40.54</v>
      </c>
      <c r="Y59" s="10">
        <v>41.63</v>
      </c>
      <c r="Z59" s="10">
        <v>40.020000000000003</v>
      </c>
      <c r="AA59" s="10">
        <v>40.06</v>
      </c>
      <c r="AB59" s="95">
        <v>12173500</v>
      </c>
      <c r="AC59" s="10">
        <v>39.700000000000003</v>
      </c>
      <c r="AD59" s="2">
        <f t="shared" si="0"/>
        <v>1.6099999999999994</v>
      </c>
      <c r="AE59" s="138">
        <f t="shared" si="1"/>
        <v>2.2721534965919332E-3</v>
      </c>
    </row>
    <row r="60" spans="1:31" x14ac:dyDescent="0.25">
      <c r="O60" s="83">
        <v>0.93</v>
      </c>
      <c r="P60" s="83">
        <f t="shared" si="2"/>
        <v>32.029200000000003</v>
      </c>
      <c r="Q60" s="83"/>
      <c r="W60" s="133">
        <v>42683</v>
      </c>
      <c r="X60" s="10">
        <v>42.49</v>
      </c>
      <c r="Y60" s="10">
        <v>42.9</v>
      </c>
      <c r="Z60" s="10">
        <v>39.69</v>
      </c>
      <c r="AA60" s="10">
        <v>39.97</v>
      </c>
      <c r="AB60" s="95">
        <v>30730100</v>
      </c>
      <c r="AC60" s="10">
        <v>39.61</v>
      </c>
      <c r="AD60" s="2">
        <f t="shared" si="0"/>
        <v>3.2100000000000009</v>
      </c>
      <c r="AE60" s="138">
        <f t="shared" si="1"/>
        <v>3.0973451327433565E-2</v>
      </c>
    </row>
    <row r="61" spans="1:31" x14ac:dyDescent="0.25">
      <c r="O61" s="83">
        <v>0.92</v>
      </c>
      <c r="P61" s="83">
        <f t="shared" si="2"/>
        <v>31.684799999999999</v>
      </c>
      <c r="Q61" s="83"/>
      <c r="W61" s="133">
        <v>42682</v>
      </c>
      <c r="X61" s="10">
        <v>39.450000000000003</v>
      </c>
      <c r="Y61" s="10">
        <v>39.65</v>
      </c>
      <c r="Z61" s="10">
        <v>38.6</v>
      </c>
      <c r="AA61" s="10">
        <v>38.770000000000003</v>
      </c>
      <c r="AB61" s="95">
        <v>14442200</v>
      </c>
      <c r="AC61" s="10">
        <v>38.42</v>
      </c>
      <c r="AD61" s="2">
        <f t="shared" si="0"/>
        <v>1.0499999999999972</v>
      </c>
      <c r="AE61" s="138">
        <f t="shared" si="1"/>
        <v>-4.9245236327641551E-2</v>
      </c>
    </row>
    <row r="62" spans="1:31" x14ac:dyDescent="0.25">
      <c r="O62" s="83">
        <v>0.91</v>
      </c>
      <c r="P62" s="83">
        <f t="shared" si="2"/>
        <v>31.340399999999999</v>
      </c>
      <c r="Q62" s="83"/>
      <c r="W62" s="133">
        <v>42681</v>
      </c>
      <c r="X62" s="10">
        <v>40.5</v>
      </c>
      <c r="Y62" s="10">
        <v>40.950000000000003</v>
      </c>
      <c r="Z62" s="10">
        <v>40.11</v>
      </c>
      <c r="AA62" s="10">
        <v>40.78</v>
      </c>
      <c r="AB62" s="95">
        <v>8565100</v>
      </c>
      <c r="AC62" s="10">
        <v>40.409999999999997</v>
      </c>
      <c r="AD62" s="2">
        <f t="shared" si="0"/>
        <v>0.84000000000000341</v>
      </c>
      <c r="AE62" s="138">
        <f t="shared" si="1"/>
        <v>1.3289869608826388E-2</v>
      </c>
    </row>
    <row r="63" spans="1:31" x14ac:dyDescent="0.25">
      <c r="O63" s="83">
        <v>0.9</v>
      </c>
      <c r="P63" s="83">
        <f t="shared" si="2"/>
        <v>30.995999999999999</v>
      </c>
      <c r="Q63" s="83"/>
      <c r="W63" s="133">
        <v>42678</v>
      </c>
      <c r="X63" s="10">
        <v>39.76</v>
      </c>
      <c r="Y63" s="10">
        <v>40.78</v>
      </c>
      <c r="Z63" s="10">
        <v>39.200000000000003</v>
      </c>
      <c r="AA63" s="10">
        <v>40.24</v>
      </c>
      <c r="AB63" s="95">
        <v>16322700</v>
      </c>
      <c r="AC63" s="10">
        <v>39.880000000000003</v>
      </c>
      <c r="AD63" s="2">
        <f t="shared" si="0"/>
        <v>1.5799999999999983</v>
      </c>
      <c r="AE63" s="138">
        <f t="shared" si="1"/>
        <v>2.6512226512226622E-2</v>
      </c>
    </row>
    <row r="64" spans="1:31" x14ac:dyDescent="0.25">
      <c r="O64" s="34"/>
      <c r="W64" s="133">
        <v>42677</v>
      </c>
      <c r="X64" s="10">
        <v>43.34</v>
      </c>
      <c r="Y64" s="10">
        <v>43.46</v>
      </c>
      <c r="Z64" s="10">
        <v>37.82</v>
      </c>
      <c r="AA64" s="10">
        <v>39.200000000000003</v>
      </c>
      <c r="AB64" s="95">
        <v>40938000</v>
      </c>
      <c r="AC64" s="10">
        <v>38.85</v>
      </c>
      <c r="AD64" s="2">
        <f t="shared" si="0"/>
        <v>5.6400000000000006</v>
      </c>
      <c r="AE64" s="138">
        <f t="shared" si="1"/>
        <v>-9.5249184909175555E-2</v>
      </c>
    </row>
    <row r="65" spans="15:31" x14ac:dyDescent="0.25">
      <c r="W65" s="133">
        <v>42676</v>
      </c>
      <c r="X65" s="10">
        <v>43.15</v>
      </c>
      <c r="Y65" s="10">
        <v>44.13</v>
      </c>
      <c r="Z65" s="10">
        <v>43.08</v>
      </c>
      <c r="AA65" s="10">
        <v>43.33</v>
      </c>
      <c r="AB65" s="95">
        <v>7977500</v>
      </c>
      <c r="AC65" s="10">
        <v>42.94</v>
      </c>
      <c r="AD65" s="2">
        <f t="shared" si="0"/>
        <v>1.0500000000000043</v>
      </c>
      <c r="AE65" s="138">
        <f t="shared" si="1"/>
        <v>4.9145799204306506E-3</v>
      </c>
    </row>
    <row r="66" spans="15:31" x14ac:dyDescent="0.25">
      <c r="W66" s="133">
        <v>42675</v>
      </c>
      <c r="X66" s="10">
        <v>42.7</v>
      </c>
      <c r="Y66" s="10">
        <v>43.55</v>
      </c>
      <c r="Z66" s="10">
        <v>42.55</v>
      </c>
      <c r="AA66" s="10">
        <v>43.12</v>
      </c>
      <c r="AB66" s="95">
        <v>7778000</v>
      </c>
      <c r="AC66" s="10">
        <v>42.73</v>
      </c>
      <c r="AD66" s="2">
        <f t="shared" si="0"/>
        <v>1</v>
      </c>
      <c r="AE66" s="138">
        <f t="shared" si="1"/>
        <v>8.9728453364816829E-3</v>
      </c>
    </row>
    <row r="67" spans="15:31" x14ac:dyDescent="0.25">
      <c r="W67" s="133">
        <v>42674</v>
      </c>
      <c r="X67" s="10">
        <v>41.94</v>
      </c>
      <c r="Y67" s="10">
        <v>42.76</v>
      </c>
      <c r="Z67" s="10">
        <v>41.75</v>
      </c>
      <c r="AA67" s="10">
        <v>42.74</v>
      </c>
      <c r="AB67" s="95">
        <v>27345500</v>
      </c>
      <c r="AC67" s="10">
        <v>42.35</v>
      </c>
      <c r="AD67" s="2">
        <f>Y67-Z67</f>
        <v>1.009999999999998</v>
      </c>
      <c r="AE67" s="138">
        <f>AC67/AC68-1</f>
        <v>9.775870290891886E-3</v>
      </c>
    </row>
    <row r="68" spans="15:31" x14ac:dyDescent="0.25">
      <c r="W68" s="133">
        <v>42671</v>
      </c>
      <c r="X68" s="10">
        <v>43</v>
      </c>
      <c r="Y68" s="10">
        <v>43.1</v>
      </c>
      <c r="Z68" s="10">
        <v>42.11</v>
      </c>
      <c r="AA68" s="10">
        <v>42.32</v>
      </c>
      <c r="AB68" s="95">
        <v>6195100</v>
      </c>
      <c r="AC68" s="10">
        <v>41.94</v>
      </c>
      <c r="AD68" s="2">
        <f>Y68-Z68</f>
        <v>0.99000000000000199</v>
      </c>
      <c r="AE68" s="138" t="e">
        <f>AC68/AC69-1</f>
        <v>#DIV/0!</v>
      </c>
    </row>
    <row r="69" spans="15:31" x14ac:dyDescent="0.25">
      <c r="O69" s="34"/>
      <c r="W69" s="284" t="s">
        <v>121</v>
      </c>
      <c r="AB69" s="235"/>
    </row>
  </sheetData>
  <conditionalFormatting sqref="O43:O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{36E683F4-1894-4439-B945-94098F547F1E}</x14:id>
        </ext>
      </extLst>
    </cfRule>
  </conditionalFormatting>
  <conditionalFormatting sqref="AE1:AE68">
    <cfRule type="iconSet" priority="33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147" priority="31">
      <formula>F25&gt;0</formula>
    </cfRule>
    <cfRule type="expression" dxfId="146" priority="32">
      <formula>F25&lt;0</formula>
    </cfRule>
  </conditionalFormatting>
  <conditionalFormatting sqref="H25:H27">
    <cfRule type="expression" dxfId="145" priority="29">
      <formula>H25&gt;0</formula>
    </cfRule>
    <cfRule type="expression" dxfId="144" priority="30">
      <formula>H25&lt;0</formula>
    </cfRule>
  </conditionalFormatting>
  <conditionalFormatting sqref="H28">
    <cfRule type="expression" dxfId="143" priority="27">
      <formula>H28&gt;0</formula>
    </cfRule>
    <cfRule type="expression" dxfId="142" priority="28">
      <formula>H28&lt;0</formula>
    </cfRule>
  </conditionalFormatting>
  <conditionalFormatting sqref="H29">
    <cfRule type="expression" dxfId="141" priority="25">
      <formula>H29&gt;0</formula>
    </cfRule>
    <cfRule type="expression" dxfId="140" priority="26">
      <formula>H29&lt;0</formula>
    </cfRule>
  </conditionalFormatting>
  <conditionalFormatting sqref="H30:H34">
    <cfRule type="expression" dxfId="139" priority="23">
      <formula>H30&gt;0</formula>
    </cfRule>
    <cfRule type="expression" dxfId="138" priority="24">
      <formula>H30&lt;0</formula>
    </cfRule>
  </conditionalFormatting>
  <conditionalFormatting sqref="F21:F24">
    <cfRule type="expression" dxfId="137" priority="21">
      <formula>F21&gt;0</formula>
    </cfRule>
    <cfRule type="expression" dxfId="136" priority="22">
      <formula>F21&lt;0</formula>
    </cfRule>
  </conditionalFormatting>
  <conditionalFormatting sqref="H21:H24">
    <cfRule type="expression" dxfId="135" priority="19">
      <formula>H21&gt;0</formula>
    </cfRule>
    <cfRule type="expression" dxfId="134" priority="20">
      <formula>H21&lt;0</formula>
    </cfRule>
  </conditionalFormatting>
  <conditionalFormatting sqref="F30:F31">
    <cfRule type="expression" dxfId="133" priority="17">
      <formula>F30&gt;0</formula>
    </cfRule>
    <cfRule type="expression" dxfId="132" priority="18">
      <formula>F30&lt;0</formula>
    </cfRule>
  </conditionalFormatting>
  <conditionalFormatting sqref="I25:I27">
    <cfRule type="expression" dxfId="131" priority="15">
      <formula>I25&gt;0</formula>
    </cfRule>
    <cfRule type="expression" dxfId="130" priority="16">
      <formula>I25&lt;0</formula>
    </cfRule>
  </conditionalFormatting>
  <conditionalFormatting sqref="I28">
    <cfRule type="expression" dxfId="129" priority="13">
      <formula>I28&gt;0</formula>
    </cfRule>
    <cfRule type="expression" dxfId="128" priority="14">
      <formula>I28&lt;0</formula>
    </cfRule>
  </conditionalFormatting>
  <conditionalFormatting sqref="I29">
    <cfRule type="expression" dxfId="127" priority="11">
      <formula>I29&gt;0</formula>
    </cfRule>
    <cfRule type="expression" dxfId="126" priority="12">
      <formula>I29&lt;0</formula>
    </cfRule>
  </conditionalFormatting>
  <conditionalFormatting sqref="I30:I34">
    <cfRule type="expression" dxfId="125" priority="9">
      <formula>I30&gt;0</formula>
    </cfRule>
    <cfRule type="expression" dxfId="124" priority="10">
      <formula>I30&lt;0</formula>
    </cfRule>
  </conditionalFormatting>
  <conditionalFormatting sqref="I21:I24">
    <cfRule type="expression" dxfId="123" priority="7">
      <formula>I21&gt;0</formula>
    </cfRule>
    <cfRule type="expression" dxfId="122" priority="8">
      <formula>I21&lt;0</formula>
    </cfRule>
  </conditionalFormatting>
  <conditionalFormatting sqref="F32">
    <cfRule type="expression" dxfId="121" priority="5">
      <formula>F32&gt;0</formula>
    </cfRule>
    <cfRule type="expression" dxfId="120" priority="6">
      <formula>F32&lt;0</formula>
    </cfRule>
  </conditionalFormatting>
  <conditionalFormatting sqref="Q8">
    <cfRule type="expression" dxfId="119" priority="1">
      <formula>Q8&gt;0</formula>
    </cfRule>
    <cfRule type="expression" dxfId="118" priority="2">
      <formula>Q8&lt;0</formula>
    </cfRule>
  </conditionalFormatting>
  <conditionalFormatting sqref="Q7">
    <cfRule type="expression" dxfId="117" priority="3">
      <formula>Q7&gt;0</formula>
    </cfRule>
    <cfRule type="expression" dxfId="116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4294967293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6E683F4-1894-4439-B945-94098F547F1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100"/>
  <sheetViews>
    <sheetView workbookViewId="0">
      <pane ySplit="1" topLeftCell="A2" activePane="bottomLeft" state="frozen"/>
      <selection activeCell="A2" sqref="A2"/>
      <selection pane="bottomLeft" activeCell="G8" sqref="G8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63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0</v>
      </c>
      <c r="W2" s="133">
        <v>42768</v>
      </c>
      <c r="X2" s="10">
        <v>111.21</v>
      </c>
      <c r="Y2" s="10">
        <v>111.54</v>
      </c>
      <c r="Z2" s="10">
        <v>110.55</v>
      </c>
      <c r="AA2" s="10">
        <v>110.61</v>
      </c>
      <c r="AB2" s="95">
        <v>6501200</v>
      </c>
      <c r="AC2" s="10">
        <v>110.61</v>
      </c>
      <c r="AD2" s="2">
        <f>Y2-Z2</f>
        <v>0.99000000000000909</v>
      </c>
      <c r="AE2" s="138">
        <f>AC2/AC3-1</f>
        <v>-6.1994609164420789E-3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110.3</v>
      </c>
      <c r="T3" s="1"/>
      <c r="W3" s="133">
        <v>42767</v>
      </c>
      <c r="X3" s="10">
        <v>110.71</v>
      </c>
      <c r="Y3" s="10">
        <v>111.99</v>
      </c>
      <c r="Z3" s="10">
        <v>110.68</v>
      </c>
      <c r="AA3" s="10">
        <v>111.3</v>
      </c>
      <c r="AB3" s="95">
        <v>10489600</v>
      </c>
      <c r="AC3" s="10">
        <v>111.3</v>
      </c>
      <c r="AD3" s="2">
        <f t="shared" ref="AD3:AD66" si="0">Y3-Z3</f>
        <v>1.3099999999999881</v>
      </c>
      <c r="AE3" s="138">
        <f t="shared" ref="AE3:AE66" si="1">AC3/AC4-1</f>
        <v>5.8743786714865465E-3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110.3</v>
      </c>
      <c r="R4" s="505">
        <v>-2.8E-3</v>
      </c>
      <c r="T4" s="163"/>
      <c r="W4" s="133">
        <v>42766</v>
      </c>
      <c r="X4" s="10">
        <v>110.59</v>
      </c>
      <c r="Y4" s="10">
        <v>110.8</v>
      </c>
      <c r="Z4" s="10">
        <v>109.98</v>
      </c>
      <c r="AA4" s="10">
        <v>110.65</v>
      </c>
      <c r="AB4" s="95">
        <v>8395300</v>
      </c>
      <c r="AC4" s="10">
        <v>110.65</v>
      </c>
      <c r="AD4" s="2">
        <f t="shared" si="0"/>
        <v>0.81999999999999318</v>
      </c>
      <c r="AE4" s="138">
        <f t="shared" si="1"/>
        <v>-2.614025599423031E-3</v>
      </c>
    </row>
    <row r="5" spans="1:31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42765</v>
      </c>
      <c r="X5" s="10">
        <v>109.86</v>
      </c>
      <c r="Y5" s="10">
        <v>111.05</v>
      </c>
      <c r="Z5" s="10">
        <v>108.96</v>
      </c>
      <c r="AA5" s="10">
        <v>110.94</v>
      </c>
      <c r="AB5" s="95">
        <v>13765200</v>
      </c>
      <c r="AC5" s="10">
        <v>110.94</v>
      </c>
      <c r="AD5" s="2">
        <f t="shared" si="0"/>
        <v>2.0900000000000034</v>
      </c>
      <c r="AE5" s="138">
        <f t="shared" si="1"/>
        <v>1.5004574565416373E-2</v>
      </c>
    </row>
    <row r="6" spans="1:31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42762</v>
      </c>
      <c r="X6" s="10">
        <v>108.49</v>
      </c>
      <c r="Y6" s="10">
        <v>109.4</v>
      </c>
      <c r="Z6" s="10">
        <v>108.15</v>
      </c>
      <c r="AA6" s="10">
        <v>109.3</v>
      </c>
      <c r="AB6" s="95">
        <v>5534500</v>
      </c>
      <c r="AC6" s="10">
        <v>109.3</v>
      </c>
      <c r="AD6" s="2">
        <f t="shared" si="0"/>
        <v>1.25</v>
      </c>
      <c r="AE6" s="138">
        <f t="shared" si="1"/>
        <v>1.1475106422357939E-2</v>
      </c>
    </row>
    <row r="7" spans="1:31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M7" s="4"/>
      <c r="O7" s="11" t="s">
        <v>181</v>
      </c>
      <c r="Q7" s="2">
        <f>Q10+Q8</f>
        <v>257.30999999999949</v>
      </c>
      <c r="R7">
        <v>0</v>
      </c>
      <c r="W7" s="133">
        <v>42761</v>
      </c>
      <c r="X7" s="10">
        <v>108.21</v>
      </c>
      <c r="Y7" s="10">
        <v>108.62</v>
      </c>
      <c r="Z7" s="10">
        <v>107.98</v>
      </c>
      <c r="AA7" s="10">
        <v>108.06</v>
      </c>
      <c r="AB7" s="95">
        <v>6079100</v>
      </c>
      <c r="AC7" s="10">
        <v>108.06</v>
      </c>
      <c r="AD7" s="2">
        <f t="shared" si="0"/>
        <v>0.64000000000000057</v>
      </c>
      <c r="AE7" s="138">
        <f t="shared" si="1"/>
        <v>1.8511662347275859E-4</v>
      </c>
    </row>
    <row r="8" spans="1:31" x14ac:dyDescent="0.25">
      <c r="B8" s="7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184</v>
      </c>
      <c r="P8" s="34"/>
      <c r="Q8" s="2">
        <f>K18+M18-F18+Q2*Q4</f>
        <v>0</v>
      </c>
      <c r="W8" s="133">
        <v>42760</v>
      </c>
      <c r="X8" s="10">
        <v>108.23</v>
      </c>
      <c r="Y8" s="10">
        <v>108.42</v>
      </c>
      <c r="Z8" s="10">
        <v>108</v>
      </c>
      <c r="AA8" s="10">
        <v>108.04</v>
      </c>
      <c r="AB8" s="95">
        <v>6169400</v>
      </c>
      <c r="AC8" s="10">
        <v>108.04</v>
      </c>
      <c r="AD8" s="2">
        <f t="shared" si="0"/>
        <v>0.42000000000000171</v>
      </c>
      <c r="AE8" s="138">
        <f t="shared" si="1"/>
        <v>1.2974976830397722E-3</v>
      </c>
    </row>
    <row r="9" spans="1:31" x14ac:dyDescent="0.25">
      <c r="B9" s="7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214</v>
      </c>
      <c r="Q9" s="138">
        <f>IF(Q2=0, 0, Q8/Q6)</f>
        <v>0</v>
      </c>
      <c r="W9" s="133">
        <v>42759</v>
      </c>
      <c r="X9" s="10">
        <v>107.2</v>
      </c>
      <c r="Y9" s="10">
        <v>108.06</v>
      </c>
      <c r="Z9" s="10">
        <v>107.08</v>
      </c>
      <c r="AA9" s="10">
        <v>107.9</v>
      </c>
      <c r="AB9" s="95">
        <v>5435800</v>
      </c>
      <c r="AC9" s="10">
        <v>107.9</v>
      </c>
      <c r="AD9" s="2">
        <f t="shared" si="0"/>
        <v>0.98000000000000398</v>
      </c>
      <c r="AE9" s="138">
        <f t="shared" si="1"/>
        <v>7.2815533980583602E-3</v>
      </c>
    </row>
    <row r="10" spans="1:31" x14ac:dyDescent="0.25">
      <c r="B10" s="74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213</v>
      </c>
      <c r="P10" s="34"/>
      <c r="Q10" s="2">
        <f>M81</f>
        <v>257.30999999999949</v>
      </c>
      <c r="W10" s="133">
        <v>42758</v>
      </c>
      <c r="X10" s="10">
        <v>107.34</v>
      </c>
      <c r="Y10" s="10">
        <v>107.68</v>
      </c>
      <c r="Z10" s="10">
        <v>106.57</v>
      </c>
      <c r="AA10" s="10">
        <v>107.12</v>
      </c>
      <c r="AB10" s="95">
        <v>5666600</v>
      </c>
      <c r="AC10" s="10">
        <v>107.12</v>
      </c>
      <c r="AD10" s="2">
        <f t="shared" si="0"/>
        <v>1.1100000000000136</v>
      </c>
      <c r="AE10" s="138">
        <f t="shared" si="1"/>
        <v>-5.0157904514210871E-3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178</v>
      </c>
      <c r="P11" s="34"/>
      <c r="Q11" s="138">
        <f>VALUE(TRIM(CLEAN(MID(U58, FIND("(", U58)+1, 5))))</f>
        <v>1.41E-2</v>
      </c>
      <c r="W11" s="133">
        <v>42755</v>
      </c>
      <c r="X11" s="10">
        <v>107.35</v>
      </c>
      <c r="Y11" s="10">
        <v>107.82</v>
      </c>
      <c r="Z11" s="10">
        <v>107.18</v>
      </c>
      <c r="AA11" s="10">
        <v>107.66</v>
      </c>
      <c r="AB11" s="95">
        <v>5534800</v>
      </c>
      <c r="AC11" s="10">
        <v>107.66</v>
      </c>
      <c r="AD11" s="2">
        <f t="shared" si="0"/>
        <v>0.63999999999998636</v>
      </c>
      <c r="AE11" s="138">
        <f t="shared" si="1"/>
        <v>3.5421327367635147E-3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W12" s="133">
        <v>42754</v>
      </c>
      <c r="X12" s="10">
        <v>107.92</v>
      </c>
      <c r="Y12" s="10">
        <v>108.01</v>
      </c>
      <c r="Z12" s="10">
        <v>107.08</v>
      </c>
      <c r="AA12" s="10">
        <v>107.28</v>
      </c>
      <c r="AB12" s="95">
        <v>5348900</v>
      </c>
      <c r="AC12" s="10">
        <v>107.28</v>
      </c>
      <c r="AD12" s="2">
        <f t="shared" si="0"/>
        <v>0.93000000000000682</v>
      </c>
      <c r="AE12" s="138">
        <f t="shared" si="1"/>
        <v>-8.1360946745561158E-3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3">
        <v>42753</v>
      </c>
      <c r="X13" s="10">
        <v>106.93</v>
      </c>
      <c r="Y13" s="10">
        <v>108.4</v>
      </c>
      <c r="Z13" s="10">
        <v>106.81</v>
      </c>
      <c r="AA13" s="10">
        <v>108.16</v>
      </c>
      <c r="AB13" s="95">
        <v>7162000</v>
      </c>
      <c r="AC13" s="10">
        <v>108.16</v>
      </c>
      <c r="AD13" s="2">
        <f t="shared" si="0"/>
        <v>1.5900000000000034</v>
      </c>
      <c r="AE13" s="138">
        <f t="shared" si="1"/>
        <v>1.7597480781699204E-3</v>
      </c>
    </row>
    <row r="14" spans="1:31" x14ac:dyDescent="0.25">
      <c r="W14" s="133">
        <v>42752</v>
      </c>
      <c r="X14" s="10">
        <v>107.91</v>
      </c>
      <c r="Y14" s="10">
        <v>108.93</v>
      </c>
      <c r="Z14" s="10">
        <v>107.65</v>
      </c>
      <c r="AA14" s="10">
        <v>107.97</v>
      </c>
      <c r="AB14" s="95">
        <v>7586500</v>
      </c>
      <c r="AC14" s="10">
        <v>107.97</v>
      </c>
      <c r="AD14" s="2">
        <f t="shared" si="0"/>
        <v>1.2800000000000011</v>
      </c>
      <c r="AE14" s="138">
        <f t="shared" si="1"/>
        <v>-8.3287062742920526E-4</v>
      </c>
    </row>
    <row r="15" spans="1:31" x14ac:dyDescent="0.25">
      <c r="W15" s="133">
        <v>42748</v>
      </c>
      <c r="X15" s="10">
        <v>107.16</v>
      </c>
      <c r="Y15" s="10">
        <v>108.35</v>
      </c>
      <c r="Z15" s="10">
        <v>106.9</v>
      </c>
      <c r="AA15" s="10">
        <v>108.06</v>
      </c>
      <c r="AB15" s="95">
        <v>6467200</v>
      </c>
      <c r="AC15" s="10">
        <v>108.06</v>
      </c>
      <c r="AD15" s="2">
        <f t="shared" si="0"/>
        <v>1.4499999999999886</v>
      </c>
      <c r="AE15" s="138">
        <f t="shared" si="1"/>
        <v>4.9288570631451645E-3</v>
      </c>
    </row>
    <row r="16" spans="1:31" x14ac:dyDescent="0.25">
      <c r="W16" s="133">
        <v>42747</v>
      </c>
      <c r="X16" s="10">
        <v>108.12</v>
      </c>
      <c r="Y16" s="10">
        <v>109</v>
      </c>
      <c r="Z16" s="10">
        <v>107.43</v>
      </c>
      <c r="AA16" s="10">
        <v>107.53</v>
      </c>
      <c r="AB16" s="95">
        <v>8201600</v>
      </c>
      <c r="AC16" s="10">
        <v>107.53</v>
      </c>
      <c r="AD16" s="2">
        <f t="shared" si="0"/>
        <v>1.5699999999999932</v>
      </c>
      <c r="AE16" s="138">
        <f t="shared" si="1"/>
        <v>-1.74524853801169E-2</v>
      </c>
    </row>
    <row r="17" spans="1:31" x14ac:dyDescent="0.25">
      <c r="W17" s="133">
        <v>42746</v>
      </c>
      <c r="X17" s="10">
        <v>108.54</v>
      </c>
      <c r="Y17" s="10">
        <v>109.49</v>
      </c>
      <c r="Z17" s="10">
        <v>108.38</v>
      </c>
      <c r="AA17" s="10">
        <v>109.44</v>
      </c>
      <c r="AB17" s="95">
        <v>7590400</v>
      </c>
      <c r="AC17" s="10">
        <v>109.44</v>
      </c>
      <c r="AD17" s="2">
        <f t="shared" si="0"/>
        <v>1.1099999999999994</v>
      </c>
      <c r="AE17" s="138">
        <f t="shared" si="1"/>
        <v>9.7804022882450603E-3</v>
      </c>
    </row>
    <row r="18" spans="1:31" x14ac:dyDescent="0.25">
      <c r="A18" s="32" t="s">
        <v>81</v>
      </c>
      <c r="B18" s="14"/>
      <c r="C18" s="14">
        <f>SUM(C2:C11)</f>
        <v>0</v>
      </c>
      <c r="D18" s="18"/>
      <c r="E18" s="18"/>
      <c r="F18" s="18">
        <f>SUM(F2:F11)</f>
        <v>0</v>
      </c>
      <c r="G18" s="14"/>
      <c r="H18" s="73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33">
        <v>42745</v>
      </c>
      <c r="X18" s="10">
        <v>107.9</v>
      </c>
      <c r="Y18" s="10">
        <v>108.82</v>
      </c>
      <c r="Z18" s="10">
        <v>107.35</v>
      </c>
      <c r="AA18" s="10">
        <v>108.38</v>
      </c>
      <c r="AB18" s="95">
        <v>7893600</v>
      </c>
      <c r="AC18" s="10">
        <v>108.38</v>
      </c>
      <c r="AD18" s="2">
        <f t="shared" si="0"/>
        <v>1.4699999999999989</v>
      </c>
      <c r="AE18" s="138">
        <f t="shared" si="1"/>
        <v>1.8456995201177051E-4</v>
      </c>
    </row>
    <row r="19" spans="1:31" ht="15.75" thickBot="1" x14ac:dyDescent="0.3">
      <c r="A19" s="356" t="s">
        <v>198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 t="shared" ref="M19" si="2">SumByColor($A$19,M2:M17)</f>
        <v>0</v>
      </c>
      <c r="W19" s="133">
        <v>42744</v>
      </c>
      <c r="X19" s="10">
        <v>108.58</v>
      </c>
      <c r="Y19" s="10">
        <v>108.83</v>
      </c>
      <c r="Z19" s="10">
        <v>108.11</v>
      </c>
      <c r="AA19" s="10">
        <v>108.36</v>
      </c>
      <c r="AB19" s="95">
        <v>6193400</v>
      </c>
      <c r="AC19" s="10">
        <v>108.36</v>
      </c>
      <c r="AD19" s="2">
        <f t="shared" si="0"/>
        <v>0.71999999999999886</v>
      </c>
      <c r="AE19" s="138">
        <f t="shared" si="1"/>
        <v>-5.6891172692237202E-3</v>
      </c>
    </row>
    <row r="20" spans="1:31" x14ac:dyDescent="0.25">
      <c r="W20" s="133">
        <v>42741</v>
      </c>
      <c r="X20" s="10">
        <v>108.02</v>
      </c>
      <c r="Y20" s="10">
        <v>109.35</v>
      </c>
      <c r="Z20" s="10">
        <v>107.75</v>
      </c>
      <c r="AA20" s="10">
        <v>108.98</v>
      </c>
      <c r="AB20" s="95">
        <v>9263300</v>
      </c>
      <c r="AC20" s="10">
        <v>108.98</v>
      </c>
      <c r="AD20" s="2">
        <f t="shared" si="0"/>
        <v>1.5999999999999943</v>
      </c>
      <c r="AE20" s="138">
        <f t="shared" si="1"/>
        <v>1.4900353883404716E-2</v>
      </c>
    </row>
    <row r="21" spans="1:31" x14ac:dyDescent="0.25">
      <c r="W21" s="133">
        <v>42740</v>
      </c>
      <c r="X21" s="10">
        <v>107.17</v>
      </c>
      <c r="Y21" s="10">
        <v>107.62</v>
      </c>
      <c r="Z21" s="10">
        <v>106.79</v>
      </c>
      <c r="AA21" s="10">
        <v>107.38</v>
      </c>
      <c r="AB21" s="95">
        <v>6292500</v>
      </c>
      <c r="AC21" s="10">
        <v>107.38</v>
      </c>
      <c r="AD21" s="2">
        <f t="shared" si="0"/>
        <v>0.82999999999999829</v>
      </c>
      <c r="AE21" s="138">
        <f t="shared" si="1"/>
        <v>-5.5845122859277119E-4</v>
      </c>
    </row>
    <row r="22" spans="1:31" x14ac:dyDescent="0.25">
      <c r="W22" s="133">
        <v>42739</v>
      </c>
      <c r="X22" s="10">
        <v>106.64</v>
      </c>
      <c r="Y22" s="10">
        <v>107.5</v>
      </c>
      <c r="Z22" s="10">
        <v>106.25</v>
      </c>
      <c r="AA22" s="10">
        <v>107.44</v>
      </c>
      <c r="AB22" s="95">
        <v>8231900</v>
      </c>
      <c r="AC22" s="10">
        <v>107.44</v>
      </c>
      <c r="AD22" s="2">
        <f t="shared" si="0"/>
        <v>1.25</v>
      </c>
      <c r="AE22" s="138">
        <f t="shared" si="1"/>
        <v>1.2820512820512775E-2</v>
      </c>
    </row>
    <row r="23" spans="1:31" x14ac:dyDescent="0.25">
      <c r="W23" s="133">
        <v>42738</v>
      </c>
      <c r="X23" s="10">
        <v>105.3</v>
      </c>
      <c r="Y23" s="10">
        <v>106.9</v>
      </c>
      <c r="Z23" s="10">
        <v>105.21</v>
      </c>
      <c r="AA23" s="10">
        <v>106.08</v>
      </c>
      <c r="AB23" s="95">
        <v>8872900</v>
      </c>
      <c r="AC23" s="10">
        <v>106.08</v>
      </c>
      <c r="AD23" s="2">
        <f t="shared" si="0"/>
        <v>1.6900000000000119</v>
      </c>
      <c r="AE23" s="138">
        <f t="shared" si="1"/>
        <v>1.7846862406447839E-2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155</v>
      </c>
      <c r="W24" s="133">
        <v>42734</v>
      </c>
      <c r="X24" s="10">
        <v>104.57</v>
      </c>
      <c r="Y24" s="10">
        <v>105</v>
      </c>
      <c r="Z24" s="10">
        <v>103.96</v>
      </c>
      <c r="AA24" s="10">
        <v>104.22</v>
      </c>
      <c r="AB24" s="95">
        <v>6629500</v>
      </c>
      <c r="AC24" s="10">
        <v>104.22</v>
      </c>
      <c r="AD24" s="2">
        <f t="shared" si="0"/>
        <v>1.0400000000000063</v>
      </c>
      <c r="AE24" s="138">
        <f t="shared" si="1"/>
        <v>-3.2517214996174992E-3</v>
      </c>
    </row>
    <row r="25" spans="1:31" x14ac:dyDescent="0.25">
      <c r="B25" s="193">
        <v>42373</v>
      </c>
      <c r="C25" s="10">
        <v>0</v>
      </c>
      <c r="D25" s="40">
        <v>0</v>
      </c>
      <c r="E25" s="40">
        <v>0</v>
      </c>
      <c r="F25" s="40">
        <v>37.590000000000003</v>
      </c>
      <c r="G25" s="40">
        <v>0</v>
      </c>
      <c r="H25" s="231"/>
      <c r="I25" s="40"/>
      <c r="W25" s="133">
        <v>42733</v>
      </c>
      <c r="X25" s="10">
        <v>104.23</v>
      </c>
      <c r="Y25" s="10">
        <v>104.77</v>
      </c>
      <c r="Z25" s="10">
        <v>103.87</v>
      </c>
      <c r="AA25" s="10">
        <v>104.56</v>
      </c>
      <c r="AB25" s="95">
        <v>5892000</v>
      </c>
      <c r="AC25" s="10">
        <v>104.56</v>
      </c>
      <c r="AD25" s="2">
        <f t="shared" si="0"/>
        <v>0.89999999999999147</v>
      </c>
      <c r="AE25" s="138">
        <f t="shared" si="1"/>
        <v>2.4928092042186822E-3</v>
      </c>
    </row>
    <row r="26" spans="1:31" x14ac:dyDescent="0.25">
      <c r="B26" s="193">
        <v>42374</v>
      </c>
      <c r="C26" s="260">
        <v>25</v>
      </c>
      <c r="D26" s="236">
        <v>99.396000000000001</v>
      </c>
      <c r="E26" s="40">
        <v>100.9</v>
      </c>
      <c r="F26" s="40">
        <f>C26*(E26-D26)</f>
        <v>37.600000000000122</v>
      </c>
      <c r="G26" s="40">
        <f>D26*C26</f>
        <v>2484.9</v>
      </c>
      <c r="H26" s="231">
        <f>(E26-D26)/D26</f>
        <v>1.5131393617449444E-2</v>
      </c>
      <c r="I26" s="40"/>
      <c r="W26" s="133">
        <v>42732</v>
      </c>
      <c r="X26" s="10">
        <v>104.99</v>
      </c>
      <c r="Y26" s="10">
        <v>105.32</v>
      </c>
      <c r="Z26" s="10">
        <v>104.06</v>
      </c>
      <c r="AA26" s="10">
        <v>104.3</v>
      </c>
      <c r="AB26" s="95">
        <v>5116200</v>
      </c>
      <c r="AC26" s="10">
        <v>104.3</v>
      </c>
      <c r="AD26" s="2">
        <f t="shared" si="0"/>
        <v>1.2599999999999909</v>
      </c>
      <c r="AE26" s="138">
        <f t="shared" si="1"/>
        <v>-8.2723210040887007E-3</v>
      </c>
    </row>
    <row r="27" spans="1:31" x14ac:dyDescent="0.25">
      <c r="B27" s="193">
        <v>42403</v>
      </c>
      <c r="C27" s="10">
        <v>25</v>
      </c>
      <c r="D27" s="40">
        <v>99.396000000000001</v>
      </c>
      <c r="E27" s="40">
        <v>95.14</v>
      </c>
      <c r="F27" s="40">
        <f t="shared" ref="F27:F36" si="3">C27*(E27-D27)</f>
        <v>-106.4</v>
      </c>
      <c r="G27" s="40">
        <f>D27*C27</f>
        <v>2484.9</v>
      </c>
      <c r="H27" s="231">
        <f>(E27-D27)/D27</f>
        <v>-4.2818624491931266E-2</v>
      </c>
      <c r="I27" s="40"/>
      <c r="W27" s="133">
        <v>42731</v>
      </c>
      <c r="X27" s="10">
        <v>104.85</v>
      </c>
      <c r="Y27" s="10">
        <v>105.56</v>
      </c>
      <c r="Z27" s="10">
        <v>104.78</v>
      </c>
      <c r="AA27" s="10">
        <v>105.17</v>
      </c>
      <c r="AB27" s="95">
        <v>3634300</v>
      </c>
      <c r="AC27" s="10">
        <v>105.17</v>
      </c>
      <c r="AD27" s="2">
        <f t="shared" si="0"/>
        <v>0.78000000000000114</v>
      </c>
      <c r="AE27" s="138">
        <f t="shared" si="1"/>
        <v>1.9020446980499983E-4</v>
      </c>
    </row>
    <row r="28" spans="1:31" x14ac:dyDescent="0.25">
      <c r="B28" s="193">
        <v>42409</v>
      </c>
      <c r="C28" s="10">
        <v>40</v>
      </c>
      <c r="D28" s="40">
        <v>95.31</v>
      </c>
      <c r="E28" s="40">
        <v>92.12</v>
      </c>
      <c r="F28" s="40">
        <f t="shared" si="3"/>
        <v>-127.59999999999991</v>
      </c>
      <c r="G28" s="40">
        <f>D28*C28</f>
        <v>3812.4</v>
      </c>
      <c r="H28" s="231">
        <f t="shared" ref="H28:H36" si="4">(E28-D28)/D28</f>
        <v>-3.346973035358302E-2</v>
      </c>
      <c r="I28" s="40"/>
      <c r="W28" s="133">
        <v>42727</v>
      </c>
      <c r="X28" s="10">
        <v>105.24</v>
      </c>
      <c r="Y28" s="10">
        <v>105.34</v>
      </c>
      <c r="Z28" s="10">
        <v>104.75</v>
      </c>
      <c r="AA28" s="10">
        <v>105.15</v>
      </c>
      <c r="AB28" s="95">
        <v>3231000</v>
      </c>
      <c r="AC28" s="10">
        <v>105.15</v>
      </c>
      <c r="AD28" s="2">
        <f t="shared" si="0"/>
        <v>0.59000000000000341</v>
      </c>
      <c r="AE28" s="138">
        <f t="shared" si="1"/>
        <v>-2.5611838360841688E-3</v>
      </c>
    </row>
    <row r="29" spans="1:31" x14ac:dyDescent="0.25">
      <c r="B29" s="193">
        <v>42416</v>
      </c>
      <c r="C29" s="260">
        <v>25</v>
      </c>
      <c r="D29" s="236">
        <v>96.787999999999997</v>
      </c>
      <c r="E29" s="40">
        <v>92.34</v>
      </c>
      <c r="F29" s="40">
        <f t="shared" si="3"/>
        <v>-111.19999999999983</v>
      </c>
      <c r="G29" s="40">
        <f t="shared" ref="G29:G36" si="5">D29*C29</f>
        <v>2419.6999999999998</v>
      </c>
      <c r="H29" s="231">
        <f t="shared" si="4"/>
        <v>-4.5956110261602609E-2</v>
      </c>
      <c r="I29" s="40"/>
      <c r="W29" s="133">
        <v>42726</v>
      </c>
      <c r="X29" s="10">
        <v>104.96</v>
      </c>
      <c r="Y29" s="10">
        <v>105.49</v>
      </c>
      <c r="Z29" s="10">
        <v>104.7</v>
      </c>
      <c r="AA29" s="10">
        <v>105.42</v>
      </c>
      <c r="AB29" s="95">
        <v>5230800</v>
      </c>
      <c r="AC29" s="10">
        <v>105.42</v>
      </c>
      <c r="AD29" s="2">
        <f t="shared" si="0"/>
        <v>0.78999999999999204</v>
      </c>
      <c r="AE29" s="138">
        <f t="shared" si="1"/>
        <v>-1.3262599469495706E-3</v>
      </c>
    </row>
    <row r="30" spans="1:31" x14ac:dyDescent="0.25">
      <c r="B30" s="193">
        <v>42421</v>
      </c>
      <c r="C30" s="10">
        <v>25</v>
      </c>
      <c r="D30" s="40">
        <v>96.787999999999997</v>
      </c>
      <c r="E30" s="40">
        <v>95.01</v>
      </c>
      <c r="F30" s="40">
        <f t="shared" si="3"/>
        <v>-44.44999999999979</v>
      </c>
      <c r="G30" s="40">
        <f t="shared" si="5"/>
        <v>2419.6999999999998</v>
      </c>
      <c r="H30" s="231">
        <f t="shared" si="4"/>
        <v>-1.8370045873455299E-2</v>
      </c>
      <c r="I30" s="40"/>
      <c r="W30" s="133">
        <v>42725</v>
      </c>
      <c r="X30" s="10">
        <v>104.61</v>
      </c>
      <c r="Y30" s="10">
        <v>105.91</v>
      </c>
      <c r="Z30" s="10">
        <v>104.51</v>
      </c>
      <c r="AA30" s="10">
        <v>105.56</v>
      </c>
      <c r="AB30" s="95">
        <v>5202400</v>
      </c>
      <c r="AC30" s="10">
        <v>105.56</v>
      </c>
      <c r="AD30" s="2">
        <f t="shared" si="0"/>
        <v>1.3999999999999915</v>
      </c>
      <c r="AE30" s="138">
        <f t="shared" si="1"/>
        <v>9.4822681585449153E-4</v>
      </c>
    </row>
    <row r="31" spans="1:31" x14ac:dyDescent="0.25">
      <c r="B31" s="193">
        <v>42430</v>
      </c>
      <c r="C31" s="10">
        <v>25</v>
      </c>
      <c r="D31" s="40">
        <v>96.787999999999997</v>
      </c>
      <c r="E31" s="40">
        <v>97.65</v>
      </c>
      <c r="F31" s="40">
        <f t="shared" si="3"/>
        <v>21.550000000000225</v>
      </c>
      <c r="G31" s="40">
        <f t="shared" si="5"/>
        <v>2419.6999999999998</v>
      </c>
      <c r="H31" s="231">
        <f t="shared" si="4"/>
        <v>8.9060627350498918E-3</v>
      </c>
      <c r="I31" s="40"/>
      <c r="W31" s="133">
        <v>42724</v>
      </c>
      <c r="X31" s="10">
        <v>105.64</v>
      </c>
      <c r="Y31" s="10">
        <v>106.2</v>
      </c>
      <c r="Z31" s="10">
        <v>105.06</v>
      </c>
      <c r="AA31" s="10">
        <v>105.46</v>
      </c>
      <c r="AB31" s="95">
        <v>8947300</v>
      </c>
      <c r="AC31" s="10">
        <v>105.46</v>
      </c>
      <c r="AD31" s="2">
        <f t="shared" si="0"/>
        <v>1.1400000000000006</v>
      </c>
      <c r="AE31" s="138">
        <f t="shared" si="1"/>
        <v>1.5194681861347981E-3</v>
      </c>
    </row>
    <row r="32" spans="1:31" x14ac:dyDescent="0.25">
      <c r="B32" s="193">
        <v>42448</v>
      </c>
      <c r="C32" s="10">
        <v>25</v>
      </c>
      <c r="D32" s="40">
        <v>96.787599999999998</v>
      </c>
      <c r="E32" s="40">
        <v>99.2</v>
      </c>
      <c r="F32" s="40">
        <f t="shared" si="3"/>
        <v>60.31000000000013</v>
      </c>
      <c r="G32" s="40">
        <f t="shared" si="5"/>
        <v>2419.69</v>
      </c>
      <c r="H32" s="231">
        <f t="shared" si="4"/>
        <v>2.4924680434270562E-2</v>
      </c>
      <c r="I32" s="40"/>
      <c r="W32" s="133">
        <v>42723</v>
      </c>
      <c r="X32" s="10">
        <v>105.7</v>
      </c>
      <c r="Y32" s="10">
        <v>106.26</v>
      </c>
      <c r="Z32" s="10">
        <v>105.07</v>
      </c>
      <c r="AA32" s="10">
        <v>105.3</v>
      </c>
      <c r="AB32" s="95">
        <v>11475600</v>
      </c>
      <c r="AC32" s="10">
        <v>105.3</v>
      </c>
      <c r="AD32" s="2">
        <f t="shared" si="0"/>
        <v>1.1900000000000119</v>
      </c>
      <c r="AE32" s="138">
        <f t="shared" si="1"/>
        <v>1.3376960831488871E-2</v>
      </c>
    </row>
    <row r="33" spans="2:31" x14ac:dyDescent="0.25">
      <c r="B33" s="193">
        <v>42471</v>
      </c>
      <c r="C33" s="10">
        <v>25</v>
      </c>
      <c r="D33" s="40">
        <v>96.787599999999998</v>
      </c>
      <c r="E33" s="40">
        <v>96.27</v>
      </c>
      <c r="F33" s="40">
        <f t="shared" si="3"/>
        <v>-12.94000000000004</v>
      </c>
      <c r="G33" s="40">
        <f t="shared" si="5"/>
        <v>2419.69</v>
      </c>
      <c r="H33" s="231">
        <f t="shared" si="4"/>
        <v>-5.3477924858143155E-3</v>
      </c>
      <c r="I33" s="40"/>
      <c r="W33" s="133">
        <v>42720</v>
      </c>
      <c r="X33" s="10">
        <v>104.71</v>
      </c>
      <c r="Y33" s="10">
        <v>104.73</v>
      </c>
      <c r="Z33" s="10">
        <v>103.75</v>
      </c>
      <c r="AA33" s="10">
        <v>103.91</v>
      </c>
      <c r="AB33" s="95">
        <v>12635500</v>
      </c>
      <c r="AC33" s="10">
        <v>103.91</v>
      </c>
      <c r="AD33" s="2">
        <f t="shared" si="0"/>
        <v>0.98000000000000398</v>
      </c>
      <c r="AE33" s="138">
        <f t="shared" si="1"/>
        <v>-4.5981415844429385E-3</v>
      </c>
    </row>
    <row r="34" spans="2:31" x14ac:dyDescent="0.25">
      <c r="B34" s="193">
        <v>42482</v>
      </c>
      <c r="C34" s="237">
        <v>15</v>
      </c>
      <c r="D34" s="238">
        <v>92.174000000000007</v>
      </c>
      <c r="E34" s="40">
        <v>103.71</v>
      </c>
      <c r="F34" s="40">
        <f t="shared" si="3"/>
        <v>173.03999999999979</v>
      </c>
      <c r="G34" s="40">
        <f t="shared" si="5"/>
        <v>1382.6100000000001</v>
      </c>
      <c r="H34" s="231">
        <f t="shared" si="4"/>
        <v>0.12515459891075559</v>
      </c>
      <c r="I34" s="40"/>
      <c r="W34" s="133">
        <v>42719</v>
      </c>
      <c r="X34" s="10">
        <v>103.85</v>
      </c>
      <c r="Y34" s="10">
        <v>105.64</v>
      </c>
      <c r="Z34" s="10">
        <v>103.82</v>
      </c>
      <c r="AA34" s="10">
        <v>104.39</v>
      </c>
      <c r="AB34" s="95">
        <v>8745400</v>
      </c>
      <c r="AC34" s="10">
        <v>104.39</v>
      </c>
      <c r="AD34" s="2">
        <f t="shared" si="0"/>
        <v>1.8200000000000074</v>
      </c>
      <c r="AE34" s="138">
        <f t="shared" si="1"/>
        <v>3.2676597789524919E-3</v>
      </c>
    </row>
    <row r="35" spans="2:31" x14ac:dyDescent="0.25">
      <c r="B35" s="193">
        <v>42498</v>
      </c>
      <c r="C35" s="10">
        <v>15</v>
      </c>
      <c r="D35" s="40">
        <v>92.174000000000007</v>
      </c>
      <c r="E35" s="40">
        <v>105.54</v>
      </c>
      <c r="F35" s="40">
        <f t="shared" si="3"/>
        <v>200.49</v>
      </c>
      <c r="G35" s="40">
        <f t="shared" si="5"/>
        <v>1382.6100000000001</v>
      </c>
      <c r="H35" s="231">
        <f t="shared" si="4"/>
        <v>0.14500835376570398</v>
      </c>
      <c r="I35" s="40"/>
      <c r="W35" s="133">
        <v>42718</v>
      </c>
      <c r="X35" s="10">
        <v>103.62</v>
      </c>
      <c r="Y35" s="10">
        <v>104.41</v>
      </c>
      <c r="Z35" s="10">
        <v>103.5</v>
      </c>
      <c r="AA35" s="10">
        <v>104.05</v>
      </c>
      <c r="AB35" s="95">
        <v>7961900</v>
      </c>
      <c r="AC35" s="10">
        <v>104.05</v>
      </c>
      <c r="AD35" s="2">
        <f t="shared" si="0"/>
        <v>0.90999999999999659</v>
      </c>
      <c r="AE35" s="138">
        <f t="shared" si="1"/>
        <v>1.925854597977894E-3</v>
      </c>
    </row>
    <row r="36" spans="2:31" x14ac:dyDescent="0.25">
      <c r="B36" s="193">
        <v>42502</v>
      </c>
      <c r="C36" s="10">
        <v>15</v>
      </c>
      <c r="D36" s="40">
        <v>92.174000000000007</v>
      </c>
      <c r="E36" s="40">
        <v>101.71</v>
      </c>
      <c r="F36" s="40">
        <f t="shared" si="3"/>
        <v>143.03999999999979</v>
      </c>
      <c r="G36" s="40">
        <f t="shared" si="5"/>
        <v>1382.6100000000001</v>
      </c>
      <c r="H36" s="231">
        <f t="shared" si="4"/>
        <v>0.10345650617310724</v>
      </c>
      <c r="I36" s="40"/>
      <c r="W36" s="133">
        <v>42717</v>
      </c>
      <c r="X36" s="10">
        <v>104.2</v>
      </c>
      <c r="Y36" s="10">
        <v>104.31</v>
      </c>
      <c r="Z36" s="10">
        <v>103.71</v>
      </c>
      <c r="AA36" s="10">
        <v>103.85</v>
      </c>
      <c r="AB36" s="95">
        <v>7393200</v>
      </c>
      <c r="AC36" s="10">
        <v>103.85</v>
      </c>
      <c r="AD36" s="2">
        <f t="shared" si="0"/>
        <v>0.60000000000000853</v>
      </c>
      <c r="AE36" s="138">
        <f t="shared" si="1"/>
        <v>-2.0180665000961717E-3</v>
      </c>
    </row>
    <row r="37" spans="2:31" x14ac:dyDescent="0.25">
      <c r="B37" s="193">
        <v>42546</v>
      </c>
      <c r="C37" s="10">
        <v>15</v>
      </c>
      <c r="D37" s="40">
        <v>92.174000000000007</v>
      </c>
      <c r="E37" s="40">
        <v>95.72</v>
      </c>
      <c r="F37" s="40">
        <f t="shared" ref="F37:F42" si="6">C37*(E37-D37)</f>
        <v>53.189999999999884</v>
      </c>
      <c r="G37" s="40">
        <f t="shared" ref="G37:G42" si="7">D37*C37</f>
        <v>1382.6100000000001</v>
      </c>
      <c r="H37" s="231">
        <f t="shared" ref="H37:H42" si="8">(E37-D37)/D37</f>
        <v>3.8470718423850456E-2</v>
      </c>
      <c r="I37" s="40"/>
      <c r="W37" s="133">
        <v>42716</v>
      </c>
      <c r="X37" s="10">
        <v>104.61</v>
      </c>
      <c r="Y37" s="10">
        <v>104.7</v>
      </c>
      <c r="Z37" s="10">
        <v>103.73</v>
      </c>
      <c r="AA37" s="10">
        <v>104.06</v>
      </c>
      <c r="AB37" s="95">
        <v>7880200</v>
      </c>
      <c r="AC37" s="10">
        <v>104.06</v>
      </c>
      <c r="AD37" s="2">
        <f t="shared" si="0"/>
        <v>0.96999999999999886</v>
      </c>
      <c r="AE37" s="138">
        <f t="shared" si="1"/>
        <v>-7.6292199122639515E-3</v>
      </c>
    </row>
    <row r="38" spans="2:31" x14ac:dyDescent="0.25">
      <c r="B38" s="193">
        <v>42562</v>
      </c>
      <c r="C38" s="10">
        <v>15</v>
      </c>
      <c r="D38" s="40">
        <v>92.174000000000007</v>
      </c>
      <c r="E38" s="40">
        <v>99.98</v>
      </c>
      <c r="F38" s="40">
        <f t="shared" si="6"/>
        <v>117.08999999999996</v>
      </c>
      <c r="G38" s="40">
        <f t="shared" si="7"/>
        <v>1382.6100000000001</v>
      </c>
      <c r="H38" s="231">
        <f t="shared" si="8"/>
        <v>8.4687655955041519E-2</v>
      </c>
      <c r="I38" s="40"/>
      <c r="W38" s="133">
        <v>42713</v>
      </c>
      <c r="X38" s="10">
        <v>103.49</v>
      </c>
      <c r="Y38" s="10">
        <v>105.52</v>
      </c>
      <c r="Z38" s="10">
        <v>103.18</v>
      </c>
      <c r="AA38" s="10">
        <v>104.86</v>
      </c>
      <c r="AB38" s="95">
        <v>12173900</v>
      </c>
      <c r="AC38" s="10">
        <v>104.86</v>
      </c>
      <c r="AD38" s="2">
        <f t="shared" si="0"/>
        <v>2.3399999999999892</v>
      </c>
      <c r="AE38" s="138">
        <f t="shared" si="1"/>
        <v>1.4316115302766441E-2</v>
      </c>
    </row>
    <row r="39" spans="2:31" x14ac:dyDescent="0.25">
      <c r="B39" s="193">
        <v>42570</v>
      </c>
      <c r="C39" s="10">
        <v>15</v>
      </c>
      <c r="D39" s="40">
        <v>92.174000000000007</v>
      </c>
      <c r="E39" s="40">
        <v>99.47</v>
      </c>
      <c r="F39" s="40">
        <f t="shared" si="6"/>
        <v>109.43999999999988</v>
      </c>
      <c r="G39" s="40">
        <f t="shared" si="7"/>
        <v>1382.6100000000001</v>
      </c>
      <c r="H39" s="231">
        <f t="shared" si="8"/>
        <v>7.9154642306941136E-2</v>
      </c>
      <c r="I39" s="40"/>
      <c r="W39" s="133">
        <v>42712</v>
      </c>
      <c r="X39" s="10">
        <v>101.47</v>
      </c>
      <c r="Y39" s="10">
        <v>103.96</v>
      </c>
      <c r="Z39" s="10">
        <v>101.47</v>
      </c>
      <c r="AA39" s="10">
        <v>103.38</v>
      </c>
      <c r="AB39" s="95">
        <v>16524800</v>
      </c>
      <c r="AC39" s="10">
        <v>103.38</v>
      </c>
      <c r="AD39" s="2">
        <f t="shared" si="0"/>
        <v>2.4899999999999949</v>
      </c>
      <c r="AE39" s="138" t="e">
        <f t="shared" si="1"/>
        <v>#DIV/0!</v>
      </c>
    </row>
    <row r="40" spans="2:31" ht="20.25" thickBot="1" x14ac:dyDescent="0.35">
      <c r="B40" s="193">
        <v>42571</v>
      </c>
      <c r="C40" s="10">
        <v>15</v>
      </c>
      <c r="D40" s="40">
        <v>92.174000000000007</v>
      </c>
      <c r="E40" s="40">
        <v>98.22</v>
      </c>
      <c r="F40" s="40">
        <f t="shared" si="6"/>
        <v>90.689999999999884</v>
      </c>
      <c r="G40" s="40">
        <f t="shared" si="7"/>
        <v>1382.6100000000001</v>
      </c>
      <c r="H40" s="231">
        <f t="shared" si="8"/>
        <v>6.55933343459109E-2</v>
      </c>
      <c r="I40" s="40"/>
      <c r="O40" s="638" t="s">
        <v>78</v>
      </c>
      <c r="P40" s="638"/>
      <c r="W40" s="133">
        <v>42712</v>
      </c>
      <c r="X40" s="10" t="s">
        <v>349</v>
      </c>
      <c r="Y40" s="10"/>
      <c r="Z40" s="10"/>
      <c r="AA40" s="10"/>
      <c r="AB40" s="95"/>
      <c r="AC40" s="10"/>
      <c r="AD40" s="2">
        <f t="shared" si="0"/>
        <v>0</v>
      </c>
      <c r="AE40" s="138">
        <f t="shared" si="1"/>
        <v>-1</v>
      </c>
    </row>
    <row r="41" spans="2:31" ht="15.75" thickTop="1" x14ac:dyDescent="0.25">
      <c r="B41" s="193">
        <v>42575</v>
      </c>
      <c r="C41" s="10">
        <v>15</v>
      </c>
      <c r="D41" s="40">
        <v>92.174000000000007</v>
      </c>
      <c r="E41" s="40">
        <v>97.71</v>
      </c>
      <c r="F41" s="40">
        <f t="shared" si="6"/>
        <v>83.039999999999807</v>
      </c>
      <c r="G41" s="40">
        <f t="shared" si="7"/>
        <v>1382.6100000000001</v>
      </c>
      <c r="H41" s="231">
        <f t="shared" si="8"/>
        <v>6.0060320697810518E-2</v>
      </c>
      <c r="I41" s="40"/>
      <c r="O41" s="83">
        <v>1.1000000000000001</v>
      </c>
      <c r="P41" s="83">
        <f>O41*$Q$4</f>
        <v>121.33000000000001</v>
      </c>
      <c r="Q41" s="2"/>
      <c r="W41" s="133">
        <v>42711</v>
      </c>
      <c r="X41" s="10">
        <v>100.51</v>
      </c>
      <c r="Y41" s="10">
        <v>102.07</v>
      </c>
      <c r="Z41" s="10">
        <v>100.44</v>
      </c>
      <c r="AA41" s="10">
        <v>101.99</v>
      </c>
      <c r="AB41" s="95">
        <v>12255700</v>
      </c>
      <c r="AC41" s="10">
        <v>101.21</v>
      </c>
      <c r="AD41" s="2">
        <f t="shared" si="0"/>
        <v>1.6299999999999955</v>
      </c>
      <c r="AE41" s="138">
        <f t="shared" si="1"/>
        <v>1.3214535989588549E-2</v>
      </c>
    </row>
    <row r="42" spans="2:31" ht="20.25" thickBot="1" x14ac:dyDescent="0.35">
      <c r="B42" s="193">
        <v>42576</v>
      </c>
      <c r="C42" s="10">
        <v>15</v>
      </c>
      <c r="D42" s="40">
        <v>92.174000000000007</v>
      </c>
      <c r="E42" s="40">
        <v>97.39</v>
      </c>
      <c r="F42" s="40">
        <f t="shared" si="6"/>
        <v>78.23999999999991</v>
      </c>
      <c r="G42" s="40">
        <f t="shared" si="7"/>
        <v>1382.6100000000001</v>
      </c>
      <c r="H42" s="231">
        <f t="shared" si="8"/>
        <v>5.6588625859786856E-2</v>
      </c>
      <c r="I42" s="40"/>
      <c r="O42" s="83">
        <v>1.0900000000000001</v>
      </c>
      <c r="P42" s="83">
        <f t="shared" ref="P42:P61" si="9">O42*$Q$4</f>
        <v>120.227</v>
      </c>
      <c r="Q42" s="2"/>
      <c r="T42" s="91" t="s">
        <v>113</v>
      </c>
      <c r="W42" s="133">
        <v>42710</v>
      </c>
      <c r="X42" s="10">
        <v>99.95</v>
      </c>
      <c r="Y42" s="10">
        <v>100.72</v>
      </c>
      <c r="Z42" s="10">
        <v>99.82</v>
      </c>
      <c r="AA42" s="10">
        <v>100.66</v>
      </c>
      <c r="AB42" s="95">
        <v>8427500</v>
      </c>
      <c r="AC42" s="10">
        <v>99.89</v>
      </c>
      <c r="AD42" s="2">
        <f t="shared" si="0"/>
        <v>0.90000000000000568</v>
      </c>
      <c r="AE42" s="138">
        <f t="shared" si="1"/>
        <v>6.9556451612902137E-3</v>
      </c>
    </row>
    <row r="43" spans="2:31" ht="15.75" thickTop="1" x14ac:dyDescent="0.25">
      <c r="B43" s="193">
        <v>42577</v>
      </c>
      <c r="C43" s="10">
        <v>15</v>
      </c>
      <c r="D43" s="40">
        <v>92.174000000000007</v>
      </c>
      <c r="E43" s="40">
        <v>96.69</v>
      </c>
      <c r="F43" s="40">
        <f t="shared" ref="F43" si="10">C43*(E43-D43)</f>
        <v>67.739999999999867</v>
      </c>
      <c r="G43" s="40">
        <f t="shared" ref="G43" si="11">D43*C43</f>
        <v>1382.6100000000001</v>
      </c>
      <c r="H43" s="231">
        <f t="shared" ref="H43" si="12">(E43-D43)/D43</f>
        <v>4.8994293401609899E-2</v>
      </c>
      <c r="I43" s="40"/>
      <c r="O43" s="83">
        <v>1.08</v>
      </c>
      <c r="P43" s="83">
        <f t="shared" si="9"/>
        <v>119.12400000000001</v>
      </c>
      <c r="Q43" s="2"/>
      <c r="T43" s="128" t="s">
        <v>98</v>
      </c>
      <c r="U43" s="98">
        <v>111.3</v>
      </c>
      <c r="W43" s="133">
        <v>42709</v>
      </c>
      <c r="X43" s="10">
        <v>98.98</v>
      </c>
      <c r="Y43" s="10">
        <v>100.27</v>
      </c>
      <c r="Z43" s="10">
        <v>98.68</v>
      </c>
      <c r="AA43" s="10">
        <v>99.96</v>
      </c>
      <c r="AB43" s="95">
        <v>11331500</v>
      </c>
      <c r="AC43" s="10">
        <v>99.2</v>
      </c>
      <c r="AD43" s="2">
        <f t="shared" si="0"/>
        <v>1.5899999999999892</v>
      </c>
      <c r="AE43" s="138">
        <f t="shared" si="1"/>
        <v>1.4833759590792805E-2</v>
      </c>
    </row>
    <row r="44" spans="2:31" x14ac:dyDescent="0.25">
      <c r="B44" s="193">
        <v>42579</v>
      </c>
      <c r="C44" s="237">
        <v>15</v>
      </c>
      <c r="D44" s="238">
        <v>91.463999999999999</v>
      </c>
      <c r="E44" s="40">
        <v>95.91</v>
      </c>
      <c r="F44" s="40">
        <f t="shared" ref="F44:F47" si="13">C44*(E44-D44)</f>
        <v>66.689999999999969</v>
      </c>
      <c r="G44" s="40">
        <f t="shared" ref="G44:G47" si="14">D44*C44</f>
        <v>1371.96</v>
      </c>
      <c r="H44" s="231">
        <f t="shared" ref="H44:H47" si="15">(E44-D44)/D44</f>
        <v>4.8609288900551016E-2</v>
      </c>
      <c r="I44" s="40" t="s">
        <v>189</v>
      </c>
      <c r="O44" s="83">
        <v>1.07</v>
      </c>
      <c r="P44" s="83">
        <f t="shared" si="9"/>
        <v>118.021</v>
      </c>
      <c r="Q44" s="2"/>
      <c r="T44" s="93" t="s">
        <v>99</v>
      </c>
      <c r="U44" s="88">
        <v>111.21</v>
      </c>
      <c r="W44" s="133">
        <v>42706</v>
      </c>
      <c r="X44" s="10">
        <v>98.79</v>
      </c>
      <c r="Y44" s="10">
        <v>99.08</v>
      </c>
      <c r="Z44" s="10">
        <v>98.25</v>
      </c>
      <c r="AA44" s="10">
        <v>98.5</v>
      </c>
      <c r="AB44" s="95">
        <v>7737200</v>
      </c>
      <c r="AC44" s="10">
        <v>97.75</v>
      </c>
      <c r="AD44" s="2">
        <f t="shared" si="0"/>
        <v>0.82999999999999829</v>
      </c>
      <c r="AE44" s="138">
        <f t="shared" si="1"/>
        <v>-4.3797107353840126E-3</v>
      </c>
    </row>
    <row r="45" spans="2:31" x14ac:dyDescent="0.25">
      <c r="B45" s="193">
        <v>42586</v>
      </c>
      <c r="C45" s="10">
        <v>30</v>
      </c>
      <c r="D45" s="40">
        <v>93.171999999999997</v>
      </c>
      <c r="E45" s="40">
        <v>95.16</v>
      </c>
      <c r="F45" s="40">
        <f t="shared" si="13"/>
        <v>59.639999999999986</v>
      </c>
      <c r="G45" s="40">
        <f t="shared" si="14"/>
        <v>2795.16</v>
      </c>
      <c r="H45" s="231">
        <f t="shared" si="15"/>
        <v>2.1336882325162062E-2</v>
      </c>
      <c r="I45" s="40"/>
      <c r="O45" s="83">
        <v>1.06</v>
      </c>
      <c r="P45" s="83">
        <f t="shared" si="9"/>
        <v>116.91800000000001</v>
      </c>
      <c r="Q45" s="2"/>
      <c r="T45" s="93" t="s">
        <v>100</v>
      </c>
      <c r="U45" s="88" t="s">
        <v>129</v>
      </c>
      <c r="W45" s="133">
        <v>42705</v>
      </c>
      <c r="X45" s="10">
        <v>99.13</v>
      </c>
      <c r="Y45" s="10">
        <v>99.75</v>
      </c>
      <c r="Z45" s="10">
        <v>98.62</v>
      </c>
      <c r="AA45" s="10">
        <v>98.94</v>
      </c>
      <c r="AB45" s="95">
        <v>9958100</v>
      </c>
      <c r="AC45" s="10">
        <v>98.18</v>
      </c>
      <c r="AD45" s="2">
        <f t="shared" si="0"/>
        <v>1.1299999999999955</v>
      </c>
      <c r="AE45" s="138">
        <f t="shared" si="1"/>
        <v>-1.8300122000812769E-3</v>
      </c>
    </row>
    <row r="46" spans="2:31" x14ac:dyDescent="0.25">
      <c r="B46" s="193">
        <v>42593</v>
      </c>
      <c r="C46" s="237">
        <v>15</v>
      </c>
      <c r="D46" s="238">
        <v>88.465999999999994</v>
      </c>
      <c r="E46" s="40">
        <v>97.86</v>
      </c>
      <c r="F46" s="40">
        <f t="shared" si="13"/>
        <v>140.91000000000008</v>
      </c>
      <c r="G46" s="40">
        <f t="shared" si="14"/>
        <v>1326.99</v>
      </c>
      <c r="H46" s="231">
        <f t="shared" si="15"/>
        <v>0.10618768792530471</v>
      </c>
      <c r="I46" s="40"/>
      <c r="O46" s="83">
        <v>1.05</v>
      </c>
      <c r="P46" s="83">
        <f t="shared" si="9"/>
        <v>115.815</v>
      </c>
      <c r="Q46" s="2"/>
      <c r="T46" s="93" t="s">
        <v>101</v>
      </c>
      <c r="U46" s="88" t="s">
        <v>129</v>
      </c>
      <c r="W46" s="133">
        <v>42704</v>
      </c>
      <c r="X46" s="10">
        <v>99.4</v>
      </c>
      <c r="Y46" s="10">
        <v>100.29</v>
      </c>
      <c r="Z46" s="10">
        <v>99</v>
      </c>
      <c r="AA46" s="10">
        <v>99.12</v>
      </c>
      <c r="AB46" s="95">
        <v>11369200</v>
      </c>
      <c r="AC46" s="10">
        <v>98.36</v>
      </c>
      <c r="AD46" s="2">
        <f t="shared" si="0"/>
        <v>1.2900000000000063</v>
      </c>
      <c r="AE46" s="138">
        <f t="shared" si="1"/>
        <v>-5.5606106561519875E-3</v>
      </c>
    </row>
    <row r="47" spans="2:31" x14ac:dyDescent="0.25">
      <c r="B47" s="193">
        <v>42597</v>
      </c>
      <c r="C47" s="10">
        <v>30</v>
      </c>
      <c r="D47" s="40">
        <v>92.658000000000001</v>
      </c>
      <c r="E47" s="40">
        <v>97.1</v>
      </c>
      <c r="F47" s="40">
        <f t="shared" si="13"/>
        <v>133.25999999999979</v>
      </c>
      <c r="G47" s="40">
        <f t="shared" si="14"/>
        <v>2779.7400000000002</v>
      </c>
      <c r="H47" s="231">
        <f t="shared" si="15"/>
        <v>4.7939735370933899E-2</v>
      </c>
      <c r="I47" s="40"/>
      <c r="O47" s="83">
        <v>1.04</v>
      </c>
      <c r="P47" s="83">
        <f t="shared" si="9"/>
        <v>114.712</v>
      </c>
      <c r="Q47" s="2"/>
      <c r="T47" s="93" t="s">
        <v>102</v>
      </c>
      <c r="U47" s="88">
        <v>114.39</v>
      </c>
      <c r="W47" s="133">
        <v>42703</v>
      </c>
      <c r="X47" s="10">
        <v>99.24</v>
      </c>
      <c r="Y47" s="10">
        <v>99.68</v>
      </c>
      <c r="Z47" s="10">
        <v>98.97</v>
      </c>
      <c r="AA47" s="10">
        <v>99.67</v>
      </c>
      <c r="AB47" s="95">
        <v>8396800</v>
      </c>
      <c r="AC47" s="10">
        <v>98.91</v>
      </c>
      <c r="AD47" s="2">
        <f t="shared" si="0"/>
        <v>0.71000000000000796</v>
      </c>
      <c r="AE47" s="138">
        <f t="shared" si="1"/>
        <v>7.1275837491091565E-3</v>
      </c>
    </row>
    <row r="48" spans="2:31" x14ac:dyDescent="0.25">
      <c r="B48" s="193">
        <v>42600</v>
      </c>
      <c r="C48" s="10">
        <v>30</v>
      </c>
      <c r="D48" s="40">
        <v>92.658000000000001</v>
      </c>
      <c r="E48" s="40">
        <v>96.65</v>
      </c>
      <c r="F48" s="40">
        <f t="shared" ref="F48" si="16">C48*(E48-D48)</f>
        <v>119.76000000000013</v>
      </c>
      <c r="G48" s="40">
        <f t="shared" ref="G48" si="17">D48*C48</f>
        <v>2779.7400000000002</v>
      </c>
      <c r="H48" s="231">
        <f t="shared" ref="H48" si="18">(E48-D48)/D48</f>
        <v>4.3083166051501268E-2</v>
      </c>
      <c r="I48" s="40"/>
      <c r="O48" s="83">
        <v>1.03</v>
      </c>
      <c r="P48" s="83">
        <f t="shared" si="9"/>
        <v>113.60899999999999</v>
      </c>
      <c r="Q48" s="2"/>
      <c r="T48" s="93" t="s">
        <v>103</v>
      </c>
      <c r="U48" s="88">
        <v>1.43608</v>
      </c>
      <c r="W48" s="133">
        <v>42702</v>
      </c>
      <c r="X48" s="10">
        <v>98.52</v>
      </c>
      <c r="Y48" s="10">
        <v>99.2</v>
      </c>
      <c r="Z48" s="10">
        <v>98.32</v>
      </c>
      <c r="AA48" s="10">
        <v>98.97</v>
      </c>
      <c r="AB48" s="95">
        <v>7106700</v>
      </c>
      <c r="AC48" s="10">
        <v>98.21</v>
      </c>
      <c r="AD48" s="2">
        <f t="shared" si="0"/>
        <v>0.88000000000000966</v>
      </c>
      <c r="AE48" s="138">
        <f t="shared" si="1"/>
        <v>1.5296757087497337E-3</v>
      </c>
    </row>
    <row r="49" spans="2:31" x14ac:dyDescent="0.25">
      <c r="B49" s="193">
        <v>42604</v>
      </c>
      <c r="C49" s="10">
        <v>30</v>
      </c>
      <c r="D49" s="40">
        <v>92.658000000000001</v>
      </c>
      <c r="E49" s="40">
        <v>95.87</v>
      </c>
      <c r="F49" s="40">
        <f t="shared" ref="F49" si="19">C49*(E49-D49)</f>
        <v>96.360000000000099</v>
      </c>
      <c r="G49" s="40">
        <f t="shared" ref="G49" si="20">D49*C49</f>
        <v>2779.7400000000002</v>
      </c>
      <c r="H49" s="231">
        <f t="shared" ref="H49" si="21">(E49-D49)/D49</f>
        <v>3.4665112564484485E-2</v>
      </c>
      <c r="I49" s="40"/>
      <c r="O49" s="83">
        <v>1.02</v>
      </c>
      <c r="P49" s="83">
        <f t="shared" si="9"/>
        <v>112.506</v>
      </c>
      <c r="Q49" s="2"/>
      <c r="T49" s="93" t="s">
        <v>104</v>
      </c>
      <c r="U49" s="88" t="s">
        <v>410</v>
      </c>
      <c r="W49" s="133">
        <v>42699</v>
      </c>
      <c r="X49" s="10">
        <v>98.71</v>
      </c>
      <c r="Y49" s="10">
        <v>99.07</v>
      </c>
      <c r="Z49" s="10">
        <v>98.5</v>
      </c>
      <c r="AA49" s="10">
        <v>98.82</v>
      </c>
      <c r="AB49" s="95">
        <v>4396800</v>
      </c>
      <c r="AC49" s="10">
        <v>98.06</v>
      </c>
      <c r="AD49" s="2">
        <f t="shared" si="0"/>
        <v>0.56999999999999318</v>
      </c>
      <c r="AE49" s="138">
        <f t="shared" si="1"/>
        <v>5.6404471336273243E-3</v>
      </c>
    </row>
    <row r="50" spans="2:31" x14ac:dyDescent="0.25">
      <c r="B50" s="193">
        <v>42607</v>
      </c>
      <c r="C50" s="10">
        <v>30</v>
      </c>
      <c r="D50" s="40">
        <v>92.658000000000001</v>
      </c>
      <c r="E50" s="40">
        <v>95.55</v>
      </c>
      <c r="F50" s="40">
        <f t="shared" ref="F50:F51" si="22">C50*(E50-D50)</f>
        <v>86.759999999999877</v>
      </c>
      <c r="G50" s="40">
        <f t="shared" ref="G50:G51" si="23">D50*C50</f>
        <v>2779.7400000000002</v>
      </c>
      <c r="H50" s="231">
        <f t="shared" ref="H50:H51" si="24">(E50-D50)/D50</f>
        <v>3.1211552159554446E-2</v>
      </c>
      <c r="I50" s="40"/>
      <c r="O50" s="83">
        <v>1.01</v>
      </c>
      <c r="P50" s="83">
        <f t="shared" si="9"/>
        <v>111.40299999999999</v>
      </c>
      <c r="Q50" s="2"/>
      <c r="T50" s="93"/>
      <c r="U50" s="88"/>
      <c r="W50" s="133">
        <v>42697</v>
      </c>
      <c r="X50" s="10">
        <v>97.67</v>
      </c>
      <c r="Y50" s="10">
        <v>98.28</v>
      </c>
      <c r="Z50" s="10">
        <v>97.59</v>
      </c>
      <c r="AA50" s="10">
        <v>98.26</v>
      </c>
      <c r="AB50" s="95">
        <v>5897400</v>
      </c>
      <c r="AC50" s="10">
        <v>97.51</v>
      </c>
      <c r="AD50" s="2">
        <f t="shared" si="0"/>
        <v>0.68999999999999773</v>
      </c>
      <c r="AE50" s="138">
        <f t="shared" si="1"/>
        <v>5.6724422442244737E-3</v>
      </c>
    </row>
    <row r="51" spans="2:31" x14ac:dyDescent="0.25">
      <c r="B51" s="193">
        <v>42611</v>
      </c>
      <c r="C51" s="7">
        <v>55</v>
      </c>
      <c r="D51" s="44">
        <v>93.531599999999997</v>
      </c>
      <c r="E51" s="40">
        <v>94.87</v>
      </c>
      <c r="F51" s="40">
        <f t="shared" si="22"/>
        <v>73.612000000000393</v>
      </c>
      <c r="G51" s="40">
        <f t="shared" si="23"/>
        <v>5144.2380000000003</v>
      </c>
      <c r="H51" s="231">
        <f t="shared" si="24"/>
        <v>1.4309602316222615E-2</v>
      </c>
      <c r="I51" s="40"/>
      <c r="O51" s="83">
        <v>1</v>
      </c>
      <c r="P51" s="83">
        <f t="shared" si="9"/>
        <v>110.3</v>
      </c>
      <c r="Q51" s="2"/>
      <c r="T51" s="93" t="s">
        <v>105</v>
      </c>
      <c r="U51" s="88" t="s">
        <v>655</v>
      </c>
      <c r="W51" s="133">
        <v>42696</v>
      </c>
      <c r="X51" s="10">
        <v>97.4</v>
      </c>
      <c r="Y51" s="10">
        <v>97.93</v>
      </c>
      <c r="Z51" s="10">
        <v>97.27</v>
      </c>
      <c r="AA51" s="10">
        <v>97.71</v>
      </c>
      <c r="AB51" s="95">
        <v>5323700</v>
      </c>
      <c r="AC51" s="10">
        <v>96.96</v>
      </c>
      <c r="AD51" s="2">
        <f t="shared" si="0"/>
        <v>0.6600000000000108</v>
      </c>
      <c r="AE51" s="138">
        <f t="shared" si="1"/>
        <v>8.2576383154409072E-4</v>
      </c>
    </row>
    <row r="52" spans="2:31" x14ac:dyDescent="0.25">
      <c r="B52" s="193">
        <v>42615</v>
      </c>
      <c r="C52" s="10">
        <v>55</v>
      </c>
      <c r="D52" s="40">
        <v>93.531599999999997</v>
      </c>
      <c r="E52" s="40">
        <v>94.42</v>
      </c>
      <c r="F52" s="40">
        <f t="shared" ref="F52" si="25">C52*(E52-D52)</f>
        <v>48.862000000000236</v>
      </c>
      <c r="G52" s="40">
        <f t="shared" ref="G52" si="26">D52*C52</f>
        <v>5144.2380000000003</v>
      </c>
      <c r="H52" s="231">
        <f t="shared" ref="H52" si="27">(E52-D52)/D52</f>
        <v>9.4983941256217615E-3</v>
      </c>
      <c r="I52" s="40"/>
      <c r="O52" s="83">
        <v>0.99</v>
      </c>
      <c r="P52" s="83">
        <f t="shared" si="9"/>
        <v>109.197</v>
      </c>
      <c r="Q52" s="2"/>
      <c r="T52" s="93" t="s">
        <v>106</v>
      </c>
      <c r="U52" s="88" t="s">
        <v>519</v>
      </c>
      <c r="W52" s="133">
        <v>42695</v>
      </c>
      <c r="X52" s="10">
        <v>98.11</v>
      </c>
      <c r="Y52" s="10">
        <v>98.27</v>
      </c>
      <c r="Z52" s="10">
        <v>97</v>
      </c>
      <c r="AA52" s="10">
        <v>97.63</v>
      </c>
      <c r="AB52" s="95">
        <v>10771100</v>
      </c>
      <c r="AC52" s="10">
        <v>96.88</v>
      </c>
      <c r="AD52" s="2">
        <f t="shared" si="0"/>
        <v>1.269999999999996</v>
      </c>
      <c r="AE52" s="138">
        <f t="shared" si="1"/>
        <v>-6.2570520053338852E-3</v>
      </c>
    </row>
    <row r="53" spans="2:31" x14ac:dyDescent="0.25">
      <c r="B53" s="193">
        <v>42619</v>
      </c>
      <c r="C53" s="10">
        <v>55</v>
      </c>
      <c r="D53" s="40">
        <v>93.531599999999997</v>
      </c>
      <c r="E53" s="40">
        <v>93.8</v>
      </c>
      <c r="F53" s="40">
        <f t="shared" ref="F53" si="28">C53*(E53-D53)</f>
        <v>14.761999999999986</v>
      </c>
      <c r="G53" s="40">
        <f t="shared" ref="G53" si="29">D53*C53</f>
        <v>5144.2380000000003</v>
      </c>
      <c r="H53" s="231">
        <f t="shared" ref="H53" si="30">(E53-D53)/D53</f>
        <v>2.8696183963494663E-3</v>
      </c>
      <c r="I53" s="40"/>
      <c r="O53" s="83">
        <v>0.98</v>
      </c>
      <c r="P53" s="83">
        <f t="shared" si="9"/>
        <v>108.09399999999999</v>
      </c>
      <c r="Q53" s="2"/>
      <c r="T53" s="93" t="s">
        <v>107</v>
      </c>
      <c r="U53" s="90">
        <v>6515922</v>
      </c>
      <c r="W53" s="133">
        <v>42692</v>
      </c>
      <c r="X53" s="10">
        <v>99.05</v>
      </c>
      <c r="Y53" s="10">
        <v>99.37</v>
      </c>
      <c r="Z53" s="10">
        <v>98.14</v>
      </c>
      <c r="AA53" s="10">
        <v>98.24</v>
      </c>
      <c r="AB53" s="95">
        <v>8586100</v>
      </c>
      <c r="AC53" s="10">
        <v>97.49</v>
      </c>
      <c r="AD53" s="2">
        <f t="shared" si="0"/>
        <v>1.230000000000004</v>
      </c>
      <c r="AE53" s="138">
        <f t="shared" si="1"/>
        <v>-1.1357874454923533E-2</v>
      </c>
    </row>
    <row r="54" spans="2:31" x14ac:dyDescent="0.25">
      <c r="B54" s="193">
        <v>42620</v>
      </c>
      <c r="C54" s="10">
        <v>55</v>
      </c>
      <c r="D54" s="40">
        <v>93.531599999999997</v>
      </c>
      <c r="E54" s="40">
        <v>93.71</v>
      </c>
      <c r="F54" s="40">
        <f t="shared" ref="F54" si="31">C54*(E54-D54)</f>
        <v>9.8119999999997987</v>
      </c>
      <c r="G54" s="40">
        <f t="shared" ref="G54" si="32">D54*C54</f>
        <v>5144.2380000000003</v>
      </c>
      <c r="H54" s="231">
        <f t="shared" ref="H54" si="33">(E54-D54)/D54</f>
        <v>1.9073767582292653E-3</v>
      </c>
      <c r="I54" s="40"/>
      <c r="O54" s="83">
        <v>0.97</v>
      </c>
      <c r="P54" s="83">
        <f t="shared" si="9"/>
        <v>106.991</v>
      </c>
      <c r="T54" s="93" t="s">
        <v>110</v>
      </c>
      <c r="U54" s="90">
        <v>8335590</v>
      </c>
      <c r="W54" s="133">
        <v>42691</v>
      </c>
      <c r="X54" s="10">
        <v>99.05</v>
      </c>
      <c r="Y54" s="10">
        <v>99.5</v>
      </c>
      <c r="Z54" s="10">
        <v>98.27</v>
      </c>
      <c r="AA54" s="10">
        <v>99.37</v>
      </c>
      <c r="AB54" s="95">
        <v>8662600</v>
      </c>
      <c r="AC54" s="10">
        <v>98.61</v>
      </c>
      <c r="AD54" s="2">
        <f t="shared" si="0"/>
        <v>1.230000000000004</v>
      </c>
      <c r="AE54" s="138">
        <f t="shared" si="1"/>
        <v>2.5416836112239771E-3</v>
      </c>
    </row>
    <row r="55" spans="2:31" x14ac:dyDescent="0.25">
      <c r="B55" s="193">
        <v>42621</v>
      </c>
      <c r="C55" s="10">
        <v>55</v>
      </c>
      <c r="D55" s="40">
        <v>93.531599999999997</v>
      </c>
      <c r="E55" s="40">
        <v>94.09</v>
      </c>
      <c r="F55" s="40">
        <f t="shared" ref="F55" si="34">C55*(E55-D55)</f>
        <v>30.71200000000033</v>
      </c>
      <c r="G55" s="40">
        <f t="shared" ref="G55" si="35">D55*C55</f>
        <v>5144.2380000000003</v>
      </c>
      <c r="H55" s="231">
        <f t="shared" ref="H55" si="36">(E55-D55)/D55</f>
        <v>5.9701747858478416E-3</v>
      </c>
      <c r="I55" s="40"/>
      <c r="O55" s="83">
        <v>0.96</v>
      </c>
      <c r="P55" s="83">
        <f t="shared" si="9"/>
        <v>105.88799999999999</v>
      </c>
      <c r="T55" s="93" t="s">
        <v>108</v>
      </c>
      <c r="U55" s="88" t="s">
        <v>656</v>
      </c>
      <c r="W55" s="133">
        <v>42690</v>
      </c>
      <c r="X55" s="10">
        <v>98.33</v>
      </c>
      <c r="Y55" s="10">
        <v>99.17</v>
      </c>
      <c r="Z55" s="10">
        <v>98.1</v>
      </c>
      <c r="AA55" s="10">
        <v>99.12</v>
      </c>
      <c r="AB55" s="95">
        <v>9702400</v>
      </c>
      <c r="AC55" s="10">
        <v>98.36</v>
      </c>
      <c r="AD55" s="2">
        <f t="shared" si="0"/>
        <v>1.0700000000000074</v>
      </c>
      <c r="AE55" s="138">
        <f t="shared" si="1"/>
        <v>1.454357916451765E-2</v>
      </c>
    </row>
    <row r="56" spans="2:31" x14ac:dyDescent="0.25">
      <c r="B56" s="193">
        <v>42622</v>
      </c>
      <c r="C56" s="10">
        <v>70</v>
      </c>
      <c r="D56" s="40">
        <v>93.310599999999994</v>
      </c>
      <c r="E56" s="40">
        <v>92.42</v>
      </c>
      <c r="F56" s="40">
        <f t="shared" ref="F56" si="37">C56*(E56-D56)</f>
        <v>-62.341999999999445</v>
      </c>
      <c r="G56" s="40">
        <f t="shared" ref="G56" si="38">D56*C56</f>
        <v>6531.7419999999993</v>
      </c>
      <c r="H56" s="231">
        <f t="shared" ref="H56" si="39">(E56-D56)/D56</f>
        <v>-9.5444676167551392E-3</v>
      </c>
      <c r="I56" s="40"/>
      <c r="O56" s="83">
        <v>0.95</v>
      </c>
      <c r="P56" s="83">
        <f t="shared" si="9"/>
        <v>104.785</v>
      </c>
      <c r="T56" s="93" t="s">
        <v>111</v>
      </c>
      <c r="U56" s="88">
        <v>19.3</v>
      </c>
      <c r="W56" s="133">
        <v>42689</v>
      </c>
      <c r="X56" s="10">
        <v>97.9</v>
      </c>
      <c r="Y56" s="10">
        <v>98.14</v>
      </c>
      <c r="Z56" s="10">
        <v>97.42</v>
      </c>
      <c r="AA56" s="10">
        <v>97.7</v>
      </c>
      <c r="AB56" s="95">
        <v>7184600</v>
      </c>
      <c r="AC56" s="10">
        <v>96.95</v>
      </c>
      <c r="AD56" s="2">
        <f t="shared" si="0"/>
        <v>0.71999999999999886</v>
      </c>
      <c r="AE56" s="138">
        <f t="shared" si="1"/>
        <v>-2.2640732736440849E-3</v>
      </c>
    </row>
    <row r="57" spans="2:31" x14ac:dyDescent="0.25">
      <c r="B57" s="193">
        <v>42627</v>
      </c>
      <c r="C57" s="10">
        <v>70</v>
      </c>
      <c r="D57" s="40">
        <v>93.310599999999994</v>
      </c>
      <c r="E57" s="40">
        <v>92.26</v>
      </c>
      <c r="F57" s="40">
        <f t="shared" ref="F57" si="40">C57*(E57-D57)</f>
        <v>-73.541999999999206</v>
      </c>
      <c r="G57" s="40">
        <f t="shared" ref="G57" si="41">D57*C57</f>
        <v>6531.7419999999993</v>
      </c>
      <c r="H57" s="231">
        <f t="shared" ref="H57" si="42">(E57-D57)/D57</f>
        <v>-1.1259170983789502E-2</v>
      </c>
      <c r="I57" s="40"/>
      <c r="O57" s="83">
        <v>0.94</v>
      </c>
      <c r="P57" s="83">
        <f t="shared" si="9"/>
        <v>103.68199999999999</v>
      </c>
      <c r="T57" s="93" t="s">
        <v>112</v>
      </c>
      <c r="U57" s="88">
        <v>5.73</v>
      </c>
      <c r="W57" s="133">
        <v>42688</v>
      </c>
      <c r="X57" s="10">
        <v>97.56</v>
      </c>
      <c r="Y57" s="10">
        <v>98.31</v>
      </c>
      <c r="Z57" s="10">
        <v>97.45</v>
      </c>
      <c r="AA57" s="10">
        <v>97.92</v>
      </c>
      <c r="AB57" s="95">
        <v>13208400</v>
      </c>
      <c r="AC57" s="10">
        <v>97.17</v>
      </c>
      <c r="AD57" s="2">
        <f t="shared" si="0"/>
        <v>0.85999999999999943</v>
      </c>
      <c r="AE57" s="138">
        <f t="shared" si="1"/>
        <v>2.4760136180748127E-3</v>
      </c>
    </row>
    <row r="58" spans="2:31" x14ac:dyDescent="0.25">
      <c r="B58" s="193">
        <v>42635</v>
      </c>
      <c r="C58" s="10">
        <v>70</v>
      </c>
      <c r="D58" s="40">
        <v>93.310599999999994</v>
      </c>
      <c r="E58" s="40">
        <v>93.41</v>
      </c>
      <c r="F58" s="40">
        <f t="shared" ref="F58" si="43">C58*(E58-D58)</f>
        <v>6.9580000000001974</v>
      </c>
      <c r="G58" s="40">
        <f t="shared" ref="G58" si="44">D58*C58</f>
        <v>6531.7419999999993</v>
      </c>
      <c r="H58" s="231">
        <f t="shared" ref="H58" si="45">(E58-D58)/D58</f>
        <v>1.0652594667701508E-3</v>
      </c>
      <c r="I58" s="40"/>
      <c r="O58" s="83">
        <v>0.93</v>
      </c>
      <c r="P58" s="83">
        <f t="shared" si="9"/>
        <v>102.57900000000001</v>
      </c>
      <c r="T58" s="93" t="s">
        <v>109</v>
      </c>
      <c r="U58" s="88" t="s">
        <v>520</v>
      </c>
      <c r="W58" s="133">
        <v>42685</v>
      </c>
      <c r="X58" s="10">
        <v>97.18</v>
      </c>
      <c r="Y58" s="10">
        <v>98.32</v>
      </c>
      <c r="Z58" s="10">
        <v>95.78</v>
      </c>
      <c r="AA58" s="10">
        <v>97.68</v>
      </c>
      <c r="AB58" s="95">
        <v>23008100</v>
      </c>
      <c r="AC58" s="10">
        <v>96.93</v>
      </c>
      <c r="AD58" s="2">
        <f t="shared" si="0"/>
        <v>2.539999999999992</v>
      </c>
      <c r="AE58" s="138">
        <f t="shared" si="1"/>
        <v>2.8653295128939771E-2</v>
      </c>
    </row>
    <row r="59" spans="2:31" x14ac:dyDescent="0.25">
      <c r="B59" s="193">
        <v>42639</v>
      </c>
      <c r="C59" s="10">
        <v>70</v>
      </c>
      <c r="D59" s="40">
        <v>93.310599999999994</v>
      </c>
      <c r="E59" s="40">
        <v>91.96</v>
      </c>
      <c r="F59" s="40">
        <f t="shared" ref="F59" si="46">C59*(E59-D59)</f>
        <v>-94.542000000000002</v>
      </c>
      <c r="G59" s="40">
        <f t="shared" ref="G59" si="47">D59*C59</f>
        <v>6531.7419999999993</v>
      </c>
      <c r="H59" s="231">
        <f t="shared" ref="H59" si="48">(E59-D59)/D59</f>
        <v>-1.4474239796979123E-2</v>
      </c>
      <c r="I59" s="40"/>
      <c r="O59" s="83">
        <v>0.92</v>
      </c>
      <c r="P59" s="83">
        <f t="shared" si="9"/>
        <v>101.476</v>
      </c>
      <c r="W59" s="133">
        <v>42684</v>
      </c>
      <c r="X59" s="10">
        <v>94.89</v>
      </c>
      <c r="Y59" s="10">
        <v>96.06</v>
      </c>
      <c r="Z59" s="10">
        <v>94.23</v>
      </c>
      <c r="AA59" s="10">
        <v>94.96</v>
      </c>
      <c r="AB59" s="95">
        <v>13777900</v>
      </c>
      <c r="AC59" s="10">
        <v>94.23</v>
      </c>
      <c r="AD59" s="2">
        <f t="shared" si="0"/>
        <v>1.8299999999999983</v>
      </c>
      <c r="AE59" s="138">
        <f t="shared" si="1"/>
        <v>3.300681431005037E-3</v>
      </c>
    </row>
    <row r="60" spans="2:31" x14ac:dyDescent="0.25">
      <c r="B60" s="193">
        <v>42640</v>
      </c>
      <c r="C60" s="10">
        <v>70</v>
      </c>
      <c r="D60" s="40">
        <v>93.310599999999994</v>
      </c>
      <c r="E60" s="40">
        <v>91.72</v>
      </c>
      <c r="F60" s="40">
        <f t="shared" ref="F60" si="49">C60*(E60-D60)</f>
        <v>-111.34199999999964</v>
      </c>
      <c r="G60" s="40">
        <f t="shared" ref="G60" si="50">D60*C60</f>
        <v>6531.7419999999993</v>
      </c>
      <c r="H60" s="231">
        <f t="shared" ref="H60" si="51">(E60-D60)/D60</f>
        <v>-1.7046294847530667E-2</v>
      </c>
      <c r="I60" s="40"/>
      <c r="O60" s="83">
        <v>0.91</v>
      </c>
      <c r="P60" s="83">
        <f t="shared" si="9"/>
        <v>100.373</v>
      </c>
      <c r="W60" s="133">
        <v>42683</v>
      </c>
      <c r="X60" s="10">
        <v>92.29</v>
      </c>
      <c r="Y60" s="10">
        <v>94.92</v>
      </c>
      <c r="Z60" s="10">
        <v>92.11</v>
      </c>
      <c r="AA60" s="10">
        <v>94.64</v>
      </c>
      <c r="AB60" s="95">
        <v>8635700</v>
      </c>
      <c r="AC60" s="10">
        <v>93.92</v>
      </c>
      <c r="AD60" s="2">
        <f t="shared" si="0"/>
        <v>2.8100000000000023</v>
      </c>
      <c r="AE60" s="138">
        <f t="shared" si="1"/>
        <v>2.7759982916935044E-3</v>
      </c>
    </row>
    <row r="61" spans="2:31" x14ac:dyDescent="0.25">
      <c r="B61" s="193">
        <v>42641</v>
      </c>
      <c r="C61" s="10">
        <v>70</v>
      </c>
      <c r="D61" s="40">
        <v>93.310599999999994</v>
      </c>
      <c r="E61" s="40">
        <v>92.2</v>
      </c>
      <c r="F61" s="40">
        <f t="shared" ref="F61" si="52">C61*(E61-D61)</f>
        <v>-77.741999999999365</v>
      </c>
      <c r="G61" s="40">
        <f t="shared" ref="G61" si="53">D61*C61</f>
        <v>6531.7419999999993</v>
      </c>
      <c r="H61" s="231">
        <f t="shared" ref="H61" si="54">(E61-D61)/D61</f>
        <v>-1.1902184746427426E-2</v>
      </c>
      <c r="I61" s="40"/>
      <c r="O61" s="83">
        <v>0.9</v>
      </c>
      <c r="P61" s="83">
        <f t="shared" si="9"/>
        <v>99.27</v>
      </c>
      <c r="W61" s="133">
        <v>42682</v>
      </c>
      <c r="X61" s="10">
        <v>94.53</v>
      </c>
      <c r="Y61" s="10">
        <v>94.85</v>
      </c>
      <c r="Z61" s="10">
        <v>93.9</v>
      </c>
      <c r="AA61" s="10">
        <v>94.38</v>
      </c>
      <c r="AB61" s="95">
        <v>6226900</v>
      </c>
      <c r="AC61" s="10">
        <v>93.66</v>
      </c>
      <c r="AD61" s="2">
        <f t="shared" si="0"/>
        <v>0.94999999999998863</v>
      </c>
      <c r="AE61" s="138">
        <f t="shared" si="1"/>
        <v>-5.335609860206425E-4</v>
      </c>
    </row>
    <row r="62" spans="2:31" x14ac:dyDescent="0.25">
      <c r="B62" s="193">
        <v>42642</v>
      </c>
      <c r="C62" s="10">
        <v>70</v>
      </c>
      <c r="D62" s="40">
        <v>93.310599999999994</v>
      </c>
      <c r="E62" s="40">
        <v>92.86</v>
      </c>
      <c r="F62" s="40">
        <f t="shared" ref="F62" si="55">C62*(E62-D62)</f>
        <v>-31.541999999999604</v>
      </c>
      <c r="G62" s="40">
        <f t="shared" ref="G62" si="56">D62*C62</f>
        <v>6531.7419999999993</v>
      </c>
      <c r="H62" s="231">
        <f t="shared" ref="H62" si="57">(E62-D62)/D62</f>
        <v>-4.8290333574105664E-3</v>
      </c>
      <c r="I62" s="40"/>
      <c r="W62" s="133">
        <v>42681</v>
      </c>
      <c r="X62" s="10">
        <v>93.77</v>
      </c>
      <c r="Y62" s="10">
        <v>94.48</v>
      </c>
      <c r="Z62" s="10">
        <v>92.95</v>
      </c>
      <c r="AA62" s="10">
        <v>94.43</v>
      </c>
      <c r="AB62" s="95">
        <v>6996100</v>
      </c>
      <c r="AC62" s="10">
        <v>93.71</v>
      </c>
      <c r="AD62" s="2">
        <f t="shared" si="0"/>
        <v>1.5300000000000011</v>
      </c>
      <c r="AE62" s="138">
        <f t="shared" si="1"/>
        <v>2.1473730106823519E-2</v>
      </c>
    </row>
    <row r="63" spans="2:31" x14ac:dyDescent="0.25">
      <c r="B63" s="193">
        <v>42651</v>
      </c>
      <c r="C63" s="10">
        <v>70</v>
      </c>
      <c r="D63" s="40">
        <v>93.310599999999994</v>
      </c>
      <c r="E63" s="40">
        <v>92.49</v>
      </c>
      <c r="F63" s="40">
        <f t="shared" ref="F63" si="58">C63*(E63-D63)</f>
        <v>-57.441999999999922</v>
      </c>
      <c r="G63" s="40">
        <f t="shared" ref="G63" si="59">D63*C63</f>
        <v>6531.7419999999993</v>
      </c>
      <c r="H63" s="231">
        <f t="shared" ref="H63" si="60">(E63-D63)/D63</f>
        <v>-8.7942848936776626E-3</v>
      </c>
      <c r="I63" s="40"/>
      <c r="W63" s="133">
        <v>42678</v>
      </c>
      <c r="X63" s="10">
        <v>93.5</v>
      </c>
      <c r="Y63" s="10">
        <v>93.79</v>
      </c>
      <c r="Z63" s="10">
        <v>92.36</v>
      </c>
      <c r="AA63" s="10">
        <v>92.45</v>
      </c>
      <c r="AB63" s="95">
        <v>7456500</v>
      </c>
      <c r="AC63" s="10">
        <v>91.74</v>
      </c>
      <c r="AD63" s="2">
        <f t="shared" si="0"/>
        <v>1.4300000000000068</v>
      </c>
      <c r="AE63" s="138">
        <f t="shared" si="1"/>
        <v>-9.9287718540902459E-3</v>
      </c>
    </row>
    <row r="64" spans="2:31" x14ac:dyDescent="0.25">
      <c r="B64" s="193">
        <v>42664</v>
      </c>
      <c r="C64" s="10">
        <v>70</v>
      </c>
      <c r="D64" s="40">
        <v>93.310599999999994</v>
      </c>
      <c r="E64" s="40">
        <v>93.03</v>
      </c>
      <c r="F64" s="40">
        <f t="shared" ref="F64" si="61">C64*(E64-D64)</f>
        <v>-19.641999999999484</v>
      </c>
      <c r="G64" s="40">
        <f t="shared" ref="G64" si="62">D64*C64</f>
        <v>6531.7419999999993</v>
      </c>
      <c r="H64" s="231">
        <f t="shared" ref="H64" si="63">(E64-D64)/D64</f>
        <v>-3.0071610299364985E-3</v>
      </c>
      <c r="I64" s="40"/>
      <c r="W64" s="133">
        <v>42677</v>
      </c>
      <c r="X64" s="10">
        <v>92.26</v>
      </c>
      <c r="Y64" s="10">
        <v>94.13</v>
      </c>
      <c r="Z64" s="10">
        <v>92.24</v>
      </c>
      <c r="AA64" s="10">
        <v>93.37</v>
      </c>
      <c r="AB64" s="95">
        <v>7751400</v>
      </c>
      <c r="AC64" s="10">
        <v>92.66</v>
      </c>
      <c r="AD64" s="2">
        <f t="shared" si="0"/>
        <v>1.8900000000000006</v>
      </c>
      <c r="AE64" s="138">
        <f t="shared" si="1"/>
        <v>1.5897379673281531E-2</v>
      </c>
    </row>
    <row r="65" spans="2:31" x14ac:dyDescent="0.25">
      <c r="B65" s="193">
        <v>42674</v>
      </c>
      <c r="C65" s="10">
        <v>70</v>
      </c>
      <c r="D65" s="40">
        <v>93.310599999999994</v>
      </c>
      <c r="E65" s="40">
        <v>92.69</v>
      </c>
      <c r="F65" s="40">
        <f t="shared" ref="F65" si="64">C65*(E65-D65)</f>
        <v>-43.441999999999723</v>
      </c>
      <c r="G65" s="40">
        <f t="shared" ref="G65" si="65">D65*C65</f>
        <v>6531.7419999999993</v>
      </c>
      <c r="H65" s="231">
        <f t="shared" ref="H65" si="66">(E65-D65)/D65</f>
        <v>-6.6509056848846337E-3</v>
      </c>
      <c r="I65" s="40"/>
      <c r="W65" s="133">
        <v>42676</v>
      </c>
      <c r="X65" s="10">
        <v>91.91</v>
      </c>
      <c r="Y65" s="10">
        <v>92.56</v>
      </c>
      <c r="Z65" s="10">
        <v>91.69</v>
      </c>
      <c r="AA65" s="10">
        <v>91.91</v>
      </c>
      <c r="AB65" s="95">
        <v>6716200</v>
      </c>
      <c r="AC65" s="10">
        <v>91.21</v>
      </c>
      <c r="AD65" s="2">
        <f t="shared" si="0"/>
        <v>0.87000000000000455</v>
      </c>
      <c r="AE65" s="138">
        <f t="shared" si="1"/>
        <v>-5.1265270506110072E-3</v>
      </c>
    </row>
    <row r="66" spans="2:31" x14ac:dyDescent="0.25">
      <c r="B66" s="193">
        <v>42701</v>
      </c>
      <c r="C66" s="10">
        <v>0</v>
      </c>
      <c r="D66" s="40"/>
      <c r="E66" s="40"/>
      <c r="F66" s="40">
        <v>257.31</v>
      </c>
      <c r="G66" s="40"/>
      <c r="H66" s="231"/>
      <c r="I66" s="40"/>
      <c r="W66" s="133">
        <v>42675</v>
      </c>
      <c r="X66" s="10">
        <v>92.78</v>
      </c>
      <c r="Y66" s="10">
        <v>92.99</v>
      </c>
      <c r="Z66" s="10">
        <v>91.66</v>
      </c>
      <c r="AA66" s="10">
        <v>92.39</v>
      </c>
      <c r="AB66" s="95">
        <v>6449800</v>
      </c>
      <c r="AC66" s="10">
        <v>91.68</v>
      </c>
      <c r="AD66" s="2">
        <f t="shared" si="0"/>
        <v>1.3299999999999983</v>
      </c>
      <c r="AE66" s="138">
        <f t="shared" si="1"/>
        <v>-3.2615786040443018E-3</v>
      </c>
    </row>
    <row r="67" spans="2:31" x14ac:dyDescent="0.25">
      <c r="B67" s="193"/>
      <c r="C67" s="10"/>
      <c r="D67" s="40"/>
      <c r="E67" s="40"/>
      <c r="F67" s="40"/>
      <c r="G67" s="40"/>
      <c r="H67" s="231"/>
      <c r="I67" s="40"/>
      <c r="W67" s="133">
        <v>42674</v>
      </c>
      <c r="X67" s="10">
        <v>93.72</v>
      </c>
      <c r="Y67" s="10">
        <v>93.82</v>
      </c>
      <c r="Z67" s="10">
        <v>92.31</v>
      </c>
      <c r="AA67" s="10">
        <v>92.69</v>
      </c>
      <c r="AB67" s="95">
        <v>9957600</v>
      </c>
      <c r="AC67" s="10">
        <v>91.98</v>
      </c>
      <c r="AD67" s="2">
        <f>Y67-Z67</f>
        <v>1.5099999999999909</v>
      </c>
      <c r="AE67" s="138" t="e">
        <f>AC67/#REF!-1</f>
        <v>#REF!</v>
      </c>
    </row>
    <row r="68" spans="2:31" x14ac:dyDescent="0.25">
      <c r="B68" s="193"/>
      <c r="C68" s="10"/>
      <c r="D68" s="40"/>
      <c r="E68" s="40"/>
      <c r="F68" s="40"/>
      <c r="G68" s="40"/>
      <c r="H68" s="231"/>
      <c r="I68" s="40"/>
      <c r="W68" s="133">
        <v>42671</v>
      </c>
      <c r="X68" s="10">
        <v>93.89</v>
      </c>
      <c r="Y68" s="10">
        <v>94.4</v>
      </c>
      <c r="Z68" s="10">
        <v>93.53</v>
      </c>
      <c r="AA68" s="10">
        <v>93.85</v>
      </c>
      <c r="AB68" s="95">
        <v>7309100</v>
      </c>
      <c r="AC68" s="10">
        <v>93.13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193"/>
      <c r="C69" s="10"/>
      <c r="D69" s="40"/>
      <c r="E69" s="40"/>
      <c r="F69" s="40"/>
      <c r="G69" s="40"/>
      <c r="H69" s="231"/>
      <c r="I69" s="40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2:31" x14ac:dyDescent="0.25">
      <c r="B70" s="193"/>
      <c r="C70" s="10"/>
      <c r="D70" s="40"/>
      <c r="E70" s="40"/>
      <c r="F70" s="40"/>
      <c r="G70" s="40"/>
      <c r="H70" s="231"/>
      <c r="I70" s="40"/>
    </row>
    <row r="81" spans="1:13" x14ac:dyDescent="0.25">
      <c r="L81" t="s">
        <v>65</v>
      </c>
      <c r="M81" s="2">
        <f>M99+K99-F99</f>
        <v>257.30999999999949</v>
      </c>
    </row>
    <row r="82" spans="1:13" x14ac:dyDescent="0.25">
      <c r="A82" s="568" t="s">
        <v>1</v>
      </c>
      <c r="B82" s="568" t="s">
        <v>2</v>
      </c>
      <c r="C82" s="568" t="s">
        <v>4</v>
      </c>
      <c r="D82" s="569" t="s">
        <v>5</v>
      </c>
      <c r="E82" s="569" t="s">
        <v>94</v>
      </c>
      <c r="F82" s="569" t="s">
        <v>60</v>
      </c>
      <c r="G82" s="568" t="s">
        <v>3</v>
      </c>
      <c r="H82" s="568" t="s">
        <v>6</v>
      </c>
      <c r="I82" s="569" t="s">
        <v>7</v>
      </c>
      <c r="J82" s="569" t="s">
        <v>95</v>
      </c>
      <c r="K82" s="569" t="s">
        <v>61</v>
      </c>
      <c r="L82" s="568" t="s">
        <v>37</v>
      </c>
      <c r="M82" s="568" t="s">
        <v>38</v>
      </c>
    </row>
    <row r="83" spans="1:13" x14ac:dyDescent="0.25">
      <c r="A83" s="570" t="s">
        <v>63</v>
      </c>
      <c r="B83" s="566">
        <v>42226</v>
      </c>
      <c r="C83" s="571">
        <v>10</v>
      </c>
      <c r="D83" s="572">
        <v>113.72</v>
      </c>
      <c r="E83" s="572">
        <v>0</v>
      </c>
      <c r="F83" s="572">
        <f t="shared" ref="F83:F92" si="67">C83*D83</f>
        <v>1137.2</v>
      </c>
      <c r="G83" s="566">
        <v>42304</v>
      </c>
      <c r="H83" s="573">
        <v>30</v>
      </c>
      <c r="I83" s="572">
        <v>111.35</v>
      </c>
      <c r="J83" s="572">
        <v>0.06</v>
      </c>
      <c r="K83" s="572">
        <f t="shared" ref="K83:K88" si="68">I83*H83-J83</f>
        <v>3340.44</v>
      </c>
      <c r="L83" s="566">
        <v>42580</v>
      </c>
      <c r="M83" s="572">
        <v>10.65</v>
      </c>
    </row>
    <row r="84" spans="1:13" x14ac:dyDescent="0.25">
      <c r="A84" s="574" t="s">
        <v>71</v>
      </c>
      <c r="B84" s="566">
        <v>42226</v>
      </c>
      <c r="C84" s="571">
        <v>5</v>
      </c>
      <c r="D84" s="572">
        <v>112.2</v>
      </c>
      <c r="E84" s="572">
        <v>0</v>
      </c>
      <c r="F84" s="572">
        <f t="shared" si="67"/>
        <v>561</v>
      </c>
      <c r="G84" s="566">
        <v>42416</v>
      </c>
      <c r="H84" s="573">
        <v>15</v>
      </c>
      <c r="I84" s="572">
        <v>92.85</v>
      </c>
      <c r="J84" s="572">
        <v>0.03</v>
      </c>
      <c r="K84" s="572">
        <f t="shared" si="68"/>
        <v>1392.72</v>
      </c>
      <c r="L84" s="571"/>
      <c r="M84" s="571"/>
    </row>
    <row r="85" spans="1:13" x14ac:dyDescent="0.25">
      <c r="A85" s="571"/>
      <c r="B85" s="566">
        <v>42226</v>
      </c>
      <c r="C85" s="571">
        <v>5</v>
      </c>
      <c r="D85" s="572">
        <v>110.93</v>
      </c>
      <c r="E85" s="572">
        <v>0</v>
      </c>
      <c r="F85" s="572">
        <f t="shared" si="67"/>
        <v>554.65000000000009</v>
      </c>
      <c r="G85" s="566">
        <v>42482</v>
      </c>
      <c r="H85" s="573">
        <v>10</v>
      </c>
      <c r="I85" s="572">
        <v>103.71</v>
      </c>
      <c r="J85" s="572">
        <v>0.02</v>
      </c>
      <c r="K85" s="572">
        <f t="shared" si="68"/>
        <v>1037.08</v>
      </c>
      <c r="L85" s="571"/>
      <c r="M85" s="571"/>
    </row>
    <row r="86" spans="1:13" x14ac:dyDescent="0.25">
      <c r="A86" s="571"/>
      <c r="B86" s="566">
        <v>42227</v>
      </c>
      <c r="C86" s="571">
        <v>10</v>
      </c>
      <c r="D86" s="572">
        <v>105</v>
      </c>
      <c r="E86" s="572">
        <v>0</v>
      </c>
      <c r="F86" s="572">
        <f t="shared" si="67"/>
        <v>1050</v>
      </c>
      <c r="G86" s="566">
        <v>42592</v>
      </c>
      <c r="H86" s="573">
        <v>15</v>
      </c>
      <c r="I86" s="572">
        <v>97.88</v>
      </c>
      <c r="J86" s="572">
        <v>0.03</v>
      </c>
      <c r="K86" s="572">
        <f t="shared" si="68"/>
        <v>1468.1699999999998</v>
      </c>
      <c r="L86" s="571"/>
      <c r="M86" s="571"/>
    </row>
    <row r="87" spans="1:13" x14ac:dyDescent="0.25">
      <c r="A87" s="571"/>
      <c r="B87" s="566">
        <v>42374</v>
      </c>
      <c r="C87" s="571">
        <v>25</v>
      </c>
      <c r="D87" s="572">
        <v>100.9</v>
      </c>
      <c r="E87" s="572">
        <v>0</v>
      </c>
      <c r="F87" s="572">
        <f t="shared" si="67"/>
        <v>2522.5</v>
      </c>
      <c r="G87" s="566">
        <v>42684</v>
      </c>
      <c r="H87" s="573">
        <v>50</v>
      </c>
      <c r="I87" s="572">
        <v>97.5</v>
      </c>
      <c r="J87" s="572">
        <v>0.11</v>
      </c>
      <c r="K87" s="572">
        <f t="shared" si="68"/>
        <v>4874.8900000000003</v>
      </c>
      <c r="L87" s="571"/>
      <c r="M87" s="571"/>
    </row>
    <row r="88" spans="1:13" x14ac:dyDescent="0.25">
      <c r="A88" s="571"/>
      <c r="B88" s="566">
        <v>42409</v>
      </c>
      <c r="C88" s="571">
        <v>15</v>
      </c>
      <c r="D88" s="572">
        <v>88.5</v>
      </c>
      <c r="E88" s="572">
        <v>0</v>
      </c>
      <c r="F88" s="572">
        <f t="shared" si="67"/>
        <v>1327.5</v>
      </c>
      <c r="G88" s="566">
        <v>42684</v>
      </c>
      <c r="H88" s="573">
        <v>20</v>
      </c>
      <c r="I88" s="572">
        <v>95.71</v>
      </c>
      <c r="J88" s="572">
        <v>0.04</v>
      </c>
      <c r="K88" s="572">
        <f t="shared" si="68"/>
        <v>1914.1599999999999</v>
      </c>
      <c r="L88" s="571"/>
      <c r="M88" s="571"/>
    </row>
    <row r="89" spans="1:13" x14ac:dyDescent="0.25">
      <c r="A89" s="571"/>
      <c r="B89" s="566">
        <v>42586</v>
      </c>
      <c r="C89" s="571">
        <v>15</v>
      </c>
      <c r="D89" s="572">
        <v>94.88</v>
      </c>
      <c r="E89" s="572">
        <v>0</v>
      </c>
      <c r="F89" s="572">
        <f t="shared" si="67"/>
        <v>1423.1999999999998</v>
      </c>
      <c r="G89" s="571"/>
      <c r="H89" s="573"/>
      <c r="I89" s="572"/>
      <c r="J89" s="572"/>
      <c r="K89" s="572"/>
      <c r="L89" s="571"/>
      <c r="M89" s="571"/>
    </row>
    <row r="90" spans="1:13" x14ac:dyDescent="0.25">
      <c r="A90" s="571"/>
      <c r="B90" s="566">
        <v>42594</v>
      </c>
      <c r="C90" s="571">
        <v>15</v>
      </c>
      <c r="D90" s="572">
        <v>96.85</v>
      </c>
      <c r="E90" s="572">
        <v>0</v>
      </c>
      <c r="F90" s="572">
        <f t="shared" si="67"/>
        <v>1452.75</v>
      </c>
      <c r="G90" s="571"/>
      <c r="H90" s="573"/>
      <c r="I90" s="572"/>
      <c r="J90" s="572"/>
      <c r="K90" s="572"/>
      <c r="L90" s="571"/>
      <c r="M90" s="571"/>
    </row>
    <row r="91" spans="1:13" x14ac:dyDescent="0.25">
      <c r="A91" s="571"/>
      <c r="B91" s="566">
        <v>42611</v>
      </c>
      <c r="C91" s="571">
        <v>25</v>
      </c>
      <c r="D91" s="572">
        <v>94.58</v>
      </c>
      <c r="E91" s="572">
        <v>0</v>
      </c>
      <c r="F91" s="572">
        <f t="shared" si="67"/>
        <v>2364.5</v>
      </c>
      <c r="G91" s="571"/>
      <c r="H91" s="571"/>
      <c r="I91" s="572"/>
      <c r="J91" s="572"/>
      <c r="K91" s="572"/>
      <c r="L91" s="571"/>
      <c r="M91" s="571"/>
    </row>
    <row r="92" spans="1:13" x14ac:dyDescent="0.25">
      <c r="A92" s="571"/>
      <c r="B92" s="566">
        <v>42622</v>
      </c>
      <c r="C92" s="571">
        <v>15</v>
      </c>
      <c r="D92" s="572">
        <v>92.5</v>
      </c>
      <c r="E92" s="572">
        <v>0</v>
      </c>
      <c r="F92" s="572">
        <f t="shared" si="67"/>
        <v>1387.5</v>
      </c>
      <c r="G92" s="571"/>
      <c r="H92" s="571"/>
      <c r="I92" s="572"/>
      <c r="J92" s="572"/>
      <c r="K92" s="572"/>
      <c r="L92" s="571"/>
      <c r="M92" s="571"/>
    </row>
    <row r="93" spans="1:13" x14ac:dyDescent="0.25">
      <c r="A93" s="571"/>
      <c r="B93" s="571"/>
      <c r="C93" s="571"/>
      <c r="D93" s="572"/>
      <c r="E93" s="572"/>
      <c r="F93" s="572"/>
      <c r="G93" s="571"/>
      <c r="H93" s="571"/>
      <c r="I93" s="572"/>
      <c r="J93" s="572"/>
      <c r="K93" s="572"/>
      <c r="L93" s="571"/>
      <c r="M93" s="571"/>
    </row>
    <row r="94" spans="1:13" x14ac:dyDescent="0.25">
      <c r="A94" s="571"/>
      <c r="B94" s="571"/>
      <c r="C94" s="571"/>
      <c r="D94" s="572"/>
      <c r="E94" s="572"/>
      <c r="F94" s="572"/>
      <c r="G94" s="571"/>
      <c r="H94" s="571"/>
      <c r="I94" s="572"/>
      <c r="J94" s="572"/>
      <c r="K94" s="572"/>
      <c r="L94" s="571"/>
      <c r="M94" s="571"/>
    </row>
    <row r="95" spans="1:13" x14ac:dyDescent="0.25">
      <c r="A95" s="571"/>
      <c r="B95" s="571"/>
      <c r="C95" s="571"/>
      <c r="D95" s="572"/>
      <c r="E95" s="572"/>
      <c r="F95" s="572"/>
      <c r="G95" s="571"/>
      <c r="H95" s="571"/>
      <c r="I95" s="572"/>
      <c r="J95" s="572"/>
      <c r="K95" s="572"/>
      <c r="L95" s="571"/>
      <c r="M95" s="571"/>
    </row>
    <row r="96" spans="1:13" x14ac:dyDescent="0.25">
      <c r="A96" s="571"/>
      <c r="B96" s="571"/>
      <c r="C96" s="571"/>
      <c r="D96" s="572"/>
      <c r="E96" s="572"/>
      <c r="F96" s="572"/>
      <c r="G96" s="571"/>
      <c r="H96" s="571"/>
      <c r="I96" s="572"/>
      <c r="J96" s="572"/>
      <c r="K96" s="572"/>
      <c r="L96" s="571"/>
      <c r="M96" s="571"/>
    </row>
    <row r="97" spans="1:13" x14ac:dyDescent="0.25">
      <c r="A97" s="571"/>
      <c r="B97" s="571"/>
      <c r="C97" s="571"/>
      <c r="D97" s="572"/>
      <c r="E97" s="572"/>
      <c r="F97" s="572"/>
      <c r="G97" s="571"/>
      <c r="H97" s="571"/>
      <c r="I97" s="572"/>
      <c r="J97" s="572"/>
      <c r="K97" s="572"/>
      <c r="L97" s="571"/>
      <c r="M97" s="571"/>
    </row>
    <row r="98" spans="1:13" x14ac:dyDescent="0.25">
      <c r="A98" s="571"/>
      <c r="B98" s="571"/>
      <c r="C98" s="571"/>
      <c r="D98" s="572"/>
      <c r="E98" s="572"/>
      <c r="F98" s="572"/>
      <c r="G98" s="571"/>
      <c r="H98" s="571"/>
      <c r="I98" s="572"/>
      <c r="J98" s="572"/>
      <c r="K98" s="572"/>
      <c r="L98" s="571"/>
      <c r="M98" s="571"/>
    </row>
    <row r="99" spans="1:13" x14ac:dyDescent="0.25">
      <c r="A99" s="575" t="s">
        <v>81</v>
      </c>
      <c r="B99" s="576"/>
      <c r="C99" s="576">
        <f>SUM(C83:C92)</f>
        <v>140</v>
      </c>
      <c r="D99" s="577"/>
      <c r="E99" s="577"/>
      <c r="F99" s="577">
        <f>SUM(F83:F92)</f>
        <v>13780.8</v>
      </c>
      <c r="G99" s="576"/>
      <c r="H99" s="578">
        <f>SUM(H83:H88)</f>
        <v>140</v>
      </c>
      <c r="I99" s="577"/>
      <c r="J99" s="577"/>
      <c r="K99" s="577">
        <f>SUM(K83:K88)</f>
        <v>14027.46</v>
      </c>
      <c r="L99" s="576"/>
      <c r="M99" s="577">
        <f>SUM(M83:M86)</f>
        <v>10.65</v>
      </c>
    </row>
    <row r="100" spans="1:13" ht="15.75" thickBot="1" x14ac:dyDescent="0.3">
      <c r="A100" s="579" t="s">
        <v>198</v>
      </c>
      <c r="B100" s="580"/>
      <c r="C100" s="581">
        <f>SumByColor($A$19,C83:C98)</f>
        <v>0</v>
      </c>
      <c r="D100" s="581"/>
      <c r="E100" s="581"/>
      <c r="F100" s="582">
        <f>SumByColor($A$19,F83:F98)</f>
        <v>0</v>
      </c>
      <c r="G100" s="581"/>
      <c r="H100" s="581">
        <f>SumByColor($A$19,H83:H98)</f>
        <v>0</v>
      </c>
      <c r="I100" s="581"/>
      <c r="J100" s="581"/>
      <c r="K100" s="582">
        <f>SumByColor($A$19,K83:K98)</f>
        <v>0</v>
      </c>
      <c r="L100" s="581"/>
      <c r="M100" s="582">
        <f t="shared" ref="M100" si="69">SumByColor($A$19,M83:M98)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15" priority="15">
      <formula>F25&gt;0</formula>
    </cfRule>
    <cfRule type="expression" dxfId="114" priority="16">
      <formula>F25&lt;0</formula>
    </cfRule>
  </conditionalFormatting>
  <conditionalFormatting sqref="F32:F70">
    <cfRule type="expression" dxfId="113" priority="11">
      <formula>F32&gt;0</formula>
    </cfRule>
    <cfRule type="expression" dxfId="112" priority="12">
      <formula>F32&lt;0</formula>
    </cfRule>
  </conditionalFormatting>
  <conditionalFormatting sqref="F32:F70">
    <cfRule type="expression" dxfId="111" priority="13">
      <formula>F32&gt;0</formula>
    </cfRule>
    <cfRule type="expression" dxfId="110" priority="14">
      <formula>F32&lt;0</formula>
    </cfRule>
  </conditionalFormatting>
  <conditionalFormatting sqref="H25 H30:H70">
    <cfRule type="expression" dxfId="109" priority="9">
      <formula>H25&gt;0</formula>
    </cfRule>
    <cfRule type="expression" dxfId="108" priority="10">
      <formula>H25&lt;0</formula>
    </cfRule>
  </conditionalFormatting>
  <conditionalFormatting sqref="F26:F29">
    <cfRule type="expression" dxfId="107" priority="7">
      <formula>F26&gt;0</formula>
    </cfRule>
    <cfRule type="expression" dxfId="106" priority="8">
      <formula>F26&lt;0</formula>
    </cfRule>
  </conditionalFormatting>
  <conditionalFormatting sqref="H26:H29">
    <cfRule type="expression" dxfId="105" priority="5">
      <formula>H26&gt;0</formula>
    </cfRule>
    <cfRule type="expression" dxfId="104" priority="6">
      <formula>H26&lt;0</formula>
    </cfRule>
  </conditionalFormatting>
  <conditionalFormatting sqref="Q7">
    <cfRule type="expression" dxfId="103" priority="3">
      <formula>Q7&gt;0</formula>
    </cfRule>
    <cfRule type="expression" dxfId="102" priority="4">
      <formula>Q7&lt;0</formula>
    </cfRule>
  </conditionalFormatting>
  <conditionalFormatting sqref="Q8">
    <cfRule type="expression" dxfId="101" priority="1">
      <formula>Q8&gt;0</formula>
    </cfRule>
    <cfRule type="expression" dxfId="100" priority="2">
      <formula>Q8&lt;0</formula>
    </cfRule>
  </conditionalFormatting>
  <hyperlinks>
    <hyperlink ref="A3" location="ACTIVE!A1" display="Back"/>
    <hyperlink ref="A84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AE10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4" max="6" width="9.140625" style="2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3.140625" style="86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U1" s="84"/>
      <c r="W1" s="108" t="s">
        <v>114</v>
      </c>
      <c r="X1" s="108" t="s">
        <v>115</v>
      </c>
      <c r="Y1" s="108" t="s">
        <v>116</v>
      </c>
      <c r="Z1" s="108" t="s">
        <v>117</v>
      </c>
      <c r="AA1" s="108" t="s">
        <v>118</v>
      </c>
      <c r="AB1" s="108" t="s">
        <v>119</v>
      </c>
      <c r="AC1" s="108" t="s">
        <v>120</v>
      </c>
      <c r="AD1" s="93" t="s">
        <v>126</v>
      </c>
      <c r="AE1" s="93" t="s">
        <v>128</v>
      </c>
    </row>
    <row r="2" spans="1:31" x14ac:dyDescent="0.25">
      <c r="A2" s="6" t="s">
        <v>9</v>
      </c>
      <c r="B2" s="459">
        <v>42629</v>
      </c>
      <c r="C2" s="4">
        <v>400</v>
      </c>
      <c r="D2" s="3">
        <v>4.28</v>
      </c>
      <c r="E2" s="3">
        <v>0</v>
      </c>
      <c r="F2" s="3">
        <f t="shared" ref="F2:F11" si="0">C2*D2+E2</f>
        <v>1712</v>
      </c>
      <c r="G2" s="459">
        <v>42634</v>
      </c>
      <c r="H2" s="7">
        <v>400</v>
      </c>
      <c r="I2" s="44">
        <v>4.2</v>
      </c>
      <c r="J2" s="44">
        <v>0.04</v>
      </c>
      <c r="K2" s="44">
        <f>H2*I2-J2</f>
        <v>1679.96</v>
      </c>
      <c r="L2" s="1">
        <v>43099</v>
      </c>
      <c r="M2" s="44">
        <v>115.5</v>
      </c>
      <c r="O2" s="11" t="s">
        <v>57</v>
      </c>
      <c r="Q2">
        <f>C18-H18</f>
        <v>1400</v>
      </c>
      <c r="T2" s="1"/>
      <c r="W2" s="110">
        <v>42768</v>
      </c>
      <c r="X2" s="9">
        <v>3.41</v>
      </c>
      <c r="Y2" s="9">
        <v>3.42</v>
      </c>
      <c r="Z2" s="9">
        <v>3.33</v>
      </c>
      <c r="AA2" s="9">
        <v>3.37</v>
      </c>
      <c r="AB2" s="104">
        <v>15467700</v>
      </c>
      <c r="AC2" s="9">
        <v>3.37</v>
      </c>
      <c r="AD2" s="40">
        <f>Y2-Z2</f>
        <v>8.9999999999999858E-2</v>
      </c>
      <c r="AE2" s="162">
        <f>AC2/AC3-1</f>
        <v>-1.1730205278592365E-2</v>
      </c>
    </row>
    <row r="3" spans="1:31" x14ac:dyDescent="0.25">
      <c r="A3" s="23" t="s">
        <v>71</v>
      </c>
      <c r="B3" s="459">
        <v>42634</v>
      </c>
      <c r="C3" s="7">
        <v>400</v>
      </c>
      <c r="D3" s="44">
        <v>4.08</v>
      </c>
      <c r="E3" s="44">
        <v>0</v>
      </c>
      <c r="F3" s="44">
        <f t="shared" si="0"/>
        <v>1632</v>
      </c>
      <c r="G3" s="459">
        <v>42670</v>
      </c>
      <c r="H3" s="82">
        <v>200</v>
      </c>
      <c r="I3" s="44">
        <v>4.18</v>
      </c>
      <c r="J3" s="44">
        <v>0.02</v>
      </c>
      <c r="K3" s="44">
        <f t="shared" ref="K3:K8" si="1">H3*I3-J3</f>
        <v>835.98</v>
      </c>
      <c r="O3" s="11" t="s">
        <v>58</v>
      </c>
      <c r="Q3" s="495">
        <f>IF(Q2=0, Q4, (F18-M18-K18)/Q2)</f>
        <v>3.3880214285714283</v>
      </c>
      <c r="T3" s="1"/>
      <c r="W3" s="110">
        <v>42767</v>
      </c>
      <c r="X3" s="9">
        <v>3.44</v>
      </c>
      <c r="Y3" s="9">
        <v>3.5</v>
      </c>
      <c r="Z3" s="9">
        <v>3.37</v>
      </c>
      <c r="AA3" s="9">
        <v>3.41</v>
      </c>
      <c r="AB3" s="104">
        <v>23634100</v>
      </c>
      <c r="AC3" s="9">
        <v>3.41</v>
      </c>
      <c r="AD3" s="40">
        <f t="shared" ref="AD3:AD66" si="2">Y3-Z3</f>
        <v>0.12999999999999989</v>
      </c>
      <c r="AE3" s="162">
        <f t="shared" ref="AE3:AE66" si="3">AC3/AC4-1</f>
        <v>-2.2922636103151928E-2</v>
      </c>
    </row>
    <row r="4" spans="1:31" x14ac:dyDescent="0.25">
      <c r="B4" s="459">
        <v>42648</v>
      </c>
      <c r="C4" s="7">
        <v>400</v>
      </c>
      <c r="D4" s="44">
        <v>4.0199999999999996</v>
      </c>
      <c r="E4" s="44">
        <v>0</v>
      </c>
      <c r="F4" s="44">
        <f t="shared" si="0"/>
        <v>1607.9999999999998</v>
      </c>
      <c r="G4" s="459">
        <v>42670</v>
      </c>
      <c r="H4" s="82">
        <v>200</v>
      </c>
      <c r="I4" s="44">
        <v>4.22</v>
      </c>
      <c r="J4" s="44">
        <v>0.02</v>
      </c>
      <c r="K4" s="44">
        <f t="shared" si="1"/>
        <v>843.98</v>
      </c>
      <c r="O4" s="11" t="s">
        <v>66</v>
      </c>
      <c r="Q4" s="201">
        <v>3.42</v>
      </c>
      <c r="R4" s="505">
        <v>1.4800000000000001E-2</v>
      </c>
      <c r="T4" s="163"/>
      <c r="W4" s="110">
        <v>42766</v>
      </c>
      <c r="X4" s="9">
        <v>3.47</v>
      </c>
      <c r="Y4" s="9">
        <v>3.51</v>
      </c>
      <c r="Z4" s="9">
        <v>3.44</v>
      </c>
      <c r="AA4" s="9">
        <v>3.49</v>
      </c>
      <c r="AB4" s="104">
        <v>16486300</v>
      </c>
      <c r="AC4" s="9">
        <v>3.49</v>
      </c>
      <c r="AD4" s="40">
        <f t="shared" si="2"/>
        <v>6.999999999999984E-2</v>
      </c>
      <c r="AE4" s="162">
        <f t="shared" si="3"/>
        <v>0</v>
      </c>
    </row>
    <row r="5" spans="1:31" x14ac:dyDescent="0.25">
      <c r="B5" s="459">
        <v>42674</v>
      </c>
      <c r="C5" s="4">
        <v>400</v>
      </c>
      <c r="D5" s="3">
        <v>4.0199999999999996</v>
      </c>
      <c r="E5" s="3">
        <v>0</v>
      </c>
      <c r="F5" s="3">
        <f t="shared" si="0"/>
        <v>1607.9999999999998</v>
      </c>
      <c r="G5" s="459">
        <v>42697</v>
      </c>
      <c r="H5" s="82">
        <v>400</v>
      </c>
      <c r="I5" s="44">
        <v>3.62</v>
      </c>
      <c r="J5" s="44">
        <v>0.03</v>
      </c>
      <c r="K5" s="44">
        <f t="shared" si="1"/>
        <v>1447.97</v>
      </c>
      <c r="O5" s="11" t="s">
        <v>67</v>
      </c>
      <c r="Q5" s="3">
        <f>Q4*Q2</f>
        <v>4788</v>
      </c>
      <c r="W5" s="110">
        <v>42765</v>
      </c>
      <c r="X5" s="9">
        <v>3.51</v>
      </c>
      <c r="Y5" s="9">
        <v>3.53</v>
      </c>
      <c r="Z5" s="9">
        <v>3.44</v>
      </c>
      <c r="AA5" s="9">
        <v>3.49</v>
      </c>
      <c r="AB5" s="104">
        <v>17720700</v>
      </c>
      <c r="AC5" s="9">
        <v>3.49</v>
      </c>
      <c r="AD5" s="40">
        <f t="shared" si="2"/>
        <v>8.9999999999999858E-2</v>
      </c>
      <c r="AE5" s="162">
        <f t="shared" si="3"/>
        <v>-1.412429378531066E-2</v>
      </c>
    </row>
    <row r="6" spans="1:31" x14ac:dyDescent="0.25">
      <c r="B6" s="459">
        <v>42676</v>
      </c>
      <c r="C6" s="4">
        <v>300</v>
      </c>
      <c r="D6" s="3">
        <v>3.59</v>
      </c>
      <c r="E6" s="3">
        <v>0</v>
      </c>
      <c r="F6" s="3">
        <f t="shared" si="0"/>
        <v>1077</v>
      </c>
      <c r="G6" s="459">
        <v>42702</v>
      </c>
      <c r="H6" s="82">
        <v>400</v>
      </c>
      <c r="I6" s="44">
        <v>3.75</v>
      </c>
      <c r="J6" s="44">
        <v>0.03</v>
      </c>
      <c r="K6" s="44">
        <f t="shared" si="1"/>
        <v>1499.97</v>
      </c>
      <c r="O6" s="11" t="s">
        <v>64</v>
      </c>
      <c r="Q6" s="2">
        <f>Q3*Q2</f>
        <v>4743.2299999999996</v>
      </c>
      <c r="W6" s="110">
        <v>42762</v>
      </c>
      <c r="X6" s="9">
        <v>3.51</v>
      </c>
      <c r="Y6" s="9">
        <v>3.54</v>
      </c>
      <c r="Z6" s="9">
        <v>3.47</v>
      </c>
      <c r="AA6" s="9">
        <v>3.54</v>
      </c>
      <c r="AB6" s="104">
        <v>10969900</v>
      </c>
      <c r="AC6" s="9">
        <v>3.54</v>
      </c>
      <c r="AD6" s="40">
        <f t="shared" si="2"/>
        <v>6.999999999999984E-2</v>
      </c>
      <c r="AE6" s="162">
        <f t="shared" si="3"/>
        <v>1.1428571428571344E-2</v>
      </c>
    </row>
    <row r="7" spans="1:31" x14ac:dyDescent="0.25">
      <c r="B7" s="459">
        <v>42678</v>
      </c>
      <c r="C7" s="7">
        <v>400</v>
      </c>
      <c r="D7" s="44">
        <v>3.13</v>
      </c>
      <c r="E7" s="44">
        <v>0</v>
      </c>
      <c r="F7" s="44">
        <f t="shared" si="0"/>
        <v>1252</v>
      </c>
      <c r="G7" s="459">
        <v>42738</v>
      </c>
      <c r="H7" s="82">
        <v>700</v>
      </c>
      <c r="I7" s="44">
        <v>3.55</v>
      </c>
      <c r="J7" s="44">
        <v>0.05</v>
      </c>
      <c r="K7" s="44">
        <f t="shared" si="1"/>
        <v>2484.9499999999998</v>
      </c>
      <c r="O7" s="11" t="s">
        <v>181</v>
      </c>
      <c r="Q7" s="2">
        <f>Q10+Q8</f>
        <v>479.70000000000073</v>
      </c>
      <c r="R7">
        <v>700</v>
      </c>
      <c r="W7" s="110">
        <v>42761</v>
      </c>
      <c r="X7" s="9">
        <v>3.42</v>
      </c>
      <c r="Y7" s="9">
        <v>3.5</v>
      </c>
      <c r="Z7" s="9">
        <v>3.42</v>
      </c>
      <c r="AA7" s="9">
        <v>3.5</v>
      </c>
      <c r="AB7" s="104">
        <v>11650600</v>
      </c>
      <c r="AC7" s="9">
        <v>3.5</v>
      </c>
      <c r="AD7" s="40">
        <f t="shared" si="2"/>
        <v>8.0000000000000071E-2</v>
      </c>
      <c r="AE7" s="162">
        <f t="shared" si="3"/>
        <v>1.744186046511631E-2</v>
      </c>
    </row>
    <row r="8" spans="1:31" x14ac:dyDescent="0.25">
      <c r="B8" s="459">
        <v>42716</v>
      </c>
      <c r="C8" s="7">
        <v>400</v>
      </c>
      <c r="D8" s="44">
        <v>3.56</v>
      </c>
      <c r="E8" s="44">
        <v>0</v>
      </c>
      <c r="F8" s="44">
        <f t="shared" si="0"/>
        <v>1424</v>
      </c>
      <c r="G8" s="459">
        <v>42760</v>
      </c>
      <c r="H8" s="82">
        <v>400</v>
      </c>
      <c r="I8" s="44">
        <v>3.45</v>
      </c>
      <c r="J8" s="44">
        <v>-0.46</v>
      </c>
      <c r="K8" s="44">
        <f t="shared" si="1"/>
        <v>1380.46</v>
      </c>
      <c r="O8" s="11" t="s">
        <v>184</v>
      </c>
      <c r="P8" s="34"/>
      <c r="Q8" s="2">
        <f>K18+M18-F18+Q2*Q4</f>
        <v>44.770000000000437</v>
      </c>
      <c r="W8" s="110">
        <v>42760</v>
      </c>
      <c r="X8" s="9">
        <v>3.5</v>
      </c>
      <c r="Y8" s="9">
        <v>3.52</v>
      </c>
      <c r="Z8" s="9">
        <v>3.4</v>
      </c>
      <c r="AA8" s="9">
        <v>3.44</v>
      </c>
      <c r="AB8" s="104">
        <v>18150300</v>
      </c>
      <c r="AC8" s="9">
        <v>3.44</v>
      </c>
      <c r="AD8" s="40">
        <f t="shared" si="2"/>
        <v>0.12000000000000011</v>
      </c>
      <c r="AE8" s="162">
        <f t="shared" si="3"/>
        <v>-8.6455331412104153E-3</v>
      </c>
    </row>
    <row r="9" spans="1:31" x14ac:dyDescent="0.25">
      <c r="B9" s="74">
        <v>42725</v>
      </c>
      <c r="C9" s="7">
        <v>700</v>
      </c>
      <c r="D9" s="44">
        <v>3.33</v>
      </c>
      <c r="E9" s="44">
        <v>0</v>
      </c>
      <c r="F9" s="44">
        <f t="shared" si="0"/>
        <v>2331</v>
      </c>
      <c r="G9" s="4"/>
      <c r="H9" s="185"/>
      <c r="I9" s="3"/>
      <c r="J9" s="3"/>
      <c r="K9" s="3"/>
      <c r="O9" s="11" t="s">
        <v>214</v>
      </c>
      <c r="Q9" s="138">
        <f>IF(Q2=0, 0, Q8/Q6)</f>
        <v>9.4387158117992254E-3</v>
      </c>
      <c r="W9" s="110">
        <v>42759</v>
      </c>
      <c r="X9" s="9">
        <v>3.57</v>
      </c>
      <c r="Y9" s="9">
        <v>3.58</v>
      </c>
      <c r="Z9" s="9">
        <v>3.46</v>
      </c>
      <c r="AA9" s="9">
        <v>3.47</v>
      </c>
      <c r="AB9" s="104">
        <v>15740400</v>
      </c>
      <c r="AC9" s="9">
        <v>3.47</v>
      </c>
      <c r="AD9" s="40">
        <f t="shared" si="2"/>
        <v>0.12000000000000011</v>
      </c>
      <c r="AE9" s="162">
        <f t="shared" si="3"/>
        <v>-1.9774011299435013E-2</v>
      </c>
    </row>
    <row r="10" spans="1:31" x14ac:dyDescent="0.25">
      <c r="B10" s="503">
        <v>42754</v>
      </c>
      <c r="C10" s="7">
        <v>400</v>
      </c>
      <c r="D10" s="44">
        <v>3.42</v>
      </c>
      <c r="E10" s="44">
        <v>0</v>
      </c>
      <c r="F10" s="44">
        <f t="shared" si="0"/>
        <v>1368</v>
      </c>
      <c r="O10" s="11" t="s">
        <v>213</v>
      </c>
      <c r="P10" s="34"/>
      <c r="Q10" s="2">
        <f>M68</f>
        <v>434.93000000000029</v>
      </c>
      <c r="W10" s="110">
        <v>42758</v>
      </c>
      <c r="X10" s="9">
        <v>3.49</v>
      </c>
      <c r="Y10" s="9">
        <v>3.55</v>
      </c>
      <c r="Z10" s="9">
        <v>3.45</v>
      </c>
      <c r="AA10" s="9">
        <v>3.54</v>
      </c>
      <c r="AB10" s="104">
        <v>10992400</v>
      </c>
      <c r="AC10" s="9">
        <v>3.54</v>
      </c>
      <c r="AD10" s="40">
        <f t="shared" si="2"/>
        <v>9.9999999999999645E-2</v>
      </c>
      <c r="AE10" s="162">
        <f t="shared" si="3"/>
        <v>1.4326647564469885E-2</v>
      </c>
    </row>
    <row r="11" spans="1:31" x14ac:dyDescent="0.25">
      <c r="B11" s="503">
        <v>42760</v>
      </c>
      <c r="C11" s="4">
        <v>300</v>
      </c>
      <c r="D11" s="3">
        <v>3.4</v>
      </c>
      <c r="E11" s="3">
        <v>0</v>
      </c>
      <c r="F11" s="3">
        <f t="shared" si="0"/>
        <v>1020</v>
      </c>
      <c r="O11" s="11" t="s">
        <v>178</v>
      </c>
      <c r="P11" s="34"/>
      <c r="Q11" s="138">
        <f>VALUE(TRIM(CLEAN(MID(U58, FIND("(", U58)+1, 6))))</f>
        <v>0.1203</v>
      </c>
      <c r="W11" s="110">
        <v>42755</v>
      </c>
      <c r="X11" s="9">
        <v>3.49</v>
      </c>
      <c r="Y11" s="9">
        <v>3.53</v>
      </c>
      <c r="Z11" s="9">
        <v>3.41</v>
      </c>
      <c r="AA11" s="9">
        <v>3.49</v>
      </c>
      <c r="AB11" s="104">
        <v>18377200</v>
      </c>
      <c r="AC11" s="9">
        <v>3.49</v>
      </c>
      <c r="AD11" s="40">
        <f t="shared" si="2"/>
        <v>0.11999999999999966</v>
      </c>
      <c r="AE11" s="162">
        <f t="shared" si="3"/>
        <v>2.8735632183909399E-3</v>
      </c>
    </row>
    <row r="12" spans="1:31" x14ac:dyDescent="0.25">
      <c r="W12" s="110">
        <v>42754</v>
      </c>
      <c r="X12" s="9">
        <v>3.52</v>
      </c>
      <c r="Y12" s="9">
        <v>3.54</v>
      </c>
      <c r="Z12" s="9">
        <v>3.41</v>
      </c>
      <c r="AA12" s="9">
        <v>3.48</v>
      </c>
      <c r="AB12" s="104">
        <v>18512500</v>
      </c>
      <c r="AC12" s="9">
        <v>3.48</v>
      </c>
      <c r="AD12" s="40">
        <f t="shared" si="2"/>
        <v>0.12999999999999989</v>
      </c>
      <c r="AE12" s="162">
        <f t="shared" si="3"/>
        <v>-1.6949152542372947E-2</v>
      </c>
    </row>
    <row r="13" spans="1:31" x14ac:dyDescent="0.25">
      <c r="W13" s="110">
        <v>42753</v>
      </c>
      <c r="X13" s="9">
        <v>3.57</v>
      </c>
      <c r="Y13" s="9">
        <v>3.59</v>
      </c>
      <c r="Z13" s="9">
        <v>3.51</v>
      </c>
      <c r="AA13" s="9">
        <v>3.54</v>
      </c>
      <c r="AB13" s="104">
        <v>8947600</v>
      </c>
      <c r="AC13" s="9">
        <v>3.54</v>
      </c>
      <c r="AD13" s="40">
        <f t="shared" si="2"/>
        <v>8.0000000000000071E-2</v>
      </c>
      <c r="AE13" s="162">
        <f t="shared" si="3"/>
        <v>-2.8169014084505895E-3</v>
      </c>
    </row>
    <row r="14" spans="1:31" x14ac:dyDescent="0.25">
      <c r="W14" s="110">
        <v>42752</v>
      </c>
      <c r="X14" s="9">
        <v>3.55</v>
      </c>
      <c r="Y14" s="9">
        <v>3.57</v>
      </c>
      <c r="Z14" s="9">
        <v>3.51</v>
      </c>
      <c r="AA14" s="9">
        <v>3.55</v>
      </c>
      <c r="AB14" s="104">
        <v>9701200</v>
      </c>
      <c r="AC14" s="9">
        <v>3.55</v>
      </c>
      <c r="AD14" s="40">
        <f t="shared" si="2"/>
        <v>6.0000000000000053E-2</v>
      </c>
      <c r="AE14" s="162">
        <f t="shared" si="3"/>
        <v>2.8248587570620654E-3</v>
      </c>
    </row>
    <row r="15" spans="1:31" x14ac:dyDescent="0.25">
      <c r="W15" s="110">
        <v>42748</v>
      </c>
      <c r="X15" s="9">
        <v>3.53</v>
      </c>
      <c r="Y15" s="9">
        <v>3.57</v>
      </c>
      <c r="Z15" s="9">
        <v>3.52</v>
      </c>
      <c r="AA15" s="9">
        <v>3.54</v>
      </c>
      <c r="AB15" s="104">
        <v>8053400</v>
      </c>
      <c r="AC15" s="9">
        <v>3.54</v>
      </c>
      <c r="AD15" s="40">
        <f t="shared" si="2"/>
        <v>4.9999999999999822E-2</v>
      </c>
      <c r="AE15" s="162">
        <f t="shared" si="3"/>
        <v>2.8328611898018607E-3</v>
      </c>
    </row>
    <row r="16" spans="1:31" x14ac:dyDescent="0.25">
      <c r="W16" s="110">
        <v>42747</v>
      </c>
      <c r="X16" s="9">
        <v>3.61</v>
      </c>
      <c r="Y16" s="9">
        <v>3.62</v>
      </c>
      <c r="Z16" s="9">
        <v>3.5</v>
      </c>
      <c r="AA16" s="9">
        <v>3.53</v>
      </c>
      <c r="AB16" s="104">
        <v>17894300</v>
      </c>
      <c r="AC16" s="9">
        <v>3.53</v>
      </c>
      <c r="AD16" s="40">
        <f t="shared" si="2"/>
        <v>0.12000000000000011</v>
      </c>
      <c r="AE16" s="162">
        <f t="shared" si="3"/>
        <v>-2.2160664819944609E-2</v>
      </c>
    </row>
    <row r="17" spans="1:31" x14ac:dyDescent="0.25">
      <c r="H17" s="72"/>
      <c r="W17" s="110">
        <v>42746</v>
      </c>
      <c r="X17" s="9">
        <v>3.63</v>
      </c>
      <c r="Y17" s="9">
        <v>3.7</v>
      </c>
      <c r="Z17" s="9">
        <v>3.55</v>
      </c>
      <c r="AA17" s="9">
        <v>3.61</v>
      </c>
      <c r="AB17" s="104">
        <v>14853600</v>
      </c>
      <c r="AC17" s="9">
        <v>3.61</v>
      </c>
      <c r="AD17" s="40">
        <f t="shared" si="2"/>
        <v>0.15000000000000036</v>
      </c>
      <c r="AE17" s="162">
        <f t="shared" si="3"/>
        <v>-5.5096418732782926E-3</v>
      </c>
    </row>
    <row r="18" spans="1:31" x14ac:dyDescent="0.25">
      <c r="A18" s="32" t="s">
        <v>81</v>
      </c>
      <c r="B18" s="14"/>
      <c r="C18" s="14">
        <f>SUM(C2:C17)</f>
        <v>4100</v>
      </c>
      <c r="D18" s="18"/>
      <c r="E18" s="18"/>
      <c r="F18" s="18">
        <f>SUM(F2:F17)</f>
        <v>15032</v>
      </c>
      <c r="G18" s="14"/>
      <c r="H18" s="14">
        <f>SUM(H2:H8)</f>
        <v>2700</v>
      </c>
      <c r="I18" s="18"/>
      <c r="J18" s="18"/>
      <c r="K18" s="18">
        <f>SUM(K2:K8)</f>
        <v>10173.27</v>
      </c>
      <c r="L18" s="14"/>
      <c r="M18" s="18">
        <f>SUM(M2:M5)</f>
        <v>115.5</v>
      </c>
      <c r="W18" s="110">
        <v>42745</v>
      </c>
      <c r="X18" s="9">
        <v>3.69</v>
      </c>
      <c r="Y18" s="9">
        <v>3.71</v>
      </c>
      <c r="Z18" s="9">
        <v>3.61</v>
      </c>
      <c r="AA18" s="9">
        <v>3.63</v>
      </c>
      <c r="AB18" s="104">
        <v>18368300</v>
      </c>
      <c r="AC18" s="9">
        <v>3.63</v>
      </c>
      <c r="AD18" s="40">
        <f t="shared" si="2"/>
        <v>0.10000000000000009</v>
      </c>
      <c r="AE18" s="162">
        <f t="shared" si="3"/>
        <v>-1.3586956521739246E-2</v>
      </c>
    </row>
    <row r="19" spans="1:31" ht="15.75" thickBot="1" x14ac:dyDescent="0.3">
      <c r="A19" s="356" t="s">
        <v>198</v>
      </c>
      <c r="B19" s="357"/>
      <c r="C19" s="358">
        <f>SumByColor($A$19,C2:C17)</f>
        <v>2700</v>
      </c>
      <c r="D19" s="358"/>
      <c r="E19" s="358"/>
      <c r="F19" s="359">
        <f>SumByColor($A$19,F2:F17)</f>
        <v>9615</v>
      </c>
      <c r="G19" s="358"/>
      <c r="H19" s="358">
        <f>SumByColor($A$19,H2:H17)</f>
        <v>2700</v>
      </c>
      <c r="I19" s="358"/>
      <c r="J19" s="358"/>
      <c r="K19" s="359">
        <f>SumByColor($A$19,K2:K17)</f>
        <v>10173</v>
      </c>
      <c r="L19" s="358"/>
      <c r="M19" s="597">
        <f>SumByColor($A$19,M2:M17)</f>
        <v>116</v>
      </c>
      <c r="W19" s="110">
        <v>42744</v>
      </c>
      <c r="X19" s="9">
        <v>3.76</v>
      </c>
      <c r="Y19" s="9">
        <v>3.79</v>
      </c>
      <c r="Z19" s="9">
        <v>3.62</v>
      </c>
      <c r="AA19" s="9">
        <v>3.68</v>
      </c>
      <c r="AB19" s="104">
        <v>32815300</v>
      </c>
      <c r="AC19" s="9">
        <v>3.68</v>
      </c>
      <c r="AD19" s="40">
        <f t="shared" si="2"/>
        <v>0.16999999999999993</v>
      </c>
      <c r="AE19" s="162">
        <f t="shared" si="3"/>
        <v>-1.8666666666666609E-2</v>
      </c>
    </row>
    <row r="20" spans="1:31" x14ac:dyDescent="0.25">
      <c r="W20" s="110">
        <v>42741</v>
      </c>
      <c r="X20" s="9">
        <v>3.75</v>
      </c>
      <c r="Y20" s="9">
        <v>3.82</v>
      </c>
      <c r="Z20" s="9">
        <v>3.65</v>
      </c>
      <c r="AA20" s="9">
        <v>3.75</v>
      </c>
      <c r="AB20" s="104">
        <v>57214700</v>
      </c>
      <c r="AC20" s="9">
        <v>3.75</v>
      </c>
      <c r="AD20" s="40">
        <f t="shared" si="2"/>
        <v>0.16999999999999993</v>
      </c>
      <c r="AE20" s="162">
        <f t="shared" si="3"/>
        <v>5.3619302949061698E-3</v>
      </c>
    </row>
    <row r="21" spans="1:31" x14ac:dyDescent="0.25">
      <c r="W21" s="110">
        <v>42740</v>
      </c>
      <c r="X21" s="9">
        <v>3.69</v>
      </c>
      <c r="Y21" s="9">
        <v>3.76</v>
      </c>
      <c r="Z21" s="9">
        <v>3.66</v>
      </c>
      <c r="AA21" s="9">
        <v>3.73</v>
      </c>
      <c r="AB21" s="104">
        <v>40947600</v>
      </c>
      <c r="AC21" s="9">
        <v>3.73</v>
      </c>
      <c r="AD21" s="40">
        <f t="shared" si="2"/>
        <v>9.9999999999999645E-2</v>
      </c>
      <c r="AE21" s="162">
        <f t="shared" si="3"/>
        <v>1.6348773841961872E-2</v>
      </c>
    </row>
    <row r="22" spans="1:31" x14ac:dyDescent="0.25">
      <c r="W22" s="110">
        <v>42739</v>
      </c>
      <c r="X22" s="9">
        <v>3.6</v>
      </c>
      <c r="Y22" s="9">
        <v>3.67</v>
      </c>
      <c r="Z22" s="9">
        <v>3.58</v>
      </c>
      <c r="AA22" s="9">
        <v>3.67</v>
      </c>
      <c r="AB22" s="104">
        <v>24640300</v>
      </c>
      <c r="AC22" s="9">
        <v>3.67</v>
      </c>
      <c r="AD22" s="40">
        <f t="shared" si="2"/>
        <v>8.9999999999999858E-2</v>
      </c>
      <c r="AE22" s="162">
        <f t="shared" si="3"/>
        <v>2.5139664804469275E-2</v>
      </c>
    </row>
    <row r="23" spans="1:31" x14ac:dyDescent="0.25">
      <c r="W23" s="110">
        <v>42738</v>
      </c>
      <c r="X23" s="9">
        <v>3.4</v>
      </c>
      <c r="Y23" s="9">
        <v>3.6</v>
      </c>
      <c r="Z23" s="9">
        <v>3.39</v>
      </c>
      <c r="AA23" s="9">
        <v>3.58</v>
      </c>
      <c r="AB23" s="104">
        <v>34407600</v>
      </c>
      <c r="AC23" s="9">
        <v>3.58</v>
      </c>
      <c r="AD23" s="40">
        <f t="shared" si="2"/>
        <v>0.20999999999999996</v>
      </c>
      <c r="AE23" s="162">
        <f t="shared" si="3"/>
        <v>5.9171597633136175E-2</v>
      </c>
    </row>
    <row r="24" spans="1:31" x14ac:dyDescent="0.25">
      <c r="W24" s="110">
        <v>42734</v>
      </c>
      <c r="X24" s="9">
        <v>3.38</v>
      </c>
      <c r="Y24" s="9">
        <v>3.42</v>
      </c>
      <c r="Z24" s="9">
        <v>3.35</v>
      </c>
      <c r="AA24" s="9">
        <v>3.38</v>
      </c>
      <c r="AB24" s="104">
        <v>20394600</v>
      </c>
      <c r="AC24" s="9">
        <v>3.38</v>
      </c>
      <c r="AD24" s="40">
        <f t="shared" si="2"/>
        <v>6.999999999999984E-2</v>
      </c>
      <c r="AE24" s="162">
        <f t="shared" si="3"/>
        <v>5.9523809523809312E-3</v>
      </c>
    </row>
    <row r="25" spans="1:31" x14ac:dyDescent="0.25">
      <c r="W25" s="110">
        <v>42733</v>
      </c>
      <c r="X25" s="9">
        <v>3.27</v>
      </c>
      <c r="Y25" s="9">
        <v>3.41</v>
      </c>
      <c r="Z25" s="9">
        <v>3.27</v>
      </c>
      <c r="AA25" s="9">
        <v>3.36</v>
      </c>
      <c r="AB25" s="104">
        <v>15739800</v>
      </c>
      <c r="AC25" s="9">
        <v>3.36</v>
      </c>
      <c r="AD25" s="40">
        <f t="shared" si="2"/>
        <v>0.14000000000000012</v>
      </c>
      <c r="AE25" s="162">
        <f t="shared" si="3"/>
        <v>2.9850746268655914E-3</v>
      </c>
    </row>
    <row r="26" spans="1:31" x14ac:dyDescent="0.25">
      <c r="W26" s="110">
        <v>42732</v>
      </c>
      <c r="X26" s="9">
        <v>3.42</v>
      </c>
      <c r="Y26" s="9">
        <v>3.44</v>
      </c>
      <c r="Z26" s="9">
        <v>3.34</v>
      </c>
      <c r="AA26" s="9">
        <v>3.35</v>
      </c>
      <c r="AB26" s="104">
        <v>13382600</v>
      </c>
      <c r="AC26" s="9">
        <v>3.35</v>
      </c>
      <c r="AD26" s="40">
        <f t="shared" si="2"/>
        <v>0.10000000000000009</v>
      </c>
      <c r="AE26" s="162">
        <f t="shared" si="3"/>
        <v>-2.0467836257309857E-2</v>
      </c>
    </row>
    <row r="27" spans="1:31" x14ac:dyDescent="0.25">
      <c r="W27" s="110">
        <v>42731</v>
      </c>
      <c r="X27" s="9">
        <v>3.42</v>
      </c>
      <c r="Y27" s="9">
        <v>3.46</v>
      </c>
      <c r="Z27" s="9">
        <v>3.4</v>
      </c>
      <c r="AA27" s="9">
        <v>3.42</v>
      </c>
      <c r="AB27" s="104">
        <v>11287900</v>
      </c>
      <c r="AC27" s="9">
        <v>3.42</v>
      </c>
      <c r="AD27" s="40">
        <f t="shared" si="2"/>
        <v>6.0000000000000053E-2</v>
      </c>
      <c r="AE27" s="162">
        <f t="shared" si="3"/>
        <v>0</v>
      </c>
    </row>
    <row r="28" spans="1:31" x14ac:dyDescent="0.25">
      <c r="W28" s="110">
        <v>42727</v>
      </c>
      <c r="X28" s="9">
        <v>3.32</v>
      </c>
      <c r="Y28" s="9">
        <v>3.44</v>
      </c>
      <c r="Z28" s="9">
        <v>3.32</v>
      </c>
      <c r="AA28" s="9">
        <v>3.42</v>
      </c>
      <c r="AB28" s="104">
        <v>12705300</v>
      </c>
      <c r="AC28" s="9">
        <v>3.42</v>
      </c>
      <c r="AD28" s="40">
        <f t="shared" si="2"/>
        <v>0.12000000000000011</v>
      </c>
      <c r="AE28" s="162">
        <f t="shared" si="3"/>
        <v>2.39520958083832E-2</v>
      </c>
    </row>
    <row r="29" spans="1:31" x14ac:dyDescent="0.25">
      <c r="W29" s="110">
        <v>42726</v>
      </c>
      <c r="X29" s="9">
        <v>3.32</v>
      </c>
      <c r="Y29" s="9">
        <v>3.42</v>
      </c>
      <c r="Z29" s="9">
        <v>3.3</v>
      </c>
      <c r="AA29" s="9">
        <v>3.34</v>
      </c>
      <c r="AB29" s="104">
        <v>15337700</v>
      </c>
      <c r="AC29" s="9">
        <v>3.34</v>
      </c>
      <c r="AD29" s="40">
        <f t="shared" si="2"/>
        <v>0.12000000000000011</v>
      </c>
      <c r="AE29" s="162">
        <f t="shared" si="3"/>
        <v>1.5197568389057725E-2</v>
      </c>
    </row>
    <row r="30" spans="1:31" x14ac:dyDescent="0.25">
      <c r="W30" s="110">
        <v>42725</v>
      </c>
      <c r="X30" s="9">
        <v>3.47</v>
      </c>
      <c r="Y30" s="9">
        <v>3.47</v>
      </c>
      <c r="Z30" s="9">
        <v>3.28</v>
      </c>
      <c r="AA30" s="9">
        <v>3.29</v>
      </c>
      <c r="AB30" s="104">
        <v>31544700</v>
      </c>
      <c r="AC30" s="9">
        <v>3.29</v>
      </c>
      <c r="AD30" s="40">
        <f t="shared" si="2"/>
        <v>0.19000000000000039</v>
      </c>
      <c r="AE30" s="162">
        <f t="shared" si="3"/>
        <v>-4.6376811594202927E-2</v>
      </c>
    </row>
    <row r="31" spans="1:31" x14ac:dyDescent="0.25">
      <c r="W31" s="110">
        <v>42724</v>
      </c>
      <c r="X31" s="9">
        <v>3.57</v>
      </c>
      <c r="Y31" s="9">
        <v>3.57</v>
      </c>
      <c r="Z31" s="9">
        <v>3.43</v>
      </c>
      <c r="AA31" s="9">
        <v>3.45</v>
      </c>
      <c r="AB31" s="104">
        <v>16142900</v>
      </c>
      <c r="AC31" s="9">
        <v>3.45</v>
      </c>
      <c r="AD31" s="40">
        <f t="shared" si="2"/>
        <v>0.13999999999999968</v>
      </c>
      <c r="AE31" s="162">
        <f t="shared" si="3"/>
        <v>-3.3613445378151141E-2</v>
      </c>
    </row>
    <row r="32" spans="1:31" x14ac:dyDescent="0.25">
      <c r="W32" s="110">
        <v>42723</v>
      </c>
      <c r="X32" s="9">
        <v>3.53</v>
      </c>
      <c r="Y32" s="9">
        <v>3.59</v>
      </c>
      <c r="Z32" s="9">
        <v>3.5</v>
      </c>
      <c r="AA32" s="9">
        <v>3.57</v>
      </c>
      <c r="AB32" s="104">
        <v>15160300</v>
      </c>
      <c r="AC32" s="9">
        <v>3.57</v>
      </c>
      <c r="AD32" s="40">
        <f t="shared" si="2"/>
        <v>8.9999999999999858E-2</v>
      </c>
      <c r="AE32" s="162">
        <f t="shared" si="3"/>
        <v>2.8089887640447841E-3</v>
      </c>
    </row>
    <row r="33" spans="2:31" x14ac:dyDescent="0.25">
      <c r="W33" s="110">
        <v>42720</v>
      </c>
      <c r="X33" s="9">
        <v>3.5</v>
      </c>
      <c r="Y33" s="9">
        <v>3.57</v>
      </c>
      <c r="Z33" s="9">
        <v>3.41</v>
      </c>
      <c r="AA33" s="9">
        <v>3.56</v>
      </c>
      <c r="AB33" s="104">
        <v>93389600</v>
      </c>
      <c r="AC33" s="9">
        <v>3.56</v>
      </c>
      <c r="AD33" s="40">
        <f t="shared" si="2"/>
        <v>0.1599999999999997</v>
      </c>
      <c r="AE33" s="162">
        <f t="shared" si="3"/>
        <v>2.005730659025784E-2</v>
      </c>
    </row>
    <row r="34" spans="2:31" x14ac:dyDescent="0.25">
      <c r="B34" s="193"/>
      <c r="C34" s="10"/>
      <c r="D34" s="202"/>
      <c r="E34" s="40"/>
      <c r="F34" s="236"/>
      <c r="G34" s="40"/>
      <c r="H34" s="232"/>
      <c r="I34" s="40"/>
      <c r="W34" s="110">
        <v>42719</v>
      </c>
      <c r="X34" s="9">
        <v>3.42</v>
      </c>
      <c r="Y34" s="9">
        <v>3.5</v>
      </c>
      <c r="Z34" s="9">
        <v>3.4</v>
      </c>
      <c r="AA34" s="9">
        <v>3.49</v>
      </c>
      <c r="AB34" s="104">
        <v>12778100</v>
      </c>
      <c r="AC34" s="9">
        <v>3.49</v>
      </c>
      <c r="AD34" s="40">
        <f t="shared" si="2"/>
        <v>0.10000000000000009</v>
      </c>
      <c r="AE34" s="162">
        <f t="shared" si="3"/>
        <v>1.4534883720930258E-2</v>
      </c>
    </row>
    <row r="35" spans="2:31" x14ac:dyDescent="0.25">
      <c r="B35" s="191" t="s">
        <v>114</v>
      </c>
      <c r="C35" s="191" t="s">
        <v>147</v>
      </c>
      <c r="D35" s="192" t="s">
        <v>146</v>
      </c>
      <c r="E35" s="194" t="s">
        <v>148</v>
      </c>
      <c r="F35" s="195" t="s">
        <v>65</v>
      </c>
      <c r="G35" s="229" t="s">
        <v>152</v>
      </c>
      <c r="H35" s="195" t="s">
        <v>88</v>
      </c>
      <c r="I35" s="229" t="s">
        <v>155</v>
      </c>
      <c r="W35" s="110">
        <v>42718</v>
      </c>
      <c r="X35" s="9">
        <v>3.45</v>
      </c>
      <c r="Y35" s="9">
        <v>3.5</v>
      </c>
      <c r="Z35" s="9">
        <v>3.39</v>
      </c>
      <c r="AA35" s="9">
        <v>3.44</v>
      </c>
      <c r="AB35" s="104">
        <v>15035400</v>
      </c>
      <c r="AC35" s="9">
        <v>3.44</v>
      </c>
      <c r="AD35" s="40">
        <f t="shared" si="2"/>
        <v>0.10999999999999988</v>
      </c>
      <c r="AE35" s="162">
        <f t="shared" si="3"/>
        <v>-2.8985507246377384E-3</v>
      </c>
    </row>
    <row r="36" spans="2:31" x14ac:dyDescent="0.25">
      <c r="B36" s="193">
        <v>42629</v>
      </c>
      <c r="C36" s="237">
        <v>400</v>
      </c>
      <c r="D36" s="551">
        <v>4.28</v>
      </c>
      <c r="E36" s="40">
        <v>4.28</v>
      </c>
      <c r="F36" s="40">
        <f t="shared" ref="F36:F42" si="4">C36*(E36-D36)</f>
        <v>0</v>
      </c>
      <c r="G36" s="40">
        <f t="shared" ref="G36:G42" si="5">D36*C36</f>
        <v>1712</v>
      </c>
      <c r="H36" s="232">
        <f t="shared" ref="H36:H42" si="6">(E36-D36)/D36</f>
        <v>0</v>
      </c>
      <c r="I36" s="40"/>
      <c r="W36" s="110">
        <v>42717</v>
      </c>
      <c r="X36" s="9">
        <v>3.39</v>
      </c>
      <c r="Y36" s="9">
        <v>3.53</v>
      </c>
      <c r="Z36" s="9">
        <v>3.35</v>
      </c>
      <c r="AA36" s="9">
        <v>3.45</v>
      </c>
      <c r="AB36" s="104">
        <v>21984100</v>
      </c>
      <c r="AC36" s="9">
        <v>3.45</v>
      </c>
      <c r="AD36" s="40">
        <f t="shared" si="2"/>
        <v>0.17999999999999972</v>
      </c>
      <c r="AE36" s="162" t="e">
        <f t="shared" si="3"/>
        <v>#DIV/0!</v>
      </c>
    </row>
    <row r="37" spans="2:31" x14ac:dyDescent="0.25">
      <c r="B37" s="193">
        <v>42632</v>
      </c>
      <c r="C37" s="10">
        <v>400</v>
      </c>
      <c r="D37" s="202">
        <v>4.28</v>
      </c>
      <c r="E37" s="40">
        <v>4.3</v>
      </c>
      <c r="F37" s="40">
        <f t="shared" si="4"/>
        <v>7.9999999999998295</v>
      </c>
      <c r="G37" s="40">
        <f t="shared" si="5"/>
        <v>1712</v>
      </c>
      <c r="H37" s="232">
        <f t="shared" si="6"/>
        <v>4.6728971962615821E-3</v>
      </c>
      <c r="I37" s="40"/>
      <c r="W37" s="110">
        <v>42717</v>
      </c>
      <c r="X37" s="9" t="s">
        <v>171</v>
      </c>
      <c r="Y37" s="9"/>
      <c r="Z37" s="9"/>
      <c r="AA37" s="9"/>
      <c r="AB37" s="104"/>
      <c r="AC37" s="9"/>
      <c r="AD37" s="40">
        <f t="shared" si="2"/>
        <v>0</v>
      </c>
      <c r="AE37" s="162">
        <f t="shared" si="3"/>
        <v>-1</v>
      </c>
    </row>
    <row r="38" spans="2:31" x14ac:dyDescent="0.25">
      <c r="B38" s="193">
        <v>42633</v>
      </c>
      <c r="C38" s="10">
        <v>400</v>
      </c>
      <c r="D38" s="202">
        <v>4.28</v>
      </c>
      <c r="E38" s="40">
        <v>4.21</v>
      </c>
      <c r="F38" s="40">
        <f t="shared" si="4"/>
        <v>-28.000000000000114</v>
      </c>
      <c r="G38" s="40">
        <f t="shared" si="5"/>
        <v>1712</v>
      </c>
      <c r="H38" s="232">
        <f t="shared" si="6"/>
        <v>-1.6355140186915952E-2</v>
      </c>
      <c r="I38" s="40"/>
      <c r="W38" s="110">
        <v>42716</v>
      </c>
      <c r="X38" s="9">
        <v>3.68</v>
      </c>
      <c r="Y38" s="9">
        <v>3.7</v>
      </c>
      <c r="Z38" s="9">
        <v>3.47</v>
      </c>
      <c r="AA38" s="9">
        <v>3.49</v>
      </c>
      <c r="AB38" s="104">
        <v>28424200</v>
      </c>
      <c r="AC38" s="9">
        <v>3.39</v>
      </c>
      <c r="AD38" s="40">
        <f t="shared" si="2"/>
        <v>0.22999999999999998</v>
      </c>
      <c r="AE38" s="162">
        <f t="shared" si="3"/>
        <v>-4.7752808988763995E-2</v>
      </c>
    </row>
    <row r="39" spans="2:31" x14ac:dyDescent="0.25">
      <c r="B39" s="193">
        <v>42634</v>
      </c>
      <c r="C39" s="7">
        <v>800</v>
      </c>
      <c r="D39" s="550">
        <v>4.18</v>
      </c>
      <c r="E39" s="40">
        <v>4.13</v>
      </c>
      <c r="F39" s="40">
        <f t="shared" si="4"/>
        <v>-39.999999999999858</v>
      </c>
      <c r="G39" s="40">
        <f t="shared" si="5"/>
        <v>3344</v>
      </c>
      <c r="H39" s="232">
        <f t="shared" si="6"/>
        <v>-1.1961722488038236E-2</v>
      </c>
      <c r="I39" s="40"/>
      <c r="W39" s="110">
        <v>42713</v>
      </c>
      <c r="X39" s="9">
        <v>3.69</v>
      </c>
      <c r="Y39" s="9">
        <v>3.72</v>
      </c>
      <c r="Z39" s="9">
        <v>3.63</v>
      </c>
      <c r="AA39" s="9">
        <v>3.67</v>
      </c>
      <c r="AB39" s="104">
        <v>20546900</v>
      </c>
      <c r="AC39" s="9">
        <v>3.56</v>
      </c>
      <c r="AD39" s="40">
        <f t="shared" si="2"/>
        <v>9.0000000000000302E-2</v>
      </c>
      <c r="AE39" s="162">
        <f t="shared" si="3"/>
        <v>-8.3565459610027704E-3</v>
      </c>
    </row>
    <row r="40" spans="2:31" ht="20.25" thickBot="1" x14ac:dyDescent="0.35">
      <c r="B40" s="193">
        <v>42635</v>
      </c>
      <c r="C40" s="10">
        <v>400</v>
      </c>
      <c r="D40" s="202">
        <v>4.1600999999999999</v>
      </c>
      <c r="E40" s="40">
        <v>4.33</v>
      </c>
      <c r="F40" s="236">
        <f t="shared" si="4"/>
        <v>67.960000000000065</v>
      </c>
      <c r="G40" s="40">
        <f t="shared" si="5"/>
        <v>1664.04</v>
      </c>
      <c r="H40" s="232">
        <f t="shared" si="6"/>
        <v>4.0840364414317001E-2</v>
      </c>
      <c r="I40" s="40"/>
      <c r="O40" s="638" t="s">
        <v>78</v>
      </c>
      <c r="P40" s="638"/>
      <c r="W40" s="110">
        <v>42712</v>
      </c>
      <c r="X40" s="9">
        <v>3.65</v>
      </c>
      <c r="Y40" s="9">
        <v>3.73</v>
      </c>
      <c r="Z40" s="9">
        <v>3.63</v>
      </c>
      <c r="AA40" s="9">
        <v>3.7</v>
      </c>
      <c r="AB40" s="104">
        <v>18816200</v>
      </c>
      <c r="AC40" s="9">
        <v>3.59</v>
      </c>
      <c r="AD40" s="40">
        <f t="shared" si="2"/>
        <v>0.10000000000000009</v>
      </c>
      <c r="AE40" s="162">
        <f t="shared" si="3"/>
        <v>2.8653295128939771E-2</v>
      </c>
    </row>
    <row r="41" spans="2:31" ht="15.75" thickTop="1" x14ac:dyDescent="0.25">
      <c r="B41" s="193">
        <v>42643</v>
      </c>
      <c r="C41" s="10">
        <v>400</v>
      </c>
      <c r="D41" s="202">
        <v>4.1600999999999999</v>
      </c>
      <c r="E41" s="40">
        <v>4.16</v>
      </c>
      <c r="F41" s="236">
        <f t="shared" si="4"/>
        <v>-3.9999999999906777E-2</v>
      </c>
      <c r="G41" s="40">
        <f t="shared" si="5"/>
        <v>1664.04</v>
      </c>
      <c r="H41" s="232">
        <f t="shared" si="6"/>
        <v>-2.4037883704662615E-5</v>
      </c>
      <c r="I41" s="40"/>
      <c r="O41" s="83">
        <v>1.1000000000000001</v>
      </c>
      <c r="P41" s="83">
        <f>O41*$Q$4</f>
        <v>3.762</v>
      </c>
      <c r="Q41" s="2"/>
      <c r="W41" s="110">
        <v>42711</v>
      </c>
      <c r="X41" s="9">
        <v>3.53</v>
      </c>
      <c r="Y41" s="9">
        <v>3.69</v>
      </c>
      <c r="Z41" s="9">
        <v>3.53</v>
      </c>
      <c r="AA41" s="9">
        <v>3.6</v>
      </c>
      <c r="AB41" s="104">
        <v>22919100</v>
      </c>
      <c r="AC41" s="9">
        <v>3.49</v>
      </c>
      <c r="AD41" s="40">
        <f t="shared" si="2"/>
        <v>0.16000000000000014</v>
      </c>
      <c r="AE41" s="162">
        <f t="shared" si="3"/>
        <v>2.0467836257310079E-2</v>
      </c>
    </row>
    <row r="42" spans="2:31" ht="20.25" thickBot="1" x14ac:dyDescent="0.35">
      <c r="B42" s="193">
        <v>42648</v>
      </c>
      <c r="C42" s="7">
        <v>800</v>
      </c>
      <c r="D42" s="550">
        <v>4.0900499999999997</v>
      </c>
      <c r="E42" s="40">
        <v>4.03</v>
      </c>
      <c r="F42" s="236">
        <f t="shared" si="4"/>
        <v>-48.039999999999594</v>
      </c>
      <c r="G42" s="40">
        <f t="shared" si="5"/>
        <v>3272.04</v>
      </c>
      <c r="H42" s="232">
        <f t="shared" si="6"/>
        <v>-1.4681972103030402E-2</v>
      </c>
      <c r="I42" s="550">
        <v>4</v>
      </c>
      <c r="O42" s="83">
        <v>1.0900000000000001</v>
      </c>
      <c r="P42" s="83">
        <f t="shared" ref="P42:P61" si="7">O42*$Q$4</f>
        <v>3.7278000000000002</v>
      </c>
      <c r="Q42" s="2"/>
      <c r="T42" s="91" t="s">
        <v>113</v>
      </c>
      <c r="W42" s="110">
        <v>42710</v>
      </c>
      <c r="X42" s="9">
        <v>3.46</v>
      </c>
      <c r="Y42" s="9">
        <v>3.53</v>
      </c>
      <c r="Z42" s="9">
        <v>3.41</v>
      </c>
      <c r="AA42" s="9">
        <v>3.53</v>
      </c>
      <c r="AB42" s="104">
        <v>17303500</v>
      </c>
      <c r="AC42" s="9">
        <v>3.42</v>
      </c>
      <c r="AD42" s="40">
        <f t="shared" si="2"/>
        <v>0.11999999999999966</v>
      </c>
      <c r="AE42" s="162">
        <f t="shared" si="3"/>
        <v>3.0120481927710774E-2</v>
      </c>
    </row>
    <row r="43" spans="2:31" ht="15.75" thickTop="1" x14ac:dyDescent="0.25">
      <c r="B43" s="193">
        <v>42649</v>
      </c>
      <c r="C43" s="10">
        <v>800</v>
      </c>
      <c r="D43" s="202">
        <v>4.0900499999999997</v>
      </c>
      <c r="E43" s="40">
        <v>3.99</v>
      </c>
      <c r="F43" s="236">
        <f t="shared" ref="F43" si="8">C43*(E43-D43)</f>
        <v>-80.039999999999623</v>
      </c>
      <c r="G43" s="40">
        <f t="shared" ref="G43" si="9">D43*C43</f>
        <v>3272.04</v>
      </c>
      <c r="H43" s="232">
        <f t="shared" ref="H43" si="10">(E43-D43)/D43</f>
        <v>-2.4461803645432094E-2</v>
      </c>
      <c r="I43" s="40"/>
      <c r="O43" s="83">
        <v>1.08</v>
      </c>
      <c r="P43" s="83">
        <f t="shared" si="7"/>
        <v>3.6936</v>
      </c>
      <c r="Q43" s="2"/>
      <c r="T43" s="128" t="s">
        <v>98</v>
      </c>
      <c r="U43" s="98">
        <v>3.41</v>
      </c>
      <c r="W43" s="110">
        <v>42709</v>
      </c>
      <c r="X43" s="9">
        <v>3.51</v>
      </c>
      <c r="Y43" s="9">
        <v>3.6</v>
      </c>
      <c r="Z43" s="9">
        <v>3.35</v>
      </c>
      <c r="AA43" s="9">
        <v>3.42</v>
      </c>
      <c r="AB43" s="104">
        <v>30097600</v>
      </c>
      <c r="AC43" s="9">
        <v>3.32</v>
      </c>
      <c r="AD43" s="40">
        <f t="shared" si="2"/>
        <v>0.25</v>
      </c>
      <c r="AE43" s="162">
        <f t="shared" si="3"/>
        <v>-1.7751479289940808E-2</v>
      </c>
    </row>
    <row r="44" spans="2:31" x14ac:dyDescent="0.25">
      <c r="B44" s="193">
        <v>42650</v>
      </c>
      <c r="C44" s="10">
        <v>800</v>
      </c>
      <c r="D44" s="202">
        <v>4.0900499999999997</v>
      </c>
      <c r="E44" s="40">
        <v>4.2300000000000004</v>
      </c>
      <c r="F44" s="236">
        <f t="shared" ref="F44" si="11">C44*(E44-D44)</f>
        <v>111.96000000000055</v>
      </c>
      <c r="G44" s="40">
        <f t="shared" ref="G44" si="12">D44*C44</f>
        <v>3272.04</v>
      </c>
      <c r="H44" s="232">
        <f t="shared" ref="H44" si="13">(E44-D44)/D44</f>
        <v>3.4217185608978053E-2</v>
      </c>
      <c r="I44" s="202" t="s">
        <v>315</v>
      </c>
      <c r="O44" s="83">
        <v>1.07</v>
      </c>
      <c r="P44" s="83">
        <f t="shared" si="7"/>
        <v>3.6594000000000002</v>
      </c>
      <c r="Q44" s="2"/>
      <c r="T44" s="93" t="s">
        <v>99</v>
      </c>
      <c r="U44" s="88">
        <v>3.41</v>
      </c>
      <c r="W44" s="110">
        <v>42706</v>
      </c>
      <c r="X44" s="9">
        <v>3.53</v>
      </c>
      <c r="Y44" s="9">
        <v>3.55</v>
      </c>
      <c r="Z44" s="9">
        <v>3.46</v>
      </c>
      <c r="AA44" s="9">
        <v>3.48</v>
      </c>
      <c r="AB44" s="104">
        <v>14274000</v>
      </c>
      <c r="AC44" s="9">
        <v>3.38</v>
      </c>
      <c r="AD44" s="40">
        <f t="shared" si="2"/>
        <v>8.9999999999999858E-2</v>
      </c>
      <c r="AE44" s="162">
        <f t="shared" si="3"/>
        <v>-5.8823529411764497E-3</v>
      </c>
    </row>
    <row r="45" spans="2:31" x14ac:dyDescent="0.25">
      <c r="B45" s="193">
        <v>42661</v>
      </c>
      <c r="C45" s="10">
        <v>800</v>
      </c>
      <c r="D45" s="202">
        <v>4.0900499999999997</v>
      </c>
      <c r="E45" s="40">
        <v>4.08</v>
      </c>
      <c r="F45" s="236">
        <f t="shared" ref="F45:F51" si="14">C45*(E45-D45)</f>
        <v>-8.0399999999997362</v>
      </c>
      <c r="G45" s="40">
        <f t="shared" ref="G45:G51" si="15">D45*C45</f>
        <v>3272.04</v>
      </c>
      <c r="H45" s="232">
        <f t="shared" ref="H45:H51" si="16">(E45-D45)/D45</f>
        <v>-2.4571826750283423E-3</v>
      </c>
      <c r="I45" s="40"/>
      <c r="O45" s="83">
        <v>1.06</v>
      </c>
      <c r="P45" s="83">
        <f t="shared" si="7"/>
        <v>3.6252</v>
      </c>
      <c r="Q45" s="2"/>
      <c r="T45" s="93" t="s">
        <v>100</v>
      </c>
      <c r="U45" s="88" t="s">
        <v>657</v>
      </c>
      <c r="W45" s="110">
        <v>42705</v>
      </c>
      <c r="X45" s="9">
        <v>3.63</v>
      </c>
      <c r="Y45" s="9">
        <v>3.68</v>
      </c>
      <c r="Z45" s="9">
        <v>3.48</v>
      </c>
      <c r="AA45" s="9">
        <v>3.51</v>
      </c>
      <c r="AB45" s="104">
        <v>21100400</v>
      </c>
      <c r="AC45" s="9">
        <v>3.4</v>
      </c>
      <c r="AD45" s="40">
        <f t="shared" si="2"/>
        <v>0.20000000000000018</v>
      </c>
      <c r="AE45" s="162">
        <f t="shared" si="3"/>
        <v>-3.9548022598870136E-2</v>
      </c>
    </row>
    <row r="46" spans="2:31" x14ac:dyDescent="0.25">
      <c r="B46" s="193">
        <v>42670</v>
      </c>
      <c r="C46" s="237">
        <v>400</v>
      </c>
      <c r="D46" s="551">
        <v>3.9802</v>
      </c>
      <c r="E46" s="40">
        <v>4.17</v>
      </c>
      <c r="F46" s="236">
        <f t="shared" si="14"/>
        <v>75.919999999999987</v>
      </c>
      <c r="G46" s="40">
        <f t="shared" si="15"/>
        <v>1592.08</v>
      </c>
      <c r="H46" s="232">
        <f t="shared" si="16"/>
        <v>4.7686045927340326E-2</v>
      </c>
      <c r="I46" s="551">
        <v>3.9</v>
      </c>
      <c r="O46" s="83">
        <v>1.05</v>
      </c>
      <c r="P46" s="83">
        <f t="shared" si="7"/>
        <v>3.5910000000000002</v>
      </c>
      <c r="Q46" s="2"/>
      <c r="T46" s="93" t="s">
        <v>101</v>
      </c>
      <c r="U46" s="88" t="s">
        <v>658</v>
      </c>
      <c r="W46" s="110">
        <v>42704</v>
      </c>
      <c r="X46" s="9">
        <v>3.67</v>
      </c>
      <c r="Y46" s="9">
        <v>3.73</v>
      </c>
      <c r="Z46" s="9">
        <v>3.64</v>
      </c>
      <c r="AA46" s="9">
        <v>3.65</v>
      </c>
      <c r="AB46" s="104">
        <v>18109000</v>
      </c>
      <c r="AC46" s="9">
        <v>3.54</v>
      </c>
      <c r="AD46" s="40">
        <f t="shared" si="2"/>
        <v>8.9999999999999858E-2</v>
      </c>
      <c r="AE46" s="162">
        <f t="shared" si="3"/>
        <v>-5.6179775280899014E-3</v>
      </c>
    </row>
    <row r="47" spans="2:31" x14ac:dyDescent="0.25">
      <c r="B47" s="193">
        <v>42674</v>
      </c>
      <c r="C47" s="7">
        <v>800</v>
      </c>
      <c r="D47" s="550">
        <v>4.0000999999999998</v>
      </c>
      <c r="E47" s="40">
        <v>4.0199999999999996</v>
      </c>
      <c r="F47" s="236">
        <f t="shared" si="14"/>
        <v>15.919999999999845</v>
      </c>
      <c r="G47" s="40">
        <f t="shared" si="15"/>
        <v>3200.08</v>
      </c>
      <c r="H47" s="232">
        <f t="shared" si="16"/>
        <v>4.9748756281092496E-3</v>
      </c>
      <c r="I47" s="550" t="s">
        <v>323</v>
      </c>
      <c r="O47" s="83">
        <v>1.04</v>
      </c>
      <c r="P47" s="83">
        <f t="shared" si="7"/>
        <v>3.5568</v>
      </c>
      <c r="Q47" s="2"/>
      <c r="T47" s="93" t="s">
        <v>102</v>
      </c>
      <c r="U47" s="88">
        <v>4.6500000000000004</v>
      </c>
      <c r="W47" s="110">
        <v>42703</v>
      </c>
      <c r="X47" s="9">
        <v>3.74</v>
      </c>
      <c r="Y47" s="9">
        <v>3.76</v>
      </c>
      <c r="Z47" s="9">
        <v>3.66</v>
      </c>
      <c r="AA47" s="9">
        <v>3.67</v>
      </c>
      <c r="AB47" s="104">
        <v>12998900</v>
      </c>
      <c r="AC47" s="9">
        <v>3.56</v>
      </c>
      <c r="AD47" s="40">
        <f t="shared" si="2"/>
        <v>9.9999999999999645E-2</v>
      </c>
      <c r="AE47" s="162">
        <f t="shared" si="3"/>
        <v>-1.9283746556473802E-2</v>
      </c>
    </row>
    <row r="48" spans="2:31" x14ac:dyDescent="0.25">
      <c r="B48" s="193">
        <v>42676</v>
      </c>
      <c r="C48" s="10">
        <v>1100</v>
      </c>
      <c r="D48" s="202">
        <v>3.8882500000000002</v>
      </c>
      <c r="E48" s="40">
        <v>3.39</v>
      </c>
      <c r="F48" s="236">
        <f t="shared" si="14"/>
        <v>-548.07500000000005</v>
      </c>
      <c r="G48" s="40">
        <f t="shared" si="15"/>
        <v>4277.0749999999998</v>
      </c>
      <c r="H48" s="232">
        <f t="shared" si="16"/>
        <v>-0.12814248055037614</v>
      </c>
      <c r="I48" s="40"/>
      <c r="O48" s="83">
        <v>1.03</v>
      </c>
      <c r="P48" s="83">
        <f t="shared" si="7"/>
        <v>3.5226000000000002</v>
      </c>
      <c r="Q48" s="2"/>
      <c r="T48" s="93" t="s">
        <v>103</v>
      </c>
      <c r="U48" s="88">
        <v>0.59361699999999995</v>
      </c>
      <c r="W48" s="110">
        <v>42702</v>
      </c>
      <c r="X48" s="9">
        <v>3.67</v>
      </c>
      <c r="Y48" s="9">
        <v>3.78</v>
      </c>
      <c r="Z48" s="9">
        <v>3.67</v>
      </c>
      <c r="AA48" s="9">
        <v>3.74</v>
      </c>
      <c r="AB48" s="104">
        <v>16108400</v>
      </c>
      <c r="AC48" s="9">
        <v>3.63</v>
      </c>
      <c r="AD48" s="40">
        <f t="shared" si="2"/>
        <v>0.10999999999999988</v>
      </c>
      <c r="AE48" s="162">
        <f t="shared" si="3"/>
        <v>1.3966480446927276E-2</v>
      </c>
    </row>
    <row r="49" spans="1:31" x14ac:dyDescent="0.25">
      <c r="B49" s="193">
        <v>42678</v>
      </c>
      <c r="C49" s="598">
        <v>1500</v>
      </c>
      <c r="D49" s="599">
        <v>3.6860499999999998</v>
      </c>
      <c r="E49" s="40">
        <v>3.12</v>
      </c>
      <c r="F49" s="236">
        <f t="shared" si="14"/>
        <v>-849.07499999999959</v>
      </c>
      <c r="G49" s="40">
        <f t="shared" si="15"/>
        <v>5529.0749999999998</v>
      </c>
      <c r="H49" s="232">
        <f t="shared" si="16"/>
        <v>-0.15356546981185815</v>
      </c>
      <c r="I49" s="40"/>
      <c r="O49" s="83">
        <v>1.02</v>
      </c>
      <c r="P49" s="83">
        <f t="shared" si="7"/>
        <v>3.4883999999999999</v>
      </c>
      <c r="Q49" s="2"/>
      <c r="T49" s="93" t="s">
        <v>104</v>
      </c>
      <c r="U49" s="88" t="s">
        <v>374</v>
      </c>
      <c r="W49" s="110">
        <v>42699</v>
      </c>
      <c r="X49" s="9">
        <v>3.63</v>
      </c>
      <c r="Y49" s="9">
        <v>3.7</v>
      </c>
      <c r="Z49" s="9">
        <v>3.62</v>
      </c>
      <c r="AA49" s="9">
        <v>3.69</v>
      </c>
      <c r="AB49" s="104">
        <v>5704100</v>
      </c>
      <c r="AC49" s="9">
        <v>3.58</v>
      </c>
      <c r="AD49" s="40">
        <f t="shared" si="2"/>
        <v>8.0000000000000071E-2</v>
      </c>
      <c r="AE49" s="162">
        <f t="shared" si="3"/>
        <v>1.9943019943019946E-2</v>
      </c>
    </row>
    <row r="50" spans="1:31" x14ac:dyDescent="0.25">
      <c r="B50" s="193">
        <v>42701</v>
      </c>
      <c r="C50" s="10">
        <v>1100</v>
      </c>
      <c r="D50" s="202">
        <v>3.7101000000000002</v>
      </c>
      <c r="E50" s="40">
        <v>3.69</v>
      </c>
      <c r="F50" s="236">
        <f t="shared" si="14"/>
        <v>-22.110000000000252</v>
      </c>
      <c r="G50" s="40">
        <f t="shared" si="15"/>
        <v>4081.11</v>
      </c>
      <c r="H50" s="232">
        <f t="shared" si="16"/>
        <v>-5.4176437292795957E-3</v>
      </c>
      <c r="I50" s="40"/>
      <c r="O50" s="83">
        <v>1.01</v>
      </c>
      <c r="P50" s="83">
        <f t="shared" si="7"/>
        <v>3.4542000000000002</v>
      </c>
      <c r="Q50" s="2"/>
      <c r="T50" s="93"/>
      <c r="U50" s="88"/>
      <c r="W50" s="110">
        <v>42697</v>
      </c>
      <c r="X50" s="9">
        <v>3.55</v>
      </c>
      <c r="Y50" s="9">
        <v>3.62</v>
      </c>
      <c r="Z50" s="9">
        <v>3.55</v>
      </c>
      <c r="AA50" s="9">
        <v>3.62</v>
      </c>
      <c r="AB50" s="104">
        <v>10192600</v>
      </c>
      <c r="AC50" s="9">
        <v>3.51</v>
      </c>
      <c r="AD50" s="40">
        <f t="shared" si="2"/>
        <v>7.0000000000000284E-2</v>
      </c>
      <c r="AE50" s="162">
        <f t="shared" si="3"/>
        <v>8.6206896551723755E-3</v>
      </c>
    </row>
    <row r="51" spans="1:31" x14ac:dyDescent="0.25">
      <c r="B51" s="193">
        <v>42702</v>
      </c>
      <c r="C51" s="10">
        <v>700</v>
      </c>
      <c r="D51" s="202">
        <v>3.6873399999999998</v>
      </c>
      <c r="E51" s="40">
        <v>3.74</v>
      </c>
      <c r="F51" s="236">
        <f t="shared" si="14"/>
        <v>36.862000000000265</v>
      </c>
      <c r="G51" s="40">
        <f t="shared" si="15"/>
        <v>2581.1379999999999</v>
      </c>
      <c r="H51" s="232">
        <f t="shared" si="16"/>
        <v>1.4281297629185369E-2</v>
      </c>
      <c r="I51" s="40"/>
      <c r="O51" s="83">
        <v>1</v>
      </c>
      <c r="P51" s="83">
        <f t="shared" si="7"/>
        <v>3.42</v>
      </c>
      <c r="Q51" s="2"/>
      <c r="T51" s="93" t="s">
        <v>105</v>
      </c>
      <c r="U51" s="88" t="s">
        <v>659</v>
      </c>
      <c r="W51" s="110">
        <v>42696</v>
      </c>
      <c r="X51" s="9">
        <v>3.54</v>
      </c>
      <c r="Y51" s="9">
        <v>3.6</v>
      </c>
      <c r="Z51" s="9">
        <v>3.52</v>
      </c>
      <c r="AA51" s="9">
        <v>3.59</v>
      </c>
      <c r="AB51" s="104">
        <v>15493900</v>
      </c>
      <c r="AC51" s="9">
        <v>3.48</v>
      </c>
      <c r="AD51" s="40">
        <f t="shared" si="2"/>
        <v>8.0000000000000071E-2</v>
      </c>
      <c r="AE51" s="162">
        <f t="shared" si="3"/>
        <v>2.3529411764705799E-2</v>
      </c>
    </row>
    <row r="52" spans="1:31" x14ac:dyDescent="0.25">
      <c r="B52" s="193">
        <v>42705</v>
      </c>
      <c r="C52" s="10">
        <v>700</v>
      </c>
      <c r="D52" s="202">
        <v>3.6873399999999998</v>
      </c>
      <c r="E52" s="40">
        <v>3.51</v>
      </c>
      <c r="F52" s="236">
        <f t="shared" ref="F52" si="17">C52*(E52-D52)</f>
        <v>-124.13800000000003</v>
      </c>
      <c r="G52" s="40">
        <f t="shared" ref="G52" si="18">D52*C52</f>
        <v>2581.1379999999999</v>
      </c>
      <c r="H52" s="232">
        <f t="shared" ref="H52" si="19">(E52-D52)/D52</f>
        <v>-4.809429019293042E-2</v>
      </c>
      <c r="I52" s="40"/>
      <c r="O52" s="83">
        <v>0.99</v>
      </c>
      <c r="P52" s="83">
        <f t="shared" si="7"/>
        <v>3.3857999999999997</v>
      </c>
      <c r="Q52" s="2"/>
      <c r="T52" s="93" t="s">
        <v>106</v>
      </c>
      <c r="U52" s="88" t="s">
        <v>326</v>
      </c>
      <c r="W52" s="110">
        <v>42695</v>
      </c>
      <c r="X52" s="9">
        <v>3.47</v>
      </c>
      <c r="Y52" s="9">
        <v>3.52</v>
      </c>
      <c r="Z52" s="9">
        <v>3.45</v>
      </c>
      <c r="AA52" s="9">
        <v>3.51</v>
      </c>
      <c r="AB52" s="104">
        <v>16942100</v>
      </c>
      <c r="AC52" s="9">
        <v>3.4</v>
      </c>
      <c r="AD52" s="40">
        <f t="shared" si="2"/>
        <v>6.999999999999984E-2</v>
      </c>
      <c r="AE52" s="162">
        <f t="shared" si="3"/>
        <v>2.4096385542168752E-2</v>
      </c>
    </row>
    <row r="53" spans="1:31" x14ac:dyDescent="0.25">
      <c r="B53" s="193">
        <v>42713</v>
      </c>
      <c r="C53" s="10">
        <v>700</v>
      </c>
      <c r="D53" s="202">
        <v>3.6873399999999998</v>
      </c>
      <c r="E53" s="40">
        <v>3.67</v>
      </c>
      <c r="F53" s="236">
        <f t="shared" ref="F53:F55" si="20">C53*(E53-D53)</f>
        <v>-12.137999999999938</v>
      </c>
      <c r="G53" s="40">
        <f t="shared" ref="G53:G55" si="21">D53*C53</f>
        <v>2581.1379999999999</v>
      </c>
      <c r="H53" s="232">
        <f t="shared" ref="H53:H55" si="22">(E53-D53)/D53</f>
        <v>-4.7025769253716534E-3</v>
      </c>
      <c r="I53" s="40"/>
      <c r="O53" s="83">
        <v>0.98</v>
      </c>
      <c r="P53" s="83">
        <f t="shared" si="7"/>
        <v>3.3515999999999999</v>
      </c>
      <c r="Q53" s="2"/>
      <c r="T53" s="93" t="s">
        <v>107</v>
      </c>
      <c r="U53" s="90">
        <v>15473497</v>
      </c>
      <c r="W53" s="110">
        <v>42692</v>
      </c>
      <c r="X53" s="9">
        <v>3.39</v>
      </c>
      <c r="Y53" s="9">
        <v>3.44</v>
      </c>
      <c r="Z53" s="9">
        <v>3.35</v>
      </c>
      <c r="AA53" s="9">
        <v>3.42</v>
      </c>
      <c r="AB53" s="104">
        <v>12626800</v>
      </c>
      <c r="AC53" s="9">
        <v>3.32</v>
      </c>
      <c r="AD53" s="40">
        <f t="shared" si="2"/>
        <v>8.9999999999999858E-2</v>
      </c>
      <c r="AE53" s="162">
        <f t="shared" si="3"/>
        <v>1.8404907975460238E-2</v>
      </c>
    </row>
    <row r="54" spans="1:31" x14ac:dyDescent="0.25">
      <c r="B54" s="193">
        <v>42716</v>
      </c>
      <c r="C54" s="10">
        <v>1100</v>
      </c>
      <c r="D54" s="202">
        <v>3.641</v>
      </c>
      <c r="E54" s="40">
        <v>3.49</v>
      </c>
      <c r="F54" s="236">
        <f t="shared" si="20"/>
        <v>-166.0999999999998</v>
      </c>
      <c r="G54" s="40">
        <f t="shared" si="21"/>
        <v>4005.1</v>
      </c>
      <c r="H54" s="232">
        <f t="shared" si="22"/>
        <v>-4.1472123043119966E-2</v>
      </c>
      <c r="I54" s="40"/>
      <c r="O54" s="83">
        <v>0.97</v>
      </c>
      <c r="P54" s="83">
        <f t="shared" si="7"/>
        <v>3.3173999999999997</v>
      </c>
      <c r="T54" s="93" t="s">
        <v>110</v>
      </c>
      <c r="U54" s="90">
        <v>21163800</v>
      </c>
      <c r="W54" s="110">
        <v>42691</v>
      </c>
      <c r="X54" s="9">
        <v>3.46</v>
      </c>
      <c r="Y54" s="9">
        <v>3.48</v>
      </c>
      <c r="Z54" s="9">
        <v>3.36</v>
      </c>
      <c r="AA54" s="9">
        <v>3.36</v>
      </c>
      <c r="AB54" s="104">
        <v>16910400</v>
      </c>
      <c r="AC54" s="9">
        <v>3.26</v>
      </c>
      <c r="AD54" s="40">
        <f t="shared" si="2"/>
        <v>0.12000000000000011</v>
      </c>
      <c r="AE54" s="162">
        <f t="shared" si="3"/>
        <v>-2.1021021021021102E-2</v>
      </c>
    </row>
    <row r="55" spans="1:31" x14ac:dyDescent="0.25">
      <c r="B55" s="193">
        <v>42725</v>
      </c>
      <c r="C55" s="10">
        <v>1800</v>
      </c>
      <c r="D55" s="202">
        <v>3.5200800000000001</v>
      </c>
      <c r="E55" s="40">
        <v>3.29</v>
      </c>
      <c r="F55" s="236">
        <f t="shared" si="20"/>
        <v>-414.14400000000012</v>
      </c>
      <c r="G55" s="40">
        <f t="shared" si="21"/>
        <v>6336.1440000000002</v>
      </c>
      <c r="H55" s="232">
        <f t="shared" si="22"/>
        <v>-6.5362150860207732E-2</v>
      </c>
      <c r="I55" s="40"/>
      <c r="O55" s="83">
        <v>0.96</v>
      </c>
      <c r="P55" s="83">
        <f t="shared" si="7"/>
        <v>3.2831999999999999</v>
      </c>
      <c r="T55" s="93" t="s">
        <v>108</v>
      </c>
      <c r="U55" s="88" t="s">
        <v>660</v>
      </c>
      <c r="W55" s="110">
        <v>42690</v>
      </c>
      <c r="X55" s="9">
        <v>3.3</v>
      </c>
      <c r="Y55" s="9">
        <v>3.47</v>
      </c>
      <c r="Z55" s="9">
        <v>3.28</v>
      </c>
      <c r="AA55" s="9">
        <v>3.43</v>
      </c>
      <c r="AB55" s="104">
        <v>24529600</v>
      </c>
      <c r="AC55" s="9">
        <v>3.33</v>
      </c>
      <c r="AD55" s="40">
        <f t="shared" si="2"/>
        <v>0.19000000000000039</v>
      </c>
      <c r="AE55" s="162">
        <f t="shared" si="3"/>
        <v>4.0624999999999911E-2</v>
      </c>
    </row>
    <row r="56" spans="1:31" x14ac:dyDescent="0.25">
      <c r="B56" s="193">
        <v>42729</v>
      </c>
      <c r="C56" s="10">
        <v>1800</v>
      </c>
      <c r="D56" s="202">
        <v>3.5200800000000001</v>
      </c>
      <c r="E56" s="40">
        <v>3.42</v>
      </c>
      <c r="F56" s="236">
        <f t="shared" ref="F56" si="23">C56*(E56-D56)</f>
        <v>-180.14400000000029</v>
      </c>
      <c r="G56" s="40">
        <f t="shared" ref="G56" si="24">D56*C56</f>
        <v>6336.1440000000002</v>
      </c>
      <c r="H56" s="232">
        <f t="shared" ref="H56" si="25">(E56-D56)/D56</f>
        <v>-2.8431172018817803E-2</v>
      </c>
      <c r="I56" s="40"/>
      <c r="O56" s="83">
        <v>0.95</v>
      </c>
      <c r="P56" s="83">
        <f t="shared" si="7"/>
        <v>3.2489999999999997</v>
      </c>
      <c r="T56" s="93" t="s">
        <v>111</v>
      </c>
      <c r="U56" s="88" t="s">
        <v>129</v>
      </c>
      <c r="W56" s="110">
        <v>42689</v>
      </c>
      <c r="X56" s="9">
        <v>3.24</v>
      </c>
      <c r="Y56" s="9">
        <v>3.3</v>
      </c>
      <c r="Z56" s="9">
        <v>3.22</v>
      </c>
      <c r="AA56" s="9">
        <v>3.3</v>
      </c>
      <c r="AB56" s="104">
        <v>13537500</v>
      </c>
      <c r="AC56" s="9">
        <v>3.2</v>
      </c>
      <c r="AD56" s="40">
        <f t="shared" si="2"/>
        <v>7.9999999999999627E-2</v>
      </c>
      <c r="AE56" s="162">
        <f t="shared" si="3"/>
        <v>1.9108280254777066E-2</v>
      </c>
    </row>
    <row r="57" spans="1:31" x14ac:dyDescent="0.25">
      <c r="B57" s="193">
        <v>42736</v>
      </c>
      <c r="C57" s="10">
        <v>1800</v>
      </c>
      <c r="D57" s="202">
        <v>3.4559099999999998</v>
      </c>
      <c r="E57" s="40">
        <v>3.3650000000000002</v>
      </c>
      <c r="F57" s="236">
        <f t="shared" ref="F57" si="26">C57*(E57-D57)</f>
        <v>-163.63799999999929</v>
      </c>
      <c r="G57" s="40">
        <f t="shared" ref="G57" si="27">D57*C57</f>
        <v>6220.6379999999999</v>
      </c>
      <c r="H57" s="232">
        <f t="shared" ref="H57" si="28">(E57-D57)/D57</f>
        <v>-2.6305661895130256E-2</v>
      </c>
      <c r="I57" s="40" t="s">
        <v>189</v>
      </c>
      <c r="O57" s="83">
        <v>0.94</v>
      </c>
      <c r="P57" s="83">
        <f t="shared" si="7"/>
        <v>3.2147999999999999</v>
      </c>
      <c r="T57" s="93" t="s">
        <v>112</v>
      </c>
      <c r="U57" s="88">
        <v>-0.53</v>
      </c>
      <c r="W57" s="110">
        <v>42688</v>
      </c>
      <c r="X57" s="9">
        <v>3.15</v>
      </c>
      <c r="Y57" s="9">
        <v>3.24</v>
      </c>
      <c r="Z57" s="9">
        <v>3.14</v>
      </c>
      <c r="AA57" s="9">
        <v>3.24</v>
      </c>
      <c r="AB57" s="104">
        <v>15433900</v>
      </c>
      <c r="AC57" s="9">
        <v>3.14</v>
      </c>
      <c r="AD57" s="40">
        <f t="shared" si="2"/>
        <v>0.10000000000000009</v>
      </c>
      <c r="AE57" s="162">
        <f t="shared" si="3"/>
        <v>1.9480519480519431E-2</v>
      </c>
    </row>
    <row r="58" spans="1:31" x14ac:dyDescent="0.25">
      <c r="B58" s="193">
        <v>42738</v>
      </c>
      <c r="C58" s="10">
        <v>1100</v>
      </c>
      <c r="D58" s="202">
        <v>3.3961100000000002</v>
      </c>
      <c r="E58" s="40">
        <v>3.58</v>
      </c>
      <c r="F58" s="236">
        <f t="shared" ref="F58" si="29">C58*(E58-D58)</f>
        <v>202.27899999999988</v>
      </c>
      <c r="G58" s="40">
        <f t="shared" ref="G58" si="30">D58*C58</f>
        <v>3735.721</v>
      </c>
      <c r="H58" s="232">
        <f t="shared" ref="H58" si="31">(E58-D58)/D58</f>
        <v>5.4147244936118055E-2</v>
      </c>
      <c r="I58" s="40"/>
      <c r="O58" s="83">
        <v>0.93</v>
      </c>
      <c r="P58" s="83">
        <f t="shared" si="7"/>
        <v>3.1806000000000001</v>
      </c>
      <c r="T58" s="93" t="s">
        <v>109</v>
      </c>
      <c r="U58" s="88" t="s">
        <v>521</v>
      </c>
      <c r="W58" s="110">
        <v>42685</v>
      </c>
      <c r="X58" s="9">
        <v>3.15</v>
      </c>
      <c r="Y58" s="9">
        <v>3.23</v>
      </c>
      <c r="Z58" s="9">
        <v>3.11</v>
      </c>
      <c r="AA58" s="9">
        <v>3.18</v>
      </c>
      <c r="AB58" s="104">
        <v>18806400</v>
      </c>
      <c r="AC58" s="9">
        <v>3.08</v>
      </c>
      <c r="AD58" s="40">
        <f t="shared" si="2"/>
        <v>0.12000000000000011</v>
      </c>
      <c r="AE58" s="162">
        <f t="shared" si="3"/>
        <v>6.5359477124182774E-3</v>
      </c>
    </row>
    <row r="59" spans="1:31" x14ac:dyDescent="0.25">
      <c r="B59" s="193">
        <v>42739</v>
      </c>
      <c r="C59" s="10">
        <v>1100</v>
      </c>
      <c r="D59" s="202">
        <v>3.39608</v>
      </c>
      <c r="E59" s="40">
        <v>3.67</v>
      </c>
      <c r="F59" s="236">
        <f t="shared" ref="F59" si="32">C59*(E59-D59)</f>
        <v>301.31199999999995</v>
      </c>
      <c r="G59" s="40">
        <f t="shared" ref="G59" si="33">D59*C59</f>
        <v>3735.6880000000001</v>
      </c>
      <c r="H59" s="232">
        <f t="shared" ref="H59" si="34">(E59-D59)/D59</f>
        <v>8.0657699465265825E-2</v>
      </c>
      <c r="I59" s="40"/>
      <c r="O59" s="83">
        <v>0.92</v>
      </c>
      <c r="P59" s="83">
        <f t="shared" si="7"/>
        <v>3.1463999999999999</v>
      </c>
      <c r="W59" s="110">
        <v>42684</v>
      </c>
      <c r="X59" s="9">
        <v>3.23</v>
      </c>
      <c r="Y59" s="9">
        <v>3.26</v>
      </c>
      <c r="Z59" s="9">
        <v>3.15</v>
      </c>
      <c r="AA59" s="9">
        <v>3.16</v>
      </c>
      <c r="AB59" s="104">
        <v>21524600</v>
      </c>
      <c r="AC59" s="9">
        <v>3.06</v>
      </c>
      <c r="AD59" s="40">
        <f t="shared" si="2"/>
        <v>0.10999999999999988</v>
      </c>
      <c r="AE59" s="162">
        <f t="shared" si="3"/>
        <v>-1.6077170418006381E-2</v>
      </c>
    </row>
    <row r="60" spans="1:31" x14ac:dyDescent="0.25">
      <c r="B60" s="193">
        <v>42745</v>
      </c>
      <c r="C60" s="10">
        <v>1100</v>
      </c>
      <c r="D60" s="202">
        <v>3.39608</v>
      </c>
      <c r="E60" s="40">
        <v>3.63</v>
      </c>
      <c r="F60" s="236">
        <f t="shared" ref="F60:F63" si="35">C60*(E60-D60)</f>
        <v>257.3119999999999</v>
      </c>
      <c r="G60" s="40">
        <f t="shared" ref="G60:G63" si="36">D60*C60</f>
        <v>3735.6880000000001</v>
      </c>
      <c r="H60" s="232">
        <f t="shared" ref="H60:H63" si="37">(E60-D60)/D60</f>
        <v>6.8879413912510873E-2</v>
      </c>
      <c r="I60" s="40"/>
      <c r="O60" s="83">
        <v>0.91</v>
      </c>
      <c r="P60" s="83">
        <f t="shared" si="7"/>
        <v>3.1122000000000001</v>
      </c>
      <c r="W60" s="110">
        <v>42683</v>
      </c>
      <c r="X60" s="9">
        <v>3.19</v>
      </c>
      <c r="Y60" s="9">
        <v>3.22</v>
      </c>
      <c r="Z60" s="9">
        <v>3.13</v>
      </c>
      <c r="AA60" s="9">
        <v>3.21</v>
      </c>
      <c r="AB60" s="104">
        <v>22316500</v>
      </c>
      <c r="AC60" s="9">
        <v>3.11</v>
      </c>
      <c r="AD60" s="40">
        <f t="shared" si="2"/>
        <v>9.0000000000000302E-2</v>
      </c>
      <c r="AE60" s="162">
        <f t="shared" si="3"/>
        <v>-9.5541401273886439E-3</v>
      </c>
    </row>
    <row r="61" spans="1:31" x14ac:dyDescent="0.25">
      <c r="A61" t="s">
        <v>435</v>
      </c>
      <c r="B61" s="193">
        <v>42754</v>
      </c>
      <c r="C61" s="598">
        <v>1500</v>
      </c>
      <c r="D61" s="599">
        <v>3.40246</v>
      </c>
      <c r="E61" s="40">
        <v>3.48</v>
      </c>
      <c r="F61" s="236">
        <f t="shared" si="35"/>
        <v>116.30999999999992</v>
      </c>
      <c r="G61" s="40">
        <f t="shared" si="36"/>
        <v>5103.6900000000005</v>
      </c>
      <c r="H61" s="232">
        <f t="shared" si="37"/>
        <v>2.2789393556426802E-2</v>
      </c>
      <c r="I61" s="40"/>
      <c r="O61" s="83">
        <v>0.9</v>
      </c>
      <c r="P61" s="83">
        <f t="shared" si="7"/>
        <v>3.0779999999999998</v>
      </c>
      <c r="W61" s="110">
        <v>42682</v>
      </c>
      <c r="X61" s="9">
        <v>3.25</v>
      </c>
      <c r="Y61" s="9">
        <v>3.31</v>
      </c>
      <c r="Z61" s="9">
        <v>3.21</v>
      </c>
      <c r="AA61" s="9">
        <v>3.24</v>
      </c>
      <c r="AB61" s="104">
        <v>27615500</v>
      </c>
      <c r="AC61" s="9">
        <v>3.14</v>
      </c>
      <c r="AD61" s="40">
        <f t="shared" si="2"/>
        <v>0.10000000000000009</v>
      </c>
      <c r="AE61" s="162">
        <f t="shared" si="3"/>
        <v>9.6463022508039842E-3</v>
      </c>
    </row>
    <row r="62" spans="1:31" x14ac:dyDescent="0.25">
      <c r="A62" t="s">
        <v>446</v>
      </c>
      <c r="B62" s="193">
        <v>42760</v>
      </c>
      <c r="C62" s="10">
        <v>1800</v>
      </c>
      <c r="D62" s="202">
        <v>3.40205</v>
      </c>
      <c r="E62" s="40">
        <v>3.43</v>
      </c>
      <c r="F62" s="236">
        <f t="shared" si="35"/>
        <v>50.310000000000258</v>
      </c>
      <c r="G62" s="40">
        <f t="shared" si="36"/>
        <v>6123.69</v>
      </c>
      <c r="H62" s="232">
        <f t="shared" si="37"/>
        <v>8.2156346908482062E-3</v>
      </c>
      <c r="I62" s="40"/>
      <c r="W62" s="110">
        <v>42681</v>
      </c>
      <c r="X62" s="9">
        <v>3.2</v>
      </c>
      <c r="Y62" s="9">
        <v>3.29</v>
      </c>
      <c r="Z62" s="9">
        <v>3.16</v>
      </c>
      <c r="AA62" s="9">
        <v>3.21</v>
      </c>
      <c r="AB62" s="104">
        <v>30989400</v>
      </c>
      <c r="AC62" s="9">
        <v>3.11</v>
      </c>
      <c r="AD62" s="40">
        <f t="shared" si="2"/>
        <v>0.12999999999999989</v>
      </c>
      <c r="AE62" s="162">
        <f t="shared" si="3"/>
        <v>2.64026402640265E-2</v>
      </c>
    </row>
    <row r="63" spans="1:31" x14ac:dyDescent="0.25">
      <c r="A63" t="s">
        <v>447</v>
      </c>
      <c r="B63" s="193">
        <v>42760</v>
      </c>
      <c r="C63" s="10">
        <v>1400</v>
      </c>
      <c r="D63" s="202">
        <v>3.38801</v>
      </c>
      <c r="E63" s="40">
        <v>3.44</v>
      </c>
      <c r="F63" s="236">
        <f t="shared" si="35"/>
        <v>72.785999999999973</v>
      </c>
      <c r="G63" s="40">
        <f t="shared" si="36"/>
        <v>4743.2139999999999</v>
      </c>
      <c r="H63" s="232">
        <f t="shared" si="37"/>
        <v>1.5345291188632849E-2</v>
      </c>
      <c r="I63" s="40"/>
      <c r="W63" s="110">
        <v>42678</v>
      </c>
      <c r="X63" s="9">
        <v>3.17</v>
      </c>
      <c r="Y63" s="9">
        <v>3.24</v>
      </c>
      <c r="Z63" s="9">
        <v>3.1</v>
      </c>
      <c r="AA63" s="9">
        <v>3.12</v>
      </c>
      <c r="AB63" s="104">
        <v>43146000</v>
      </c>
      <c r="AC63" s="9">
        <v>3.03</v>
      </c>
      <c r="AD63" s="40">
        <f t="shared" si="2"/>
        <v>0.14000000000000012</v>
      </c>
      <c r="AE63" s="162">
        <f t="shared" si="3"/>
        <v>-3.2894736842106198E-3</v>
      </c>
    </row>
    <row r="64" spans="1:31" x14ac:dyDescent="0.25">
      <c r="B64" s="193"/>
      <c r="C64" s="10"/>
      <c r="D64" s="202"/>
      <c r="E64" s="40"/>
      <c r="F64" s="236"/>
      <c r="G64" s="40"/>
      <c r="H64" s="232"/>
      <c r="I64" s="40"/>
      <c r="W64" s="110">
        <v>42677</v>
      </c>
      <c r="X64" s="9">
        <v>3.42</v>
      </c>
      <c r="Y64" s="9">
        <v>3.43</v>
      </c>
      <c r="Z64" s="9">
        <v>3.12</v>
      </c>
      <c r="AA64" s="9">
        <v>3.13</v>
      </c>
      <c r="AB64" s="104">
        <v>54916600</v>
      </c>
      <c r="AC64" s="9">
        <v>3.04</v>
      </c>
      <c r="AD64" s="40">
        <f t="shared" si="2"/>
        <v>0.31000000000000005</v>
      </c>
      <c r="AE64" s="162">
        <f t="shared" si="3"/>
        <v>-7.5987841945288737E-2</v>
      </c>
    </row>
    <row r="65" spans="1:31" x14ac:dyDescent="0.25">
      <c r="B65" s="193"/>
      <c r="C65" s="10"/>
      <c r="D65" s="202"/>
      <c r="E65" s="40"/>
      <c r="F65" s="236"/>
      <c r="G65" s="40"/>
      <c r="H65" s="232"/>
      <c r="I65" s="40"/>
      <c r="W65" s="110">
        <v>42676</v>
      </c>
      <c r="X65" s="9">
        <v>3.8</v>
      </c>
      <c r="Y65" s="9">
        <v>3.8</v>
      </c>
      <c r="Z65" s="9">
        <v>3.38</v>
      </c>
      <c r="AA65" s="9">
        <v>3.39</v>
      </c>
      <c r="AB65" s="104">
        <v>85892100</v>
      </c>
      <c r="AC65" s="9">
        <v>3.29</v>
      </c>
      <c r="AD65" s="40">
        <f t="shared" si="2"/>
        <v>0.41999999999999993</v>
      </c>
      <c r="AE65" s="162">
        <f t="shared" si="3"/>
        <v>-0.13648293963254599</v>
      </c>
    </row>
    <row r="66" spans="1:31" x14ac:dyDescent="0.25">
      <c r="B66" s="193"/>
      <c r="C66" s="10"/>
      <c r="D66" s="202"/>
      <c r="E66" s="40"/>
      <c r="F66" s="236"/>
      <c r="G66" s="40"/>
      <c r="H66" s="232"/>
      <c r="I66" s="40"/>
      <c r="W66" s="110">
        <v>42675</v>
      </c>
      <c r="X66" s="9">
        <v>4.04</v>
      </c>
      <c r="Y66" s="9">
        <v>4.07</v>
      </c>
      <c r="Z66" s="9">
        <v>3.9</v>
      </c>
      <c r="AA66" s="9">
        <v>3.93</v>
      </c>
      <c r="AB66" s="104">
        <v>19346400</v>
      </c>
      <c r="AC66" s="9">
        <v>3.81</v>
      </c>
      <c r="AD66" s="40">
        <f t="shared" si="2"/>
        <v>0.17000000000000037</v>
      </c>
      <c r="AE66" s="162">
        <f t="shared" si="3"/>
        <v>-2.3076923076922995E-2</v>
      </c>
    </row>
    <row r="67" spans="1:31" x14ac:dyDescent="0.25">
      <c r="B67" s="193"/>
      <c r="C67" s="10"/>
      <c r="D67" s="202"/>
      <c r="E67" s="40"/>
      <c r="F67" s="236"/>
      <c r="G67" s="40"/>
      <c r="H67" s="232"/>
      <c r="I67" s="40"/>
      <c r="W67" s="110">
        <v>42674</v>
      </c>
      <c r="X67" s="9">
        <v>4.05</v>
      </c>
      <c r="Y67" s="9">
        <v>4.09</v>
      </c>
      <c r="Z67" s="9">
        <v>4</v>
      </c>
      <c r="AA67" s="9">
        <v>4.0199999999999996</v>
      </c>
      <c r="AB67" s="104">
        <v>23321700</v>
      </c>
      <c r="AC67" s="9">
        <v>3.9</v>
      </c>
      <c r="AD67" s="40">
        <f>Y67-Z67</f>
        <v>8.9999999999999858E-2</v>
      </c>
      <c r="AE67" s="162">
        <f>AC67/AC68-1</f>
        <v>-2.5575447570332921E-3</v>
      </c>
    </row>
    <row r="68" spans="1:31" x14ac:dyDescent="0.25">
      <c r="L68" t="s">
        <v>213</v>
      </c>
      <c r="M68" s="2">
        <f>K86+M86-F86</f>
        <v>434.93000000000029</v>
      </c>
      <c r="W68" s="110">
        <v>42671</v>
      </c>
      <c r="X68" s="9">
        <v>4.16</v>
      </c>
      <c r="Y68" s="9">
        <v>4.24</v>
      </c>
      <c r="Z68" s="9">
        <v>4.03</v>
      </c>
      <c r="AA68" s="9">
        <v>4.03</v>
      </c>
      <c r="AB68" s="104">
        <v>20753500</v>
      </c>
      <c r="AC68" s="9">
        <v>3.91</v>
      </c>
      <c r="AD68" s="40">
        <f>Y68-Z68</f>
        <v>0.20999999999999996</v>
      </c>
      <c r="AE68" s="162" t="e">
        <f>AC68/AC69-1</f>
        <v>#DIV/0!</v>
      </c>
    </row>
    <row r="69" spans="1:31" x14ac:dyDescent="0.25">
      <c r="A69" s="387" t="s">
        <v>1</v>
      </c>
      <c r="B69" s="387" t="s">
        <v>2</v>
      </c>
      <c r="C69" s="387" t="s">
        <v>4</v>
      </c>
      <c r="D69" s="389" t="s">
        <v>5</v>
      </c>
      <c r="E69" s="389" t="s">
        <v>94</v>
      </c>
      <c r="F69" s="389" t="s">
        <v>60</v>
      </c>
      <c r="G69" s="387" t="s">
        <v>3</v>
      </c>
      <c r="H69" s="387" t="s">
        <v>6</v>
      </c>
      <c r="I69" s="389" t="s">
        <v>7</v>
      </c>
      <c r="J69" s="389" t="s">
        <v>95</v>
      </c>
      <c r="K69" s="389" t="s">
        <v>61</v>
      </c>
      <c r="L69" s="387" t="s">
        <v>37</v>
      </c>
      <c r="M69" s="387" t="s">
        <v>38</v>
      </c>
      <c r="W69" s="110" t="s">
        <v>121</v>
      </c>
      <c r="X69" s="9"/>
      <c r="Y69" s="9"/>
      <c r="Z69" s="9"/>
      <c r="AA69" s="9"/>
      <c r="AB69" s="104"/>
      <c r="AC69" s="9"/>
      <c r="AD69" s="40">
        <f>Y69-Z69</f>
        <v>0</v>
      </c>
      <c r="AE69" s="162" t="e">
        <f>AC69/AC70-1</f>
        <v>#DIV/0!</v>
      </c>
    </row>
    <row r="70" spans="1:31" x14ac:dyDescent="0.25">
      <c r="A70" s="390" t="s">
        <v>9</v>
      </c>
      <c r="B70" s="380">
        <v>42356</v>
      </c>
      <c r="C70" s="381">
        <v>250</v>
      </c>
      <c r="D70" s="382">
        <v>4.45</v>
      </c>
      <c r="E70" s="382">
        <v>0</v>
      </c>
      <c r="F70" s="382">
        <f>C70*D70+E70</f>
        <v>1112.5</v>
      </c>
      <c r="G70" s="380">
        <v>42398</v>
      </c>
      <c r="H70" s="385">
        <v>250</v>
      </c>
      <c r="I70" s="382">
        <v>4.5199999999999996</v>
      </c>
      <c r="J70" s="382">
        <v>0.02</v>
      </c>
      <c r="K70" s="382">
        <f>H70*I70-J70</f>
        <v>1129.98</v>
      </c>
      <c r="L70" s="381"/>
      <c r="M70" s="381"/>
    </row>
    <row r="71" spans="1:31" x14ac:dyDescent="0.25">
      <c r="A71" s="391"/>
      <c r="B71" s="380">
        <v>42382</v>
      </c>
      <c r="C71" s="381">
        <v>250</v>
      </c>
      <c r="D71" s="382">
        <v>4.25</v>
      </c>
      <c r="E71" s="382">
        <v>0</v>
      </c>
      <c r="F71" s="382">
        <f>C71*D71+E71</f>
        <v>1062.5</v>
      </c>
      <c r="G71" s="380">
        <v>42418</v>
      </c>
      <c r="H71" s="385">
        <v>250</v>
      </c>
      <c r="I71" s="382">
        <v>4.45</v>
      </c>
      <c r="J71" s="382">
        <v>0.02</v>
      </c>
      <c r="K71" s="382">
        <f>H71*I71-J71</f>
        <v>1112.48</v>
      </c>
      <c r="L71" s="381"/>
      <c r="M71" s="381"/>
    </row>
    <row r="72" spans="1:31" x14ac:dyDescent="0.25">
      <c r="A72" s="381"/>
      <c r="B72" s="380">
        <v>42402</v>
      </c>
      <c r="C72" s="381">
        <v>250</v>
      </c>
      <c r="D72" s="382">
        <v>4.3600000000000003</v>
      </c>
      <c r="E72" s="382">
        <v>0</v>
      </c>
      <c r="F72" s="382">
        <f>C72*D72+E72</f>
        <v>1090</v>
      </c>
      <c r="G72" s="380">
        <v>42436</v>
      </c>
      <c r="H72" s="385">
        <v>250</v>
      </c>
      <c r="I72" s="382">
        <v>5.83</v>
      </c>
      <c r="J72" s="382">
        <v>0.03</v>
      </c>
      <c r="K72" s="382">
        <f>H72*I72-J72</f>
        <v>1457.47</v>
      </c>
      <c r="L72" s="381"/>
      <c r="M72" s="381"/>
    </row>
    <row r="73" spans="1:31" x14ac:dyDescent="0.25">
      <c r="A73" s="381"/>
      <c r="B73" s="380"/>
      <c r="C73" s="381"/>
      <c r="D73" s="382"/>
      <c r="E73" s="382"/>
      <c r="F73" s="382"/>
      <c r="G73" s="381"/>
      <c r="H73" s="385"/>
      <c r="I73" s="382"/>
      <c r="J73" s="382"/>
      <c r="K73" s="382"/>
      <c r="L73" s="381"/>
      <c r="M73" s="381"/>
    </row>
    <row r="74" spans="1:31" x14ac:dyDescent="0.25">
      <c r="A74" s="381"/>
      <c r="B74" s="381"/>
      <c r="C74" s="381"/>
      <c r="D74" s="382"/>
      <c r="E74" s="382"/>
      <c r="F74" s="382"/>
      <c r="G74" s="381"/>
      <c r="H74" s="385"/>
      <c r="I74" s="382"/>
      <c r="J74" s="382"/>
      <c r="K74" s="382"/>
      <c r="L74" s="381"/>
      <c r="M74" s="381"/>
    </row>
    <row r="75" spans="1:31" x14ac:dyDescent="0.25">
      <c r="A75" s="381"/>
      <c r="B75" s="381"/>
      <c r="C75" s="381"/>
      <c r="D75" s="382"/>
      <c r="E75" s="382"/>
      <c r="F75" s="382"/>
      <c r="G75" s="381"/>
      <c r="H75" s="385"/>
      <c r="I75" s="382"/>
      <c r="J75" s="382"/>
      <c r="K75" s="382"/>
      <c r="L75" s="381"/>
      <c r="M75" s="381"/>
    </row>
    <row r="76" spans="1:31" x14ac:dyDescent="0.25">
      <c r="A76" s="381"/>
      <c r="B76" s="381"/>
      <c r="C76" s="381"/>
      <c r="D76" s="382"/>
      <c r="E76" s="382"/>
      <c r="F76" s="382"/>
      <c r="G76" s="381"/>
      <c r="H76" s="385"/>
      <c r="I76" s="382"/>
      <c r="J76" s="382"/>
      <c r="K76" s="382"/>
      <c r="L76" s="381"/>
      <c r="M76" s="381"/>
    </row>
    <row r="77" spans="1:31" x14ac:dyDescent="0.25">
      <c r="A77" s="381"/>
      <c r="B77" s="381"/>
      <c r="C77" s="381"/>
      <c r="D77" s="382"/>
      <c r="E77" s="382"/>
      <c r="F77" s="382"/>
      <c r="G77" s="381"/>
      <c r="H77" s="385"/>
      <c r="I77" s="382"/>
      <c r="J77" s="382"/>
      <c r="K77" s="382"/>
      <c r="L77" s="381"/>
      <c r="M77" s="381"/>
    </row>
    <row r="78" spans="1:31" x14ac:dyDescent="0.25">
      <c r="A78" s="381"/>
      <c r="B78" s="381"/>
      <c r="C78" s="381"/>
      <c r="D78" s="382"/>
      <c r="E78" s="382"/>
      <c r="F78" s="382"/>
      <c r="G78" s="381"/>
      <c r="H78" s="381"/>
      <c r="I78" s="382"/>
      <c r="J78" s="382"/>
      <c r="K78" s="382"/>
      <c r="L78" s="381"/>
      <c r="M78" s="381"/>
    </row>
    <row r="79" spans="1:31" x14ac:dyDescent="0.25">
      <c r="A79" s="381"/>
      <c r="B79" s="381"/>
      <c r="C79" s="381"/>
      <c r="D79" s="382"/>
      <c r="E79" s="382"/>
      <c r="F79" s="382"/>
      <c r="G79" s="381"/>
      <c r="H79" s="381"/>
      <c r="I79" s="382"/>
      <c r="J79" s="382"/>
      <c r="K79" s="382"/>
      <c r="L79" s="381"/>
      <c r="M79" s="381"/>
    </row>
    <row r="80" spans="1:31" x14ac:dyDescent="0.25">
      <c r="A80" s="381"/>
      <c r="B80" s="381"/>
      <c r="C80" s="381"/>
      <c r="D80" s="382"/>
      <c r="E80" s="382"/>
      <c r="F80" s="382"/>
      <c r="G80" s="381"/>
      <c r="H80" s="381"/>
      <c r="I80" s="382"/>
      <c r="J80" s="382"/>
      <c r="K80" s="382"/>
      <c r="L80" s="381"/>
      <c r="M80" s="381"/>
    </row>
    <row r="81" spans="1:13" x14ac:dyDescent="0.25">
      <c r="A81" s="381"/>
      <c r="B81" s="381"/>
      <c r="C81" s="381"/>
      <c r="D81" s="382"/>
      <c r="E81" s="382"/>
      <c r="F81" s="382"/>
      <c r="G81" s="381"/>
      <c r="H81" s="381"/>
      <c r="I81" s="382"/>
      <c r="J81" s="382"/>
      <c r="K81" s="382"/>
      <c r="L81" s="381"/>
      <c r="M81" s="381"/>
    </row>
    <row r="82" spans="1:13" x14ac:dyDescent="0.25">
      <c r="A82" s="381"/>
      <c r="B82" s="381"/>
      <c r="C82" s="381"/>
      <c r="D82" s="382"/>
      <c r="E82" s="382"/>
      <c r="F82" s="382"/>
      <c r="G82" s="381"/>
      <c r="H82" s="381"/>
      <c r="I82" s="382"/>
      <c r="J82" s="382"/>
      <c r="K82" s="382"/>
      <c r="L82" s="381"/>
      <c r="M82" s="381"/>
    </row>
    <row r="83" spans="1:13" x14ac:dyDescent="0.25">
      <c r="A83" s="381"/>
      <c r="B83" s="381"/>
      <c r="C83" s="381"/>
      <c r="D83" s="382"/>
      <c r="E83" s="382"/>
      <c r="F83" s="382"/>
      <c r="G83" s="381"/>
      <c r="H83" s="381"/>
      <c r="I83" s="382"/>
      <c r="J83" s="382"/>
      <c r="K83" s="382"/>
      <c r="L83" s="381"/>
      <c r="M83" s="381"/>
    </row>
    <row r="84" spans="1:13" x14ac:dyDescent="0.25">
      <c r="A84" s="381"/>
      <c r="B84" s="381"/>
      <c r="C84" s="381"/>
      <c r="D84" s="382"/>
      <c r="E84" s="382"/>
      <c r="F84" s="382"/>
      <c r="G84" s="381"/>
      <c r="H84" s="381"/>
      <c r="I84" s="382"/>
      <c r="J84" s="382"/>
      <c r="K84" s="382"/>
      <c r="L84" s="381"/>
      <c r="M84" s="381"/>
    </row>
    <row r="85" spans="1:13" x14ac:dyDescent="0.25">
      <c r="A85" s="381"/>
      <c r="B85" s="381"/>
      <c r="C85" s="381"/>
      <c r="D85" s="382"/>
      <c r="E85" s="382"/>
      <c r="F85" s="382"/>
      <c r="G85" s="381"/>
      <c r="H85" s="385"/>
      <c r="I85" s="382"/>
      <c r="J85" s="382"/>
      <c r="K85" s="382"/>
      <c r="L85" s="381"/>
      <c r="M85" s="381"/>
    </row>
    <row r="86" spans="1:13" x14ac:dyDescent="0.25">
      <c r="A86" s="22" t="s">
        <v>81</v>
      </c>
      <c r="B86" s="12"/>
      <c r="C86" s="12">
        <f>SUM(C70:C73)</f>
        <v>750</v>
      </c>
      <c r="D86" s="13"/>
      <c r="E86" s="13"/>
      <c r="F86" s="13">
        <f>SUM(F70:F73)</f>
        <v>3265</v>
      </c>
      <c r="G86" s="12"/>
      <c r="H86" s="12">
        <f>SUM(H70:H73)</f>
        <v>750</v>
      </c>
      <c r="I86" s="13"/>
      <c r="J86" s="13"/>
      <c r="K86" s="13">
        <f>SUM(K70:K73)</f>
        <v>3699.9300000000003</v>
      </c>
      <c r="L86" s="12"/>
      <c r="M86" s="13">
        <f>SUM(M70:M73)</f>
        <v>0</v>
      </c>
    </row>
    <row r="89" spans="1:13" x14ac:dyDescent="0.25">
      <c r="B89" s="520" t="s">
        <v>114</v>
      </c>
      <c r="C89" s="520" t="s">
        <v>147</v>
      </c>
      <c r="D89" s="521" t="s">
        <v>146</v>
      </c>
      <c r="E89" s="522" t="s">
        <v>148</v>
      </c>
      <c r="F89" s="523" t="s">
        <v>65</v>
      </c>
      <c r="G89" s="524" t="s">
        <v>152</v>
      </c>
      <c r="H89" s="523" t="s">
        <v>88</v>
      </c>
      <c r="I89" s="524" t="s">
        <v>155</v>
      </c>
    </row>
    <row r="90" spans="1:13" x14ac:dyDescent="0.25">
      <c r="B90" s="380">
        <v>42353</v>
      </c>
      <c r="C90" s="381">
        <v>250</v>
      </c>
      <c r="D90" s="525">
        <v>4.45</v>
      </c>
      <c r="E90" s="382">
        <v>4.45</v>
      </c>
      <c r="F90" s="382">
        <f>C90*(E90-D90)</f>
        <v>0</v>
      </c>
      <c r="G90" s="382">
        <f>D90*C90</f>
        <v>1112.5</v>
      </c>
      <c r="H90" s="384">
        <f>(E90-D90)/D90</f>
        <v>0</v>
      </c>
      <c r="I90" s="382"/>
    </row>
    <row r="91" spans="1:13" x14ac:dyDescent="0.25">
      <c r="B91" s="380">
        <v>42356</v>
      </c>
      <c r="C91" s="381">
        <v>250</v>
      </c>
      <c r="D91" s="525">
        <v>4.45</v>
      </c>
      <c r="E91" s="382">
        <v>4.79</v>
      </c>
      <c r="F91" s="382">
        <f>C91*(E91-D91)</f>
        <v>84.999999999999972</v>
      </c>
      <c r="G91" s="382">
        <f>D91*C91</f>
        <v>1112.5</v>
      </c>
      <c r="H91" s="384">
        <f>(E91-D91)/D91</f>
        <v>7.6404494382022431E-2</v>
      </c>
      <c r="I91" s="382"/>
    </row>
    <row r="92" spans="1:13" x14ac:dyDescent="0.25">
      <c r="B92" s="380">
        <v>42382</v>
      </c>
      <c r="C92" s="381">
        <v>500</v>
      </c>
      <c r="D92" s="525">
        <v>4.3499999999999996</v>
      </c>
      <c r="E92" s="382">
        <v>4.17</v>
      </c>
      <c r="F92" s="382">
        <f t="shared" ref="F92:F100" si="38">C92*(E92-D92)</f>
        <v>-89.999999999999858</v>
      </c>
      <c r="G92" s="382">
        <f t="shared" ref="G92:G100" si="39">D92*C92</f>
        <v>2175</v>
      </c>
      <c r="H92" s="384">
        <f t="shared" ref="H92:H100" si="40">(E92-D92)/D92</f>
        <v>-4.1379310344827523E-2</v>
      </c>
      <c r="I92" s="382"/>
    </row>
    <row r="93" spans="1:13" x14ac:dyDescent="0.25">
      <c r="B93" s="380">
        <v>42398</v>
      </c>
      <c r="C93" s="381">
        <v>250</v>
      </c>
      <c r="D93" s="525">
        <v>4.18</v>
      </c>
      <c r="E93" s="382">
        <v>4.5199999999999996</v>
      </c>
      <c r="F93" s="382">
        <f t="shared" si="38"/>
        <v>84.999999999999972</v>
      </c>
      <c r="G93" s="382">
        <f t="shared" si="39"/>
        <v>1045</v>
      </c>
      <c r="H93" s="384">
        <f t="shared" si="40"/>
        <v>8.1339712918660254E-2</v>
      </c>
      <c r="I93" s="382"/>
    </row>
    <row r="94" spans="1:13" x14ac:dyDescent="0.25">
      <c r="B94" s="380">
        <v>42402</v>
      </c>
      <c r="C94" s="381">
        <v>500</v>
      </c>
      <c r="D94" s="525">
        <v>4.2699999999999996</v>
      </c>
      <c r="E94" s="382">
        <v>4.3499999999999996</v>
      </c>
      <c r="F94" s="382">
        <f t="shared" si="38"/>
        <v>40.000000000000036</v>
      </c>
      <c r="G94" s="382">
        <f t="shared" si="39"/>
        <v>2135</v>
      </c>
      <c r="H94" s="384">
        <f t="shared" si="40"/>
        <v>1.8735362997658097E-2</v>
      </c>
      <c r="I94" s="382"/>
    </row>
    <row r="95" spans="1:13" x14ac:dyDescent="0.25">
      <c r="B95" s="380">
        <v>42403</v>
      </c>
      <c r="C95" s="381">
        <v>500</v>
      </c>
      <c r="D95" s="525">
        <v>4.2699999999999996</v>
      </c>
      <c r="E95" s="382">
        <v>4.5999999999999996</v>
      </c>
      <c r="F95" s="382">
        <f t="shared" si="38"/>
        <v>165.00000000000003</v>
      </c>
      <c r="G95" s="382">
        <f t="shared" si="39"/>
        <v>2135</v>
      </c>
      <c r="H95" s="384">
        <f t="shared" si="40"/>
        <v>7.7283372365339609E-2</v>
      </c>
      <c r="I95" s="382"/>
    </row>
    <row r="96" spans="1:13" x14ac:dyDescent="0.25">
      <c r="B96" s="380">
        <v>42418</v>
      </c>
      <c r="C96" s="381">
        <v>250</v>
      </c>
      <c r="D96" s="525">
        <v>4.09</v>
      </c>
      <c r="E96" s="382">
        <v>4.25</v>
      </c>
      <c r="F96" s="382">
        <f t="shared" si="38"/>
        <v>40.000000000000036</v>
      </c>
      <c r="G96" s="382">
        <f t="shared" si="39"/>
        <v>1022.5</v>
      </c>
      <c r="H96" s="384">
        <f t="shared" si="40"/>
        <v>3.911980440097803E-2</v>
      </c>
      <c r="I96" s="382"/>
    </row>
    <row r="97" spans="2:9" x14ac:dyDescent="0.25">
      <c r="B97" s="380">
        <v>42421</v>
      </c>
      <c r="C97" s="381">
        <v>250</v>
      </c>
      <c r="D97" s="525">
        <v>4.09</v>
      </c>
      <c r="E97" s="382">
        <v>4.4400000000000004</v>
      </c>
      <c r="F97" s="382">
        <f t="shared" si="38"/>
        <v>87.500000000000128</v>
      </c>
      <c r="G97" s="382">
        <f t="shared" si="39"/>
        <v>1022.5</v>
      </c>
      <c r="H97" s="384">
        <f t="shared" si="40"/>
        <v>8.5574572127139495E-2</v>
      </c>
      <c r="I97" s="382"/>
    </row>
    <row r="98" spans="2:9" x14ac:dyDescent="0.25">
      <c r="B98" s="380">
        <v>42424</v>
      </c>
      <c r="C98" s="381">
        <v>250</v>
      </c>
      <c r="D98" s="525">
        <v>4.09</v>
      </c>
      <c r="E98" s="382">
        <v>5.3</v>
      </c>
      <c r="F98" s="382">
        <f t="shared" si="38"/>
        <v>302.5</v>
      </c>
      <c r="G98" s="382">
        <f t="shared" si="39"/>
        <v>1022.5</v>
      </c>
      <c r="H98" s="384">
        <f t="shared" si="40"/>
        <v>0.29584352078239606</v>
      </c>
      <c r="I98" s="382"/>
    </row>
    <row r="99" spans="2:9" x14ac:dyDescent="0.25">
      <c r="B99" s="380">
        <v>42430</v>
      </c>
      <c r="C99" s="381">
        <v>250</v>
      </c>
      <c r="D99" s="525">
        <v>4.09</v>
      </c>
      <c r="E99" s="382">
        <v>5.47</v>
      </c>
      <c r="F99" s="471">
        <f t="shared" si="38"/>
        <v>345</v>
      </c>
      <c r="G99" s="382">
        <f t="shared" si="39"/>
        <v>1022.5</v>
      </c>
      <c r="H99" s="384">
        <f t="shared" si="40"/>
        <v>0.33740831295843521</v>
      </c>
      <c r="I99" s="382"/>
    </row>
    <row r="100" spans="2:9" x14ac:dyDescent="0.25">
      <c r="B100" s="380">
        <v>42431</v>
      </c>
      <c r="C100" s="381">
        <v>250</v>
      </c>
      <c r="D100" s="525">
        <v>4.09</v>
      </c>
      <c r="E100" s="382">
        <v>5.63</v>
      </c>
      <c r="F100" s="471">
        <f t="shared" si="38"/>
        <v>385</v>
      </c>
      <c r="G100" s="382">
        <f t="shared" si="39"/>
        <v>1022.5</v>
      </c>
      <c r="H100" s="384">
        <f t="shared" si="40"/>
        <v>0.37652811735941322</v>
      </c>
      <c r="I100" s="382"/>
    </row>
    <row r="101" spans="2:9" x14ac:dyDescent="0.25">
      <c r="B101" s="380">
        <v>42436</v>
      </c>
      <c r="C101" s="381">
        <v>0</v>
      </c>
      <c r="D101" s="525"/>
      <c r="E101" s="382">
        <v>5.79</v>
      </c>
      <c r="F101" s="471">
        <v>434.93</v>
      </c>
      <c r="G101" s="382"/>
      <c r="H101" s="384"/>
      <c r="I101" s="382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 F90:F101 H34 H99:H101 F40:F67 H40:H67">
    <cfRule type="expression" dxfId="99" priority="19">
      <formula>F34&gt;0</formula>
    </cfRule>
    <cfRule type="expression" dxfId="98" priority="20">
      <formula>F34&lt;0</formula>
    </cfRule>
  </conditionalFormatting>
  <conditionalFormatting sqref="H90:H97">
    <cfRule type="expression" dxfId="97" priority="17">
      <formula>H90&gt;0</formula>
    </cfRule>
    <cfRule type="expression" dxfId="96" priority="18">
      <formula>H90&lt;0</formula>
    </cfRule>
  </conditionalFormatting>
  <conditionalFormatting sqref="H98">
    <cfRule type="expression" dxfId="95" priority="15">
      <formula>H98&gt;0</formula>
    </cfRule>
    <cfRule type="expression" dxfId="94" priority="16">
      <formula>H98&lt;0</formula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{F10D07E8-48D8-449A-BC75-E11CC9358AFB}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Q8">
    <cfRule type="expression" dxfId="93" priority="5">
      <formula>Q8&gt;0</formula>
    </cfRule>
    <cfRule type="expression" dxfId="92" priority="6">
      <formula>Q8&lt;0</formula>
    </cfRule>
  </conditionalFormatting>
  <conditionalFormatting sqref="Q7">
    <cfRule type="expression" dxfId="91" priority="7">
      <formula>Q7&gt;0</formula>
    </cfRule>
    <cfRule type="expression" dxfId="90" priority="8">
      <formula>Q7&lt;0</formula>
    </cfRule>
  </conditionalFormatting>
  <conditionalFormatting sqref="F36:F39">
    <cfRule type="expression" dxfId="89" priority="3">
      <formula>F36&gt;0</formula>
    </cfRule>
    <cfRule type="expression" dxfId="88" priority="4">
      <formula>F36&lt;0</formula>
    </cfRule>
  </conditionalFormatting>
  <conditionalFormatting sqref="H36:H39">
    <cfRule type="expression" dxfId="87" priority="1">
      <formula>H36&gt;0</formula>
    </cfRule>
    <cfRule type="expression" dxfId="86" priority="2">
      <formula>H36&lt;0</formula>
    </cfRule>
  </conditionalFormatting>
  <hyperlinks>
    <hyperlink ref="A3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10D07E8-48D8-449A-BC75-E11CC9358AF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13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5.7109375" customWidth="1"/>
    <col min="18" max="18" width="9.7109375" bestFit="1" customWidth="1"/>
    <col min="20" max="20" width="18.5703125" customWidth="1"/>
    <col min="21" max="21" width="35.28515625" customWidth="1"/>
    <col min="23" max="23" width="11.7109375" customWidth="1"/>
    <col min="24" max="24" width="9.85546875" customWidth="1"/>
    <col min="25" max="27" width="7" bestFit="1" customWidth="1"/>
    <col min="28" max="28" width="10.140625" bestFit="1" customWidth="1"/>
    <col min="29" max="29" width="9" customWidth="1"/>
    <col min="31" max="31" width="11.7109375" customWidth="1"/>
    <col min="34" max="4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93" t="s">
        <v>126</v>
      </c>
      <c r="AE1" s="93" t="s">
        <v>128</v>
      </c>
    </row>
    <row r="2" spans="1:40" x14ac:dyDescent="0.25">
      <c r="A2" s="6" t="s">
        <v>55</v>
      </c>
      <c r="B2" s="459">
        <v>42214</v>
      </c>
      <c r="C2" s="7">
        <v>10</v>
      </c>
      <c r="D2" s="44">
        <v>113.01</v>
      </c>
      <c r="E2" s="44">
        <v>0</v>
      </c>
      <c r="F2" s="44">
        <f t="shared" ref="F2:F25" si="0">C2*D2 + E2</f>
        <v>1130.1000000000001</v>
      </c>
      <c r="G2" s="459">
        <v>42263</v>
      </c>
      <c r="H2" s="82">
        <v>10</v>
      </c>
      <c r="I2" s="44">
        <v>109.35</v>
      </c>
      <c r="J2" s="44">
        <v>0.02</v>
      </c>
      <c r="K2" s="44">
        <f>I2*H2-J2</f>
        <v>1093.48</v>
      </c>
      <c r="L2" s="1">
        <v>42276</v>
      </c>
      <c r="M2" s="2">
        <v>6.45</v>
      </c>
      <c r="O2" s="11" t="s">
        <v>57</v>
      </c>
      <c r="Q2">
        <f>C31-H31</f>
        <v>250</v>
      </c>
      <c r="T2" s="1"/>
      <c r="W2" s="133">
        <v>42768</v>
      </c>
      <c r="X2" s="10">
        <v>72.61</v>
      </c>
      <c r="Y2" s="10">
        <v>72.83</v>
      </c>
      <c r="Z2" s="10">
        <v>71.78</v>
      </c>
      <c r="AA2" s="10">
        <v>72.25</v>
      </c>
      <c r="AB2" s="95">
        <v>8752000</v>
      </c>
      <c r="AC2" s="10">
        <v>72.25</v>
      </c>
      <c r="AD2" s="40">
        <f>Y2-Z2</f>
        <v>1.0499999999999972</v>
      </c>
      <c r="AE2" s="162">
        <f>AC2/AC3-1</f>
        <v>-7.8275199121119465E-3</v>
      </c>
    </row>
    <row r="3" spans="1:40" x14ac:dyDescent="0.25">
      <c r="A3" s="23" t="s">
        <v>71</v>
      </c>
      <c r="B3" s="459">
        <v>42247</v>
      </c>
      <c r="C3" s="7">
        <v>15</v>
      </c>
      <c r="D3" s="44">
        <v>105.85</v>
      </c>
      <c r="E3" s="44">
        <v>0</v>
      </c>
      <c r="F3" s="44">
        <f t="shared" si="0"/>
        <v>1587.75</v>
      </c>
      <c r="G3" s="459">
        <v>42284</v>
      </c>
      <c r="H3" s="82">
        <v>10</v>
      </c>
      <c r="I3" s="44">
        <v>97.5</v>
      </c>
      <c r="J3" s="44">
        <v>0.02</v>
      </c>
      <c r="K3" s="44">
        <f>I3*H3-J3</f>
        <v>974.98</v>
      </c>
      <c r="L3" s="1">
        <v>42369</v>
      </c>
      <c r="M3" s="3">
        <v>10.75</v>
      </c>
      <c r="O3" s="11" t="s">
        <v>58</v>
      </c>
      <c r="Q3" s="230">
        <f>(F31-K31-M31)/Q2</f>
        <v>78.997320000000016</v>
      </c>
      <c r="W3" s="133">
        <v>42767</v>
      </c>
      <c r="X3" s="10">
        <v>72.72</v>
      </c>
      <c r="Y3" s="10">
        <v>72.88</v>
      </c>
      <c r="Z3" s="10">
        <v>72.06</v>
      </c>
      <c r="AA3" s="10">
        <v>72.819999999999993</v>
      </c>
      <c r="AB3" s="95">
        <v>7416200</v>
      </c>
      <c r="AC3" s="10">
        <v>72.819999999999993</v>
      </c>
      <c r="AD3" s="40">
        <f t="shared" ref="AD3:AD66" si="1">Y3-Z3</f>
        <v>0.81999999999999318</v>
      </c>
      <c r="AE3" s="162">
        <f t="shared" ref="AE3:AE66" si="2">AC3/AC4-1</f>
        <v>5.1069703243615816E-3</v>
      </c>
      <c r="AN3" s="234"/>
    </row>
    <row r="4" spans="1:40" x14ac:dyDescent="0.25">
      <c r="B4" s="459">
        <v>42278</v>
      </c>
      <c r="C4" s="7">
        <v>10</v>
      </c>
      <c r="D4" s="44">
        <v>96.7</v>
      </c>
      <c r="E4" s="44">
        <v>0</v>
      </c>
      <c r="F4" s="44">
        <f t="shared" si="0"/>
        <v>967</v>
      </c>
      <c r="G4" s="459">
        <v>42409</v>
      </c>
      <c r="H4" s="82">
        <v>10</v>
      </c>
      <c r="I4" s="44">
        <v>88.05</v>
      </c>
      <c r="J4" s="44">
        <v>0.02</v>
      </c>
      <c r="K4" s="44">
        <f>I4*H4-J4</f>
        <v>880.48</v>
      </c>
      <c r="L4" s="1">
        <v>42460</v>
      </c>
      <c r="M4" s="3">
        <v>30.1</v>
      </c>
      <c r="O4" s="11" t="s">
        <v>66</v>
      </c>
      <c r="Q4" s="434">
        <v>72.34</v>
      </c>
      <c r="R4" s="505">
        <v>1.1999999999999999E-3</v>
      </c>
      <c r="W4" s="133">
        <v>42766</v>
      </c>
      <c r="X4" s="10">
        <v>71.13</v>
      </c>
      <c r="Y4" s="10">
        <v>72.58</v>
      </c>
      <c r="Z4" s="10">
        <v>70.989999999999995</v>
      </c>
      <c r="AA4" s="10">
        <v>72.45</v>
      </c>
      <c r="AB4" s="95">
        <v>10340100</v>
      </c>
      <c r="AC4" s="10">
        <v>72.45</v>
      </c>
      <c r="AD4" s="40">
        <f t="shared" si="1"/>
        <v>1.5900000000000034</v>
      </c>
      <c r="AE4" s="162">
        <f t="shared" si="2"/>
        <v>1.3145014683261014E-2</v>
      </c>
    </row>
    <row r="5" spans="1:40" x14ac:dyDescent="0.25">
      <c r="B5" s="459">
        <v>42284</v>
      </c>
      <c r="C5" s="7">
        <v>10</v>
      </c>
      <c r="D5" s="44">
        <v>94.5</v>
      </c>
      <c r="E5" s="44">
        <v>0</v>
      </c>
      <c r="F5" s="44">
        <f t="shared" si="0"/>
        <v>945</v>
      </c>
      <c r="G5" s="459">
        <v>42447</v>
      </c>
      <c r="H5" s="82">
        <v>20</v>
      </c>
      <c r="I5" s="44">
        <v>90.59</v>
      </c>
      <c r="J5" s="44">
        <v>0.04</v>
      </c>
      <c r="K5" s="44">
        <f>I5*H5-J5</f>
        <v>1811.7600000000002</v>
      </c>
      <c r="L5" s="1">
        <v>42550</v>
      </c>
      <c r="M5" s="3">
        <v>47</v>
      </c>
      <c r="O5" s="11" t="s">
        <v>67</v>
      </c>
      <c r="Q5" s="3">
        <f>Q4*Q2</f>
        <v>18085</v>
      </c>
      <c r="T5" s="1"/>
      <c r="W5" s="133">
        <v>42765</v>
      </c>
      <c r="X5" s="10">
        <v>71</v>
      </c>
      <c r="Y5" s="10">
        <v>71.67</v>
      </c>
      <c r="Z5" s="10">
        <v>70.75</v>
      </c>
      <c r="AA5" s="10">
        <v>71.510000000000005</v>
      </c>
      <c r="AB5" s="95">
        <v>7207100</v>
      </c>
      <c r="AC5" s="10">
        <v>71.510000000000005</v>
      </c>
      <c r="AD5" s="40">
        <f t="shared" si="1"/>
        <v>0.92000000000000171</v>
      </c>
      <c r="AE5" s="162">
        <f t="shared" si="2"/>
        <v>3.5082795397136657E-3</v>
      </c>
      <c r="AK5" s="234"/>
      <c r="AN5" s="234"/>
    </row>
    <row r="6" spans="1:40" x14ac:dyDescent="0.25">
      <c r="B6" s="460">
        <v>42376</v>
      </c>
      <c r="C6">
        <v>25</v>
      </c>
      <c r="D6" s="2">
        <v>96.5</v>
      </c>
      <c r="E6" s="2">
        <v>0</v>
      </c>
      <c r="F6" s="3">
        <f t="shared" si="0"/>
        <v>2412.5</v>
      </c>
      <c r="G6" s="459">
        <v>42478</v>
      </c>
      <c r="H6" s="82">
        <v>25</v>
      </c>
      <c r="I6" s="44">
        <v>99.45</v>
      </c>
      <c r="J6" s="44">
        <v>0.05</v>
      </c>
      <c r="K6" s="44">
        <f>I6*H6-J6</f>
        <v>2486.1999999999998</v>
      </c>
      <c r="L6" s="1">
        <v>42642</v>
      </c>
      <c r="M6" s="3">
        <v>94</v>
      </c>
      <c r="O6" s="11" t="s">
        <v>64</v>
      </c>
      <c r="Q6" s="2">
        <f>Q3*Q2</f>
        <v>19749.330000000005</v>
      </c>
      <c r="W6" s="133">
        <v>42762</v>
      </c>
      <c r="X6" s="10">
        <v>71.430000000000007</v>
      </c>
      <c r="Y6" s="10">
        <v>72.17</v>
      </c>
      <c r="Z6" s="10">
        <v>71.16</v>
      </c>
      <c r="AA6" s="10">
        <v>71.260000000000005</v>
      </c>
      <c r="AB6" s="95">
        <v>6933900</v>
      </c>
      <c r="AC6" s="10">
        <v>71.260000000000005</v>
      </c>
      <c r="AD6" s="40">
        <f t="shared" si="1"/>
        <v>1.0100000000000051</v>
      </c>
      <c r="AE6" s="162">
        <f t="shared" si="2"/>
        <v>5.6163998876734844E-4</v>
      </c>
    </row>
    <row r="7" spans="1:40" x14ac:dyDescent="0.25">
      <c r="B7" s="459">
        <v>42402</v>
      </c>
      <c r="C7" s="7">
        <v>10</v>
      </c>
      <c r="D7" s="44">
        <v>82.55</v>
      </c>
      <c r="E7" s="44">
        <v>0</v>
      </c>
      <c r="F7" s="44">
        <f t="shared" si="0"/>
        <v>825.5</v>
      </c>
      <c r="G7" s="458"/>
      <c r="H7" s="7"/>
      <c r="I7" s="7"/>
      <c r="J7" s="7"/>
      <c r="K7" s="7"/>
      <c r="L7" s="1">
        <v>42734</v>
      </c>
      <c r="M7" s="3">
        <v>117.5</v>
      </c>
      <c r="O7" s="11" t="s">
        <v>181</v>
      </c>
      <c r="Q7" s="2">
        <f>Q10+Q8</f>
        <v>-1664.3300000000017</v>
      </c>
      <c r="R7">
        <v>150</v>
      </c>
      <c r="W7" s="133">
        <v>42761</v>
      </c>
      <c r="X7" s="10">
        <v>71.78</v>
      </c>
      <c r="Y7" s="10">
        <v>71.849999999999994</v>
      </c>
      <c r="Z7" s="10">
        <v>71.150000000000006</v>
      </c>
      <c r="AA7" s="10">
        <v>71.22</v>
      </c>
      <c r="AB7" s="95">
        <v>8562500</v>
      </c>
      <c r="AC7" s="10">
        <v>71.22</v>
      </c>
      <c r="AD7" s="40">
        <f t="shared" si="1"/>
        <v>0.69999999999998863</v>
      </c>
      <c r="AE7" s="162">
        <f t="shared" si="2"/>
        <v>-9.5953274926992016E-3</v>
      </c>
    </row>
    <row r="8" spans="1:40" x14ac:dyDescent="0.25">
      <c r="B8" s="459">
        <v>42426</v>
      </c>
      <c r="C8" s="7">
        <v>20</v>
      </c>
      <c r="D8" s="44">
        <v>88.03</v>
      </c>
      <c r="E8" s="44">
        <v>0</v>
      </c>
      <c r="F8" s="44">
        <f t="shared" si="0"/>
        <v>1760.6</v>
      </c>
      <c r="G8" s="458"/>
      <c r="H8" s="82"/>
      <c r="I8" s="7"/>
      <c r="J8" s="7"/>
      <c r="K8" s="7"/>
      <c r="O8" s="11" t="s">
        <v>184</v>
      </c>
      <c r="P8" s="34"/>
      <c r="Q8" s="2">
        <f>K31+M31-F31+Q2*Q4</f>
        <v>-1664.3300000000017</v>
      </c>
      <c r="T8" s="1"/>
      <c r="W8" s="133">
        <v>42760</v>
      </c>
      <c r="X8" s="10">
        <v>70.819999999999993</v>
      </c>
      <c r="Y8" s="10">
        <v>72.34</v>
      </c>
      <c r="Z8" s="10">
        <v>70.72</v>
      </c>
      <c r="AA8" s="10">
        <v>71.91</v>
      </c>
      <c r="AB8" s="95">
        <v>14001600</v>
      </c>
      <c r="AC8" s="10">
        <v>71.91</v>
      </c>
      <c r="AD8" s="40">
        <f t="shared" si="1"/>
        <v>1.6200000000000045</v>
      </c>
      <c r="AE8" s="162">
        <f t="shared" si="2"/>
        <v>2.3629893238434008E-2</v>
      </c>
    </row>
    <row r="9" spans="1:40" x14ac:dyDescent="0.25">
      <c r="A9" s="423"/>
      <c r="B9" s="459">
        <v>42488</v>
      </c>
      <c r="C9" s="4">
        <v>25</v>
      </c>
      <c r="D9" s="3">
        <v>98.25</v>
      </c>
      <c r="E9" s="3">
        <v>0</v>
      </c>
      <c r="F9" s="3">
        <f t="shared" si="0"/>
        <v>2456.25</v>
      </c>
      <c r="G9" s="458"/>
      <c r="H9" s="7"/>
      <c r="I9" s="7"/>
      <c r="J9" s="7"/>
      <c r="K9" s="7"/>
      <c r="O9" s="11" t="s">
        <v>214</v>
      </c>
      <c r="Q9" s="138">
        <f>IF(Q2=0, 0, Q8/Q6)</f>
        <v>-8.4272732290158775E-2</v>
      </c>
      <c r="W9" s="133">
        <v>42759</v>
      </c>
      <c r="X9" s="10">
        <v>70.599999999999994</v>
      </c>
      <c r="Y9" s="10">
        <v>70.98</v>
      </c>
      <c r="Z9" s="10">
        <v>69.78</v>
      </c>
      <c r="AA9" s="10">
        <v>70.25</v>
      </c>
      <c r="AB9" s="95">
        <v>10868900</v>
      </c>
      <c r="AC9" s="10">
        <v>70.25</v>
      </c>
      <c r="AD9" s="40">
        <f t="shared" si="1"/>
        <v>1.2000000000000028</v>
      </c>
      <c r="AE9" s="162">
        <f t="shared" si="2"/>
        <v>-6.2243598811713152E-3</v>
      </c>
    </row>
    <row r="10" spans="1:40" x14ac:dyDescent="0.25">
      <c r="A10" s="423" t="s">
        <v>216</v>
      </c>
      <c r="B10" s="459">
        <v>42489</v>
      </c>
      <c r="C10" s="4">
        <v>20</v>
      </c>
      <c r="D10" s="3">
        <v>90.34</v>
      </c>
      <c r="E10" s="3">
        <v>0</v>
      </c>
      <c r="F10" s="3">
        <f t="shared" si="0"/>
        <v>1806.8000000000002</v>
      </c>
      <c r="G10" s="458"/>
      <c r="H10" s="7"/>
      <c r="I10" s="7"/>
      <c r="J10" s="7"/>
      <c r="K10" s="7"/>
      <c r="O10" s="11" t="s">
        <v>213</v>
      </c>
      <c r="P10" s="34"/>
      <c r="Q10" s="2">
        <f>M62</f>
        <v>0</v>
      </c>
      <c r="W10" s="133">
        <v>42758</v>
      </c>
      <c r="X10" s="10">
        <v>70.87</v>
      </c>
      <c r="Y10" s="10">
        <v>71.290000000000006</v>
      </c>
      <c r="Z10" s="10">
        <v>70.3</v>
      </c>
      <c r="AA10" s="10">
        <v>70.69</v>
      </c>
      <c r="AB10" s="95">
        <v>9641100</v>
      </c>
      <c r="AC10" s="10">
        <v>70.69</v>
      </c>
      <c r="AD10" s="40">
        <f t="shared" si="1"/>
        <v>0.99000000000000909</v>
      </c>
      <c r="AE10" s="162">
        <f t="shared" si="2"/>
        <v>-4.506407548232727E-3</v>
      </c>
    </row>
    <row r="11" spans="1:40" x14ac:dyDescent="0.25">
      <c r="A11" s="423">
        <v>92.64</v>
      </c>
      <c r="B11" s="459">
        <v>42489</v>
      </c>
      <c r="C11" s="4">
        <v>30</v>
      </c>
      <c r="D11" s="2">
        <v>89.5</v>
      </c>
      <c r="E11" s="2">
        <v>0</v>
      </c>
      <c r="F11" s="2">
        <f t="shared" si="0"/>
        <v>2685</v>
      </c>
      <c r="G11" s="459">
        <v>42552</v>
      </c>
      <c r="H11" s="82">
        <v>100</v>
      </c>
      <c r="I11" s="44">
        <v>83.74</v>
      </c>
      <c r="J11" s="44">
        <v>0.18</v>
      </c>
      <c r="K11" s="44">
        <f t="shared" ref="K11:K19" si="3">I11*H11-J11</f>
        <v>8373.82</v>
      </c>
      <c r="N11" s="5"/>
      <c r="O11" s="11" t="s">
        <v>178</v>
      </c>
      <c r="P11" s="34"/>
      <c r="Q11" s="138">
        <f>VALUE(TRIM(CLEAN(MID(U58, FIND("(", U58)+1, 5))))</f>
        <v>2.5899999999999999E-2</v>
      </c>
      <c r="W11" s="133">
        <v>42755</v>
      </c>
      <c r="X11" s="10">
        <v>71.97</v>
      </c>
      <c r="Y11" s="10">
        <v>72</v>
      </c>
      <c r="Z11" s="10">
        <v>70.58</v>
      </c>
      <c r="AA11" s="10">
        <v>71.010000000000005</v>
      </c>
      <c r="AB11" s="95">
        <v>10153500</v>
      </c>
      <c r="AC11" s="10">
        <v>71.010000000000005</v>
      </c>
      <c r="AD11" s="40">
        <f t="shared" si="1"/>
        <v>1.4200000000000017</v>
      </c>
      <c r="AE11" s="162">
        <f t="shared" si="2"/>
        <v>-7.8245074751989163E-3</v>
      </c>
    </row>
    <row r="12" spans="1:40" x14ac:dyDescent="0.25">
      <c r="B12" s="459">
        <v>42545</v>
      </c>
      <c r="C12" s="7">
        <v>100</v>
      </c>
      <c r="D12" s="44">
        <v>80.47</v>
      </c>
      <c r="E12" s="44">
        <v>0</v>
      </c>
      <c r="F12" s="44">
        <f t="shared" si="0"/>
        <v>8047</v>
      </c>
      <c r="G12" s="459">
        <v>42646</v>
      </c>
      <c r="H12" s="82">
        <v>50</v>
      </c>
      <c r="I12" s="44">
        <v>77.7</v>
      </c>
      <c r="J12" s="44">
        <v>0.08</v>
      </c>
      <c r="K12" s="44">
        <f t="shared" si="3"/>
        <v>3884.92</v>
      </c>
      <c r="N12" s="5"/>
      <c r="W12" s="133">
        <v>42754</v>
      </c>
      <c r="X12" s="10">
        <v>71.819999999999993</v>
      </c>
      <c r="Y12" s="10">
        <v>72.25</v>
      </c>
      <c r="Z12" s="10">
        <v>71.23</v>
      </c>
      <c r="AA12" s="10">
        <v>71.569999999999993</v>
      </c>
      <c r="AB12" s="95">
        <v>9799800</v>
      </c>
      <c r="AC12" s="10">
        <v>71.569999999999993</v>
      </c>
      <c r="AD12" s="40">
        <f t="shared" si="1"/>
        <v>1.019999999999996</v>
      </c>
      <c r="AE12" s="162">
        <f t="shared" si="2"/>
        <v>-7.7637598779980443E-3</v>
      </c>
    </row>
    <row r="13" spans="1:40" x14ac:dyDescent="0.25">
      <c r="B13" s="459">
        <v>42577</v>
      </c>
      <c r="C13" s="7">
        <v>20</v>
      </c>
      <c r="D13" s="44">
        <v>80.64</v>
      </c>
      <c r="E13" s="44">
        <v>0</v>
      </c>
      <c r="F13" s="44">
        <f t="shared" si="0"/>
        <v>1612.8</v>
      </c>
      <c r="G13" s="459">
        <v>42683</v>
      </c>
      <c r="H13" s="82">
        <v>50</v>
      </c>
      <c r="I13" s="44">
        <v>78.98</v>
      </c>
      <c r="J13" s="44">
        <v>0.09</v>
      </c>
      <c r="K13" s="44">
        <f t="shared" si="3"/>
        <v>3948.91</v>
      </c>
      <c r="W13" s="133">
        <v>42753</v>
      </c>
      <c r="X13" s="10">
        <v>72.239999999999995</v>
      </c>
      <c r="Y13" s="10">
        <v>72.47</v>
      </c>
      <c r="Z13" s="10">
        <v>71.5</v>
      </c>
      <c r="AA13" s="10">
        <v>72.13</v>
      </c>
      <c r="AB13" s="95">
        <v>9886700</v>
      </c>
      <c r="AC13" s="10">
        <v>72.13</v>
      </c>
      <c r="AD13" s="40">
        <f t="shared" si="1"/>
        <v>0.96999999999999886</v>
      </c>
      <c r="AE13" s="162">
        <f t="shared" si="2"/>
        <v>3.0593797802809242E-3</v>
      </c>
    </row>
    <row r="14" spans="1:40" x14ac:dyDescent="0.25">
      <c r="B14" s="459">
        <v>42580</v>
      </c>
      <c r="C14" s="7">
        <v>30</v>
      </c>
      <c r="D14" s="44">
        <v>79.38</v>
      </c>
      <c r="E14" s="44">
        <v>0</v>
      </c>
      <c r="F14" s="44">
        <f t="shared" si="0"/>
        <v>2381.3999999999996</v>
      </c>
      <c r="G14" s="459">
        <v>42685</v>
      </c>
      <c r="H14" s="82">
        <v>50</v>
      </c>
      <c r="I14" s="7">
        <v>76.45</v>
      </c>
      <c r="J14" s="7">
        <v>0.08</v>
      </c>
      <c r="K14" s="44">
        <f t="shared" si="3"/>
        <v>3822.42</v>
      </c>
      <c r="W14" s="133">
        <v>42752</v>
      </c>
      <c r="X14" s="10">
        <v>72.92</v>
      </c>
      <c r="Y14" s="10">
        <v>72.92</v>
      </c>
      <c r="Z14" s="10">
        <v>71.73</v>
      </c>
      <c r="AA14" s="10">
        <v>71.91</v>
      </c>
      <c r="AB14" s="95">
        <v>11660900</v>
      </c>
      <c r="AC14" s="10">
        <v>71.91</v>
      </c>
      <c r="AD14" s="40">
        <f t="shared" si="1"/>
        <v>1.1899999999999977</v>
      </c>
      <c r="AE14" s="162">
        <f t="shared" si="2"/>
        <v>-1.5875188175721866E-2</v>
      </c>
    </row>
    <row r="15" spans="1:40" x14ac:dyDescent="0.25">
      <c r="B15" s="459">
        <v>42608</v>
      </c>
      <c r="C15" s="7">
        <v>20</v>
      </c>
      <c r="D15" s="44">
        <v>79.28</v>
      </c>
      <c r="E15" s="44">
        <v>0</v>
      </c>
      <c r="F15" s="44">
        <f t="shared" si="0"/>
        <v>1585.6</v>
      </c>
      <c r="G15" s="459">
        <v>42697</v>
      </c>
      <c r="H15" s="82">
        <v>50</v>
      </c>
      <c r="I15" s="44">
        <v>75.3</v>
      </c>
      <c r="J15" s="44">
        <v>0.08</v>
      </c>
      <c r="K15" s="44">
        <f t="shared" si="3"/>
        <v>3764.92</v>
      </c>
      <c r="W15" s="133">
        <v>42748</v>
      </c>
      <c r="X15" s="10">
        <v>73.63</v>
      </c>
      <c r="Y15" s="10">
        <v>73.78</v>
      </c>
      <c r="Z15" s="10">
        <v>73</v>
      </c>
      <c r="AA15" s="10">
        <v>73.069999999999993</v>
      </c>
      <c r="AB15" s="95">
        <v>8218400</v>
      </c>
      <c r="AC15" s="10">
        <v>73.069999999999993</v>
      </c>
      <c r="AD15" s="40">
        <f t="shared" si="1"/>
        <v>0.78000000000000114</v>
      </c>
      <c r="AE15" s="162">
        <f t="shared" si="2"/>
        <v>-3.9531079607416642E-3</v>
      </c>
    </row>
    <row r="16" spans="1:40" x14ac:dyDescent="0.25">
      <c r="B16" s="459">
        <v>42611</v>
      </c>
      <c r="C16" s="7">
        <v>30</v>
      </c>
      <c r="D16" s="44">
        <v>77.680000000000007</v>
      </c>
      <c r="E16" s="44">
        <v>0</v>
      </c>
      <c r="F16" s="44">
        <f t="shared" si="0"/>
        <v>2330.4</v>
      </c>
      <c r="G16" s="459">
        <v>42717</v>
      </c>
      <c r="H16" s="82">
        <v>50</v>
      </c>
      <c r="I16" s="44">
        <v>74.78</v>
      </c>
      <c r="J16" s="44">
        <v>0.08</v>
      </c>
      <c r="K16" s="44">
        <f t="shared" si="3"/>
        <v>3738.92</v>
      </c>
      <c r="W16" s="133">
        <v>42747</v>
      </c>
      <c r="X16" s="10">
        <v>73.53</v>
      </c>
      <c r="Y16" s="10">
        <v>73.680000000000007</v>
      </c>
      <c r="Z16" s="10">
        <v>72.930000000000007</v>
      </c>
      <c r="AA16" s="10">
        <v>73.36</v>
      </c>
      <c r="AB16" s="95">
        <v>7042000</v>
      </c>
      <c r="AC16" s="10">
        <v>73.36</v>
      </c>
      <c r="AD16" s="40">
        <f t="shared" si="1"/>
        <v>0.75</v>
      </c>
      <c r="AE16" s="162">
        <f t="shared" si="2"/>
        <v>-5.5578148298766061E-3</v>
      </c>
    </row>
    <row r="17" spans="1:31" x14ac:dyDescent="0.25">
      <c r="B17" s="459">
        <v>42646</v>
      </c>
      <c r="C17" s="7">
        <v>50</v>
      </c>
      <c r="D17" s="44">
        <v>77.28</v>
      </c>
      <c r="E17" s="44">
        <v>0</v>
      </c>
      <c r="F17" s="44">
        <f t="shared" si="0"/>
        <v>3864</v>
      </c>
      <c r="G17" s="459">
        <v>42717</v>
      </c>
      <c r="H17" s="82">
        <v>50</v>
      </c>
      <c r="I17" s="44">
        <v>75.73</v>
      </c>
      <c r="J17" s="44">
        <v>0.08</v>
      </c>
      <c r="K17" s="44">
        <f t="shared" si="3"/>
        <v>3786.42</v>
      </c>
      <c r="W17" s="133">
        <v>42746</v>
      </c>
      <c r="X17" s="10">
        <v>75.52</v>
      </c>
      <c r="Y17" s="10">
        <v>75.55</v>
      </c>
      <c r="Z17" s="10">
        <v>73.010000000000005</v>
      </c>
      <c r="AA17" s="10">
        <v>73.77</v>
      </c>
      <c r="AB17" s="95">
        <v>14106700</v>
      </c>
      <c r="AC17" s="10">
        <v>73.77</v>
      </c>
      <c r="AD17" s="40">
        <f t="shared" si="1"/>
        <v>2.539999999999992</v>
      </c>
      <c r="AE17" s="162">
        <f t="shared" si="2"/>
        <v>-1.6531129182775772E-2</v>
      </c>
    </row>
    <row r="18" spans="1:31" x14ac:dyDescent="0.25">
      <c r="B18" s="459">
        <v>42649</v>
      </c>
      <c r="C18" s="7">
        <v>50</v>
      </c>
      <c r="D18" s="44">
        <v>76.38</v>
      </c>
      <c r="E18" s="44">
        <v>0</v>
      </c>
      <c r="F18" s="44">
        <f t="shared" si="0"/>
        <v>3819</v>
      </c>
      <c r="G18" s="459">
        <v>42738</v>
      </c>
      <c r="H18" s="82">
        <v>50</v>
      </c>
      <c r="I18" s="44">
        <v>73.58</v>
      </c>
      <c r="J18" s="44">
        <v>0.08</v>
      </c>
      <c r="K18" s="44">
        <f t="shared" si="3"/>
        <v>3678.92</v>
      </c>
      <c r="W18" s="133">
        <v>42745</v>
      </c>
      <c r="X18" s="10">
        <v>76.459999999999994</v>
      </c>
      <c r="Y18" s="10">
        <v>76.5</v>
      </c>
      <c r="Z18" s="10">
        <v>74.930000000000007</v>
      </c>
      <c r="AA18" s="10">
        <v>75.010000000000005</v>
      </c>
      <c r="AB18" s="95">
        <v>8795800</v>
      </c>
      <c r="AC18" s="10">
        <v>75.010000000000005</v>
      </c>
      <c r="AD18" s="40">
        <f t="shared" si="1"/>
        <v>1.5699999999999932</v>
      </c>
      <c r="AE18" s="162">
        <f t="shared" si="2"/>
        <v>-1.0944092827004148E-2</v>
      </c>
    </row>
    <row r="19" spans="1:31" x14ac:dyDescent="0.25">
      <c r="B19" s="459">
        <v>42685</v>
      </c>
      <c r="C19" s="7">
        <v>50</v>
      </c>
      <c r="D19" s="44">
        <v>75.78</v>
      </c>
      <c r="E19" s="44">
        <v>0</v>
      </c>
      <c r="F19" s="44">
        <f t="shared" si="0"/>
        <v>3789</v>
      </c>
      <c r="G19" s="459">
        <v>42760</v>
      </c>
      <c r="H19" s="82">
        <v>50</v>
      </c>
      <c r="I19" s="44">
        <v>71.78</v>
      </c>
      <c r="J19" s="44">
        <v>0.08</v>
      </c>
      <c r="K19" s="44">
        <f t="shared" si="3"/>
        <v>3588.92</v>
      </c>
      <c r="W19" s="133">
        <v>42744</v>
      </c>
      <c r="X19" s="10">
        <v>75.930000000000007</v>
      </c>
      <c r="Y19" s="10">
        <v>76.09</v>
      </c>
      <c r="Z19" s="10">
        <v>75.27</v>
      </c>
      <c r="AA19" s="10">
        <v>75.84</v>
      </c>
      <c r="AB19" s="95">
        <v>10152000</v>
      </c>
      <c r="AC19" s="10">
        <v>75.84</v>
      </c>
      <c r="AD19" s="40">
        <f t="shared" si="1"/>
        <v>0.82000000000000739</v>
      </c>
      <c r="AE19" s="162">
        <f t="shared" si="2"/>
        <v>4.6363756788980748E-3</v>
      </c>
    </row>
    <row r="20" spans="1:31" x14ac:dyDescent="0.25">
      <c r="B20" s="459">
        <v>42692</v>
      </c>
      <c r="C20" s="7">
        <v>50</v>
      </c>
      <c r="D20" s="44">
        <v>74.45</v>
      </c>
      <c r="E20" s="44">
        <v>0</v>
      </c>
      <c r="F20" s="44">
        <f t="shared" si="0"/>
        <v>3722.5</v>
      </c>
      <c r="W20" s="133">
        <v>42741</v>
      </c>
      <c r="X20" s="10">
        <v>76.45</v>
      </c>
      <c r="Y20" s="10">
        <v>76.5</v>
      </c>
      <c r="Z20" s="10">
        <v>75.41</v>
      </c>
      <c r="AA20" s="10">
        <v>75.489999999999995</v>
      </c>
      <c r="AB20" s="95">
        <v>8949200</v>
      </c>
      <c r="AC20" s="10">
        <v>75.489999999999995</v>
      </c>
      <c r="AD20" s="40">
        <f t="shared" si="1"/>
        <v>1.0900000000000034</v>
      </c>
      <c r="AE20" s="162">
        <f t="shared" si="2"/>
        <v>-6.84120510459163E-3</v>
      </c>
    </row>
    <row r="21" spans="1:31" x14ac:dyDescent="0.25">
      <c r="B21" s="74">
        <v>42705</v>
      </c>
      <c r="C21" s="7">
        <v>50</v>
      </c>
      <c r="D21" s="44">
        <v>73.319999999999993</v>
      </c>
      <c r="E21" s="44">
        <v>0</v>
      </c>
      <c r="F21" s="44">
        <f t="shared" si="0"/>
        <v>3665.9999999999995</v>
      </c>
      <c r="W21" s="133">
        <v>42740</v>
      </c>
      <c r="X21" s="10">
        <v>76.84</v>
      </c>
      <c r="Y21" s="10">
        <v>76.849999999999994</v>
      </c>
      <c r="Z21" s="10">
        <v>75.569999999999993</v>
      </c>
      <c r="AA21" s="10">
        <v>76.010000000000005</v>
      </c>
      <c r="AB21" s="95">
        <v>9410700</v>
      </c>
      <c r="AC21" s="10">
        <v>76.010000000000005</v>
      </c>
      <c r="AD21" s="40">
        <f t="shared" si="1"/>
        <v>1.2800000000000011</v>
      </c>
      <c r="AE21" s="162">
        <f t="shared" si="2"/>
        <v>-4.8442000523696294E-3</v>
      </c>
    </row>
    <row r="22" spans="1:31" x14ac:dyDescent="0.25">
      <c r="B22" s="74">
        <v>42717</v>
      </c>
      <c r="C22" s="7">
        <v>50</v>
      </c>
      <c r="D22" s="44">
        <v>75.180000000000007</v>
      </c>
      <c r="E22" s="44">
        <v>0</v>
      </c>
      <c r="F22" s="44">
        <f t="shared" si="0"/>
        <v>3759.0000000000005</v>
      </c>
      <c r="W22" s="133">
        <v>42739</v>
      </c>
      <c r="X22" s="10">
        <v>74.53</v>
      </c>
      <c r="Y22" s="10">
        <v>76.98</v>
      </c>
      <c r="Z22" s="10">
        <v>74.38</v>
      </c>
      <c r="AA22" s="10">
        <v>76.38</v>
      </c>
      <c r="AB22" s="95">
        <v>14753300</v>
      </c>
      <c r="AC22" s="10">
        <v>76.38</v>
      </c>
      <c r="AD22" s="40">
        <f t="shared" si="1"/>
        <v>2.6000000000000085</v>
      </c>
      <c r="AE22" s="162">
        <f t="shared" si="2"/>
        <v>2.9935275080906099E-2</v>
      </c>
    </row>
    <row r="23" spans="1:31" x14ac:dyDescent="0.25">
      <c r="B23" s="74">
        <v>42733</v>
      </c>
      <c r="C23" s="4">
        <v>50</v>
      </c>
      <c r="D23" s="3">
        <v>72.08</v>
      </c>
      <c r="E23" s="3">
        <v>0</v>
      </c>
      <c r="F23" s="3">
        <f t="shared" si="0"/>
        <v>3604</v>
      </c>
      <c r="W23" s="133">
        <v>42738</v>
      </c>
      <c r="X23" s="10">
        <v>72.34</v>
      </c>
      <c r="Y23" s="10">
        <v>74.23</v>
      </c>
      <c r="Z23" s="10">
        <v>72.180000000000007</v>
      </c>
      <c r="AA23" s="10">
        <v>74.16</v>
      </c>
      <c r="AB23" s="95">
        <v>10880000</v>
      </c>
      <c r="AC23" s="10">
        <v>74.16</v>
      </c>
      <c r="AD23" s="40">
        <f t="shared" si="1"/>
        <v>2.0499999999999972</v>
      </c>
      <c r="AE23" s="162">
        <f t="shared" si="2"/>
        <v>3.5609551738583933E-2</v>
      </c>
    </row>
    <row r="24" spans="1:31" x14ac:dyDescent="0.25">
      <c r="B24" s="503">
        <v>42752</v>
      </c>
      <c r="C24" s="4">
        <v>50</v>
      </c>
      <c r="D24" s="2">
        <v>71.88</v>
      </c>
      <c r="E24" s="2">
        <v>0</v>
      </c>
      <c r="F24" s="2">
        <f t="shared" si="0"/>
        <v>3594</v>
      </c>
      <c r="W24" s="133">
        <v>42734</v>
      </c>
      <c r="X24" s="10">
        <v>72.03</v>
      </c>
      <c r="Y24" s="10">
        <v>72.260000000000005</v>
      </c>
      <c r="Z24" s="10">
        <v>71.3</v>
      </c>
      <c r="AA24" s="10">
        <v>71.61</v>
      </c>
      <c r="AB24" s="95">
        <v>9198400</v>
      </c>
      <c r="AC24" s="10">
        <v>71.61</v>
      </c>
      <c r="AD24" s="40">
        <f t="shared" si="1"/>
        <v>0.96000000000000796</v>
      </c>
      <c r="AE24" s="162">
        <f t="shared" si="2"/>
        <v>-7.2092056009981365E-3</v>
      </c>
    </row>
    <row r="25" spans="1:31" x14ac:dyDescent="0.25">
      <c r="B25" s="503">
        <v>42755</v>
      </c>
      <c r="C25" s="4">
        <v>50</v>
      </c>
      <c r="D25" s="3">
        <v>70.78</v>
      </c>
      <c r="E25" s="3">
        <v>0</v>
      </c>
      <c r="F25" s="3">
        <f t="shared" si="0"/>
        <v>3539</v>
      </c>
      <c r="W25" s="133">
        <v>42733</v>
      </c>
      <c r="X25" s="10">
        <v>72.77</v>
      </c>
      <c r="Y25" s="10">
        <v>72.849999999999994</v>
      </c>
      <c r="Z25" s="10">
        <v>71.94</v>
      </c>
      <c r="AA25" s="10">
        <v>72.13</v>
      </c>
      <c r="AB25" s="95">
        <v>7500600</v>
      </c>
      <c r="AC25" s="10">
        <v>72.13</v>
      </c>
      <c r="AD25" s="40">
        <f t="shared" si="1"/>
        <v>0.90999999999999659</v>
      </c>
      <c r="AE25" s="162">
        <f t="shared" si="2"/>
        <v>-8.7948330355915871E-3</v>
      </c>
    </row>
    <row r="26" spans="1:31" x14ac:dyDescent="0.25">
      <c r="W26" s="133">
        <v>42732</v>
      </c>
      <c r="X26" s="10">
        <v>73.61</v>
      </c>
      <c r="Y26" s="10">
        <v>73.7</v>
      </c>
      <c r="Z26" s="10">
        <v>72.62</v>
      </c>
      <c r="AA26" s="10">
        <v>72.77</v>
      </c>
      <c r="AB26" s="95">
        <v>6333000</v>
      </c>
      <c r="AC26" s="10">
        <v>72.77</v>
      </c>
      <c r="AD26" s="40">
        <f t="shared" si="1"/>
        <v>1.0799999999999983</v>
      </c>
      <c r="AE26" s="162">
        <f t="shared" si="2"/>
        <v>-1.3020480130204959E-2</v>
      </c>
    </row>
    <row r="27" spans="1:31" x14ac:dyDescent="0.25">
      <c r="W27" s="133">
        <v>42731</v>
      </c>
      <c r="X27" s="10">
        <v>73.52</v>
      </c>
      <c r="Y27" s="10">
        <v>74.8</v>
      </c>
      <c r="Z27" s="10">
        <v>73.510000000000005</v>
      </c>
      <c r="AA27" s="10">
        <v>73.73</v>
      </c>
      <c r="AB27" s="95">
        <v>6625700</v>
      </c>
      <c r="AC27" s="10">
        <v>73.73</v>
      </c>
      <c r="AD27" s="40">
        <f t="shared" si="1"/>
        <v>1.289999999999992</v>
      </c>
      <c r="AE27" s="162">
        <f t="shared" si="2"/>
        <v>1.2221618685497315E-3</v>
      </c>
    </row>
    <row r="28" spans="1:31" x14ac:dyDescent="0.25">
      <c r="W28" s="133">
        <v>42727</v>
      </c>
      <c r="X28" s="10">
        <v>73.3</v>
      </c>
      <c r="Y28" s="10">
        <v>73.89</v>
      </c>
      <c r="Z28" s="10">
        <v>73.22</v>
      </c>
      <c r="AA28" s="10">
        <v>73.64</v>
      </c>
      <c r="AB28" s="95">
        <v>5304700</v>
      </c>
      <c r="AC28" s="10">
        <v>73.64</v>
      </c>
      <c r="AD28" s="40">
        <f t="shared" si="1"/>
        <v>0.67000000000000171</v>
      </c>
      <c r="AE28" s="162">
        <f t="shared" si="2"/>
        <v>4.6384720327421469E-3</v>
      </c>
    </row>
    <row r="29" spans="1:31" x14ac:dyDescent="0.25">
      <c r="W29" s="133">
        <v>42726</v>
      </c>
      <c r="X29" s="10">
        <v>73.680000000000007</v>
      </c>
      <c r="Y29" s="10">
        <v>73.75</v>
      </c>
      <c r="Z29" s="10">
        <v>72.92</v>
      </c>
      <c r="AA29" s="10">
        <v>73.3</v>
      </c>
      <c r="AB29" s="95">
        <v>8413800</v>
      </c>
      <c r="AC29" s="10">
        <v>73.3</v>
      </c>
      <c r="AD29" s="40">
        <f t="shared" si="1"/>
        <v>0.82999999999999829</v>
      </c>
      <c r="AE29" s="162">
        <f t="shared" si="2"/>
        <v>-8.9237425635477763E-3</v>
      </c>
    </row>
    <row r="30" spans="1:31" x14ac:dyDescent="0.25">
      <c r="C30" s="4"/>
      <c r="D30" s="3"/>
      <c r="E30" s="3"/>
      <c r="F30" s="3"/>
      <c r="H30" s="72"/>
      <c r="W30" s="133">
        <v>42725</v>
      </c>
      <c r="X30" s="10">
        <v>74.03</v>
      </c>
      <c r="Y30" s="10">
        <v>74.83</v>
      </c>
      <c r="Z30" s="10">
        <v>73.56</v>
      </c>
      <c r="AA30" s="10">
        <v>73.959999999999994</v>
      </c>
      <c r="AB30" s="95">
        <v>7018700</v>
      </c>
      <c r="AC30" s="10">
        <v>73.959999999999994</v>
      </c>
      <c r="AD30" s="40">
        <f t="shared" si="1"/>
        <v>1.269999999999996</v>
      </c>
      <c r="AE30" s="162">
        <f t="shared" si="2"/>
        <v>-1.2153950033761962E-3</v>
      </c>
    </row>
    <row r="31" spans="1:31" x14ac:dyDescent="0.25">
      <c r="A31" s="22" t="s">
        <v>81</v>
      </c>
      <c r="B31" s="12"/>
      <c r="C31" s="12">
        <f>SUM(C2:C30)</f>
        <v>825</v>
      </c>
      <c r="D31" s="13"/>
      <c r="E31" s="13"/>
      <c r="F31" s="13">
        <f>SUM(F2:F30)</f>
        <v>65890.2</v>
      </c>
      <c r="G31" s="12"/>
      <c r="H31" s="77">
        <f>SUM(H2:H30)</f>
        <v>575</v>
      </c>
      <c r="I31" s="12"/>
      <c r="J31" s="12"/>
      <c r="K31" s="13">
        <f>SUM(K2:K30)</f>
        <v>45835.069999999992</v>
      </c>
      <c r="L31" s="12"/>
      <c r="M31" s="13">
        <f>SUM(M2:M30)</f>
        <v>305.8</v>
      </c>
      <c r="W31" s="133">
        <v>42724</v>
      </c>
      <c r="X31" s="10">
        <v>74.510000000000005</v>
      </c>
      <c r="Y31" s="10">
        <v>74.63</v>
      </c>
      <c r="Z31" s="10">
        <v>73.430000000000007</v>
      </c>
      <c r="AA31" s="10">
        <v>74.05</v>
      </c>
      <c r="AB31" s="95">
        <v>8452000</v>
      </c>
      <c r="AC31" s="10">
        <v>74.05</v>
      </c>
      <c r="AD31" s="40">
        <f t="shared" si="1"/>
        <v>1.1999999999999886</v>
      </c>
      <c r="AE31" s="162">
        <f t="shared" si="2"/>
        <v>-4.7043010752689796E-3</v>
      </c>
    </row>
    <row r="32" spans="1:31" ht="15.75" thickBot="1" x14ac:dyDescent="0.3">
      <c r="A32" s="356" t="s">
        <v>198</v>
      </c>
      <c r="B32" s="357"/>
      <c r="C32" s="358">
        <f>SumByColor($A$32,C2:C30)</f>
        <v>575</v>
      </c>
      <c r="D32" s="358"/>
      <c r="E32" s="358"/>
      <c r="F32" s="359">
        <f>SumByColor($A$32,F2:F30)</f>
        <v>45793</v>
      </c>
      <c r="G32" s="358"/>
      <c r="H32" s="358">
        <f>SumByColor($A$32,H2:H30)</f>
        <v>575</v>
      </c>
      <c r="I32" s="358"/>
      <c r="J32" s="358"/>
      <c r="K32" s="359">
        <f>SumByColor($A$32,K2:K30)</f>
        <v>45834</v>
      </c>
      <c r="L32" s="358"/>
      <c r="M32" s="359">
        <f>SumByColor($A$32,M2:M30)</f>
        <v>0</v>
      </c>
      <c r="W32" s="133">
        <v>42723</v>
      </c>
      <c r="X32" s="10">
        <v>73.61</v>
      </c>
      <c r="Y32" s="10">
        <v>75.3</v>
      </c>
      <c r="Z32" s="10">
        <v>73.55</v>
      </c>
      <c r="AA32" s="10">
        <v>74.400000000000006</v>
      </c>
      <c r="AB32" s="95">
        <v>8212200</v>
      </c>
      <c r="AC32" s="10">
        <v>74.400000000000006</v>
      </c>
      <c r="AD32" s="40">
        <f t="shared" si="1"/>
        <v>1.75</v>
      </c>
      <c r="AE32" s="162">
        <f t="shared" si="2"/>
        <v>4.0485829959515662E-3</v>
      </c>
    </row>
    <row r="33" spans="1:31" x14ac:dyDescent="0.25">
      <c r="W33" s="133">
        <v>42720</v>
      </c>
      <c r="X33" s="10">
        <v>74.430000000000007</v>
      </c>
      <c r="Y33" s="10">
        <v>74.959999999999994</v>
      </c>
      <c r="Z33" s="10">
        <v>73.94</v>
      </c>
      <c r="AA33" s="10">
        <v>74.099999999999994</v>
      </c>
      <c r="AB33" s="95">
        <v>14437500</v>
      </c>
      <c r="AC33" s="10">
        <v>74.099999999999994</v>
      </c>
      <c r="AD33" s="40">
        <f t="shared" si="1"/>
        <v>1.019999999999996</v>
      </c>
      <c r="AE33" s="162">
        <f t="shared" si="2"/>
        <v>-1.9192587690271434E-2</v>
      </c>
    </row>
    <row r="34" spans="1:31" x14ac:dyDescent="0.25">
      <c r="W34" s="133">
        <v>42719</v>
      </c>
      <c r="X34" s="10">
        <v>75.8</v>
      </c>
      <c r="Y34" s="10">
        <v>75.989999999999995</v>
      </c>
      <c r="Z34" s="10">
        <v>74.91</v>
      </c>
      <c r="AA34" s="10">
        <v>75.55</v>
      </c>
      <c r="AB34" s="95">
        <v>9448800</v>
      </c>
      <c r="AC34" s="10">
        <v>75.55</v>
      </c>
      <c r="AD34" s="40">
        <f t="shared" si="1"/>
        <v>1.0799999999999983</v>
      </c>
      <c r="AE34" s="162">
        <f t="shared" si="2"/>
        <v>-2.1133271694623312E-3</v>
      </c>
    </row>
    <row r="35" spans="1:31" x14ac:dyDescent="0.25">
      <c r="W35" s="133">
        <v>42718</v>
      </c>
      <c r="X35" s="10">
        <v>74.86</v>
      </c>
      <c r="Y35" s="10">
        <v>76.319999999999993</v>
      </c>
      <c r="Z35" s="10">
        <v>74.86</v>
      </c>
      <c r="AA35" s="10">
        <v>75.709999999999994</v>
      </c>
      <c r="AB35" s="95">
        <v>11822800</v>
      </c>
      <c r="AC35" s="10">
        <v>75.709999999999994</v>
      </c>
      <c r="AD35" s="40">
        <f t="shared" si="1"/>
        <v>1.4599999999999937</v>
      </c>
      <c r="AE35" s="162">
        <f t="shared" si="2"/>
        <v>1.1624799572421018E-2</v>
      </c>
    </row>
    <row r="36" spans="1:31" x14ac:dyDescent="0.25">
      <c r="W36" s="133">
        <v>42717</v>
      </c>
      <c r="X36" s="10">
        <v>73.41</v>
      </c>
      <c r="Y36" s="10">
        <v>75.87</v>
      </c>
      <c r="Z36" s="10">
        <v>73.400000000000006</v>
      </c>
      <c r="AA36" s="10">
        <v>74.84</v>
      </c>
      <c r="AB36" s="95">
        <v>12693000</v>
      </c>
      <c r="AC36" s="10">
        <v>74.84</v>
      </c>
      <c r="AD36" s="40">
        <f t="shared" si="1"/>
        <v>2.4699999999999989</v>
      </c>
      <c r="AE36" s="162" t="e">
        <f t="shared" si="2"/>
        <v>#DIV/0!</v>
      </c>
    </row>
    <row r="37" spans="1:31" x14ac:dyDescent="0.25">
      <c r="W37" s="133">
        <v>42717</v>
      </c>
      <c r="X37" s="10" t="s">
        <v>225</v>
      </c>
      <c r="Y37" s="10"/>
      <c r="Z37" s="10"/>
      <c r="AA37" s="10"/>
      <c r="AB37" s="95"/>
      <c r="AC37" s="10"/>
      <c r="AD37" s="40">
        <f t="shared" si="1"/>
        <v>0</v>
      </c>
      <c r="AE37" s="162">
        <f t="shared" si="2"/>
        <v>-1</v>
      </c>
    </row>
    <row r="38" spans="1:31" x14ac:dyDescent="0.25">
      <c r="A38" s="8"/>
      <c r="B38" s="8"/>
      <c r="C38" s="8"/>
      <c r="D38" s="20"/>
      <c r="E38" s="20"/>
      <c r="F38" s="20"/>
      <c r="G38" s="8"/>
      <c r="H38" s="8"/>
      <c r="I38" s="8"/>
      <c r="J38" s="8"/>
      <c r="K38" s="8"/>
      <c r="L38" s="8"/>
      <c r="M38" s="8"/>
      <c r="W38" s="133">
        <v>42716</v>
      </c>
      <c r="X38" s="10">
        <v>72.56</v>
      </c>
      <c r="Y38" s="10">
        <v>73.680000000000007</v>
      </c>
      <c r="Z38" s="10">
        <v>72.13</v>
      </c>
      <c r="AA38" s="10">
        <v>73.47</v>
      </c>
      <c r="AB38" s="95">
        <v>9475900</v>
      </c>
      <c r="AC38" s="10">
        <v>73</v>
      </c>
      <c r="AD38" s="40">
        <f t="shared" si="1"/>
        <v>1.5500000000000114</v>
      </c>
      <c r="AE38" s="162">
        <f t="shared" si="2"/>
        <v>1.0660390419493293E-2</v>
      </c>
    </row>
    <row r="39" spans="1:31" x14ac:dyDescent="0.25">
      <c r="A39" s="8"/>
      <c r="B39" s="191" t="s">
        <v>114</v>
      </c>
      <c r="C39" s="191" t="s">
        <v>147</v>
      </c>
      <c r="D39" s="192" t="s">
        <v>146</v>
      </c>
      <c r="E39" s="194" t="s">
        <v>148</v>
      </c>
      <c r="F39" s="195" t="s">
        <v>65</v>
      </c>
      <c r="G39" s="229" t="s">
        <v>152</v>
      </c>
      <c r="H39" s="195" t="s">
        <v>88</v>
      </c>
      <c r="I39" s="195" t="s">
        <v>155</v>
      </c>
      <c r="J39" s="8"/>
      <c r="K39" s="8"/>
      <c r="L39" s="8"/>
      <c r="M39" s="8"/>
      <c r="W39" s="133">
        <v>42713</v>
      </c>
      <c r="X39" s="10">
        <v>72.34</v>
      </c>
      <c r="Y39" s="10">
        <v>73.13</v>
      </c>
      <c r="Z39" s="10">
        <v>71.95</v>
      </c>
      <c r="AA39" s="10">
        <v>72.7</v>
      </c>
      <c r="AB39" s="95">
        <v>9936300</v>
      </c>
      <c r="AC39" s="10">
        <v>72.23</v>
      </c>
      <c r="AD39" s="40">
        <f t="shared" si="1"/>
        <v>1.1799999999999926</v>
      </c>
      <c r="AE39" s="162">
        <f t="shared" si="2"/>
        <v>9.3627724986025118E-3</v>
      </c>
    </row>
    <row r="40" spans="1:31" x14ac:dyDescent="0.25">
      <c r="B40" s="193">
        <v>42304</v>
      </c>
      <c r="C40" s="10">
        <v>25</v>
      </c>
      <c r="D40" s="40">
        <v>102.2</v>
      </c>
      <c r="E40" s="40">
        <v>110.96</v>
      </c>
      <c r="F40" s="40">
        <f>C40*(E40-D40)</f>
        <v>218.99999999999977</v>
      </c>
      <c r="G40" s="40">
        <f>D40*C40</f>
        <v>2555</v>
      </c>
      <c r="H40" s="231">
        <f>(E40-D40)/D40</f>
        <v>8.5714285714285618E-2</v>
      </c>
      <c r="I40" s="352"/>
      <c r="W40" s="133">
        <v>42712</v>
      </c>
      <c r="X40" s="10">
        <v>72.459999999999994</v>
      </c>
      <c r="Y40" s="10">
        <v>72.599999999999994</v>
      </c>
      <c r="Z40" s="10">
        <v>70.83</v>
      </c>
      <c r="AA40" s="10">
        <v>72.02</v>
      </c>
      <c r="AB40" s="95">
        <v>12333500</v>
      </c>
      <c r="AC40" s="10">
        <v>71.56</v>
      </c>
      <c r="AD40" s="40">
        <f t="shared" si="1"/>
        <v>1.769999999999996</v>
      </c>
      <c r="AE40" s="162">
        <f t="shared" si="2"/>
        <v>-1.0372009403955218E-2</v>
      </c>
    </row>
    <row r="41" spans="1:31" x14ac:dyDescent="0.25">
      <c r="B41" s="193">
        <v>42332</v>
      </c>
      <c r="C41" s="10">
        <v>25</v>
      </c>
      <c r="D41" s="40">
        <v>102.2</v>
      </c>
      <c r="E41" s="40">
        <v>106.36</v>
      </c>
      <c r="F41" s="40">
        <f t="shared" ref="F41:F49" si="4">C41*(E41-D41)</f>
        <v>103.99999999999991</v>
      </c>
      <c r="G41" s="40">
        <f t="shared" ref="G41:G49" si="5">D41*C41</f>
        <v>2555</v>
      </c>
      <c r="H41" s="231">
        <f t="shared" ref="H41:H49" si="6">(E41-D41)/D41</f>
        <v>4.070450097847355E-2</v>
      </c>
      <c r="I41" s="352"/>
      <c r="W41" s="133">
        <v>42711</v>
      </c>
      <c r="X41" s="10">
        <v>71.78</v>
      </c>
      <c r="Y41" s="10">
        <v>72.900000000000006</v>
      </c>
      <c r="Z41" s="10">
        <v>71.55</v>
      </c>
      <c r="AA41" s="10">
        <v>72.78</v>
      </c>
      <c r="AB41" s="95">
        <v>13061000</v>
      </c>
      <c r="AC41" s="10">
        <v>72.31</v>
      </c>
      <c r="AD41" s="40">
        <f t="shared" si="1"/>
        <v>1.3500000000000085</v>
      </c>
      <c r="AE41" s="162">
        <f t="shared" si="2"/>
        <v>4.1660880433271874E-3</v>
      </c>
    </row>
    <row r="42" spans="1:31" ht="20.25" thickBot="1" x14ac:dyDescent="0.35">
      <c r="B42" s="193">
        <v>42349</v>
      </c>
      <c r="C42" s="10">
        <v>25</v>
      </c>
      <c r="D42" s="40">
        <v>102.2</v>
      </c>
      <c r="E42" s="40">
        <v>100.03</v>
      </c>
      <c r="F42" s="40">
        <f t="shared" si="4"/>
        <v>-54.250000000000043</v>
      </c>
      <c r="G42" s="40">
        <f t="shared" si="5"/>
        <v>2555</v>
      </c>
      <c r="H42" s="231">
        <f t="shared" si="6"/>
        <v>-2.1232876712328784E-2</v>
      </c>
      <c r="I42" s="352"/>
      <c r="O42" s="638" t="s">
        <v>78</v>
      </c>
      <c r="P42" s="638"/>
      <c r="T42" s="91" t="s">
        <v>113</v>
      </c>
      <c r="W42" s="133">
        <v>42710</v>
      </c>
      <c r="X42" s="10">
        <v>72.67</v>
      </c>
      <c r="Y42" s="10">
        <v>72.67</v>
      </c>
      <c r="Z42" s="10">
        <v>71.95</v>
      </c>
      <c r="AA42" s="10">
        <v>72.47</v>
      </c>
      <c r="AB42" s="95">
        <v>8723900</v>
      </c>
      <c r="AC42" s="10">
        <v>72.010000000000005</v>
      </c>
      <c r="AD42" s="40">
        <f t="shared" si="1"/>
        <v>0.71999999999999886</v>
      </c>
      <c r="AE42" s="162">
        <f t="shared" si="2"/>
        <v>1.5299026425590334E-3</v>
      </c>
    </row>
    <row r="43" spans="1:31" ht="15.75" thickTop="1" x14ac:dyDescent="0.25">
      <c r="B43" s="193">
        <v>42361</v>
      </c>
      <c r="C43" s="10">
        <v>25</v>
      </c>
      <c r="D43" s="40">
        <v>102.2</v>
      </c>
      <c r="E43" s="40">
        <v>102.86</v>
      </c>
      <c r="F43" s="40">
        <f t="shared" si="4"/>
        <v>16.499999999999915</v>
      </c>
      <c r="G43" s="40">
        <f t="shared" si="5"/>
        <v>2555</v>
      </c>
      <c r="H43" s="231">
        <f t="shared" si="6"/>
        <v>6.4579256360077939E-3</v>
      </c>
      <c r="I43" s="352"/>
      <c r="O43" s="83">
        <v>1.1000000000000001</v>
      </c>
      <c r="P43" s="83">
        <f>O43*$Q$4</f>
        <v>79.574000000000012</v>
      </c>
      <c r="Q43" s="2"/>
      <c r="T43" s="128" t="s">
        <v>98</v>
      </c>
      <c r="U43" s="98">
        <v>72.819999999999993</v>
      </c>
      <c r="W43" s="133">
        <v>42709</v>
      </c>
      <c r="X43" s="10">
        <v>72.790000000000006</v>
      </c>
      <c r="Y43" s="10">
        <v>72.97</v>
      </c>
      <c r="Z43" s="10">
        <v>71.930000000000007</v>
      </c>
      <c r="AA43" s="10">
        <v>72.36</v>
      </c>
      <c r="AB43" s="95">
        <v>9985900</v>
      </c>
      <c r="AC43" s="10">
        <v>71.900000000000006</v>
      </c>
      <c r="AD43" s="40">
        <f t="shared" si="1"/>
        <v>1.039999999999992</v>
      </c>
      <c r="AE43" s="162">
        <f t="shared" si="2"/>
        <v>-8.3379655364079763E-4</v>
      </c>
    </row>
    <row r="44" spans="1:31" x14ac:dyDescent="0.25">
      <c r="B44" s="193">
        <v>42376</v>
      </c>
      <c r="C44" s="442">
        <v>50</v>
      </c>
      <c r="D44" s="447">
        <v>99.13</v>
      </c>
      <c r="E44" s="339">
        <v>96.25</v>
      </c>
      <c r="F44" s="40">
        <f t="shared" si="4"/>
        <v>-143.99999999999977</v>
      </c>
      <c r="G44" s="40">
        <f t="shared" si="5"/>
        <v>4956.5</v>
      </c>
      <c r="H44" s="231">
        <f t="shared" si="6"/>
        <v>-2.9052759003328918E-2</v>
      </c>
      <c r="I44" s="352"/>
      <c r="O44" s="83">
        <v>1.0900000000000001</v>
      </c>
      <c r="P44" s="83">
        <f t="shared" ref="P44:P63" si="7">O44*$Q$4</f>
        <v>78.850600000000014</v>
      </c>
      <c r="Q44" s="2"/>
      <c r="T44" s="93" t="s">
        <v>99</v>
      </c>
      <c r="U44" s="88">
        <v>72.61</v>
      </c>
      <c r="W44" s="133">
        <v>42706</v>
      </c>
      <c r="X44" s="10">
        <v>73.040000000000006</v>
      </c>
      <c r="Y44" s="10">
        <v>73.599999999999994</v>
      </c>
      <c r="Z44" s="10">
        <v>72.16</v>
      </c>
      <c r="AA44" s="10">
        <v>72.42</v>
      </c>
      <c r="AB44" s="95">
        <v>9227900</v>
      </c>
      <c r="AC44" s="10">
        <v>71.959999999999994</v>
      </c>
      <c r="AD44" s="40">
        <f t="shared" si="1"/>
        <v>1.4399999999999977</v>
      </c>
      <c r="AE44" s="162">
        <f t="shared" si="2"/>
        <v>-5.665330938234181E-3</v>
      </c>
    </row>
    <row r="45" spans="1:31" x14ac:dyDescent="0.25">
      <c r="B45" s="193">
        <v>42402</v>
      </c>
      <c r="C45" s="282">
        <v>60</v>
      </c>
      <c r="D45" s="339">
        <v>96.37</v>
      </c>
      <c r="E45" s="339">
        <v>82.71</v>
      </c>
      <c r="F45" s="40">
        <f t="shared" si="4"/>
        <v>-819.60000000000059</v>
      </c>
      <c r="G45" s="40">
        <f t="shared" si="5"/>
        <v>5782.2000000000007</v>
      </c>
      <c r="H45" s="231">
        <f t="shared" si="6"/>
        <v>-0.14174535643872585</v>
      </c>
      <c r="I45" s="352"/>
      <c r="O45" s="83">
        <v>1.08</v>
      </c>
      <c r="P45" s="83">
        <f t="shared" si="7"/>
        <v>78.127200000000002</v>
      </c>
      <c r="Q45" s="2"/>
      <c r="T45" s="93" t="s">
        <v>100</v>
      </c>
      <c r="U45" s="88" t="s">
        <v>661</v>
      </c>
      <c r="W45" s="133">
        <v>42705</v>
      </c>
      <c r="X45" s="10">
        <v>73.97</v>
      </c>
      <c r="Y45" s="10">
        <v>74.03</v>
      </c>
      <c r="Z45" s="10">
        <v>72.72</v>
      </c>
      <c r="AA45" s="10">
        <v>72.84</v>
      </c>
      <c r="AB45" s="95">
        <v>8270200</v>
      </c>
      <c r="AC45" s="10">
        <v>72.37</v>
      </c>
      <c r="AD45" s="40">
        <f t="shared" si="1"/>
        <v>1.3100000000000023</v>
      </c>
      <c r="AE45" s="162">
        <f t="shared" si="2"/>
        <v>-1.1743820838454155E-2</v>
      </c>
    </row>
    <row r="46" spans="1:31" x14ac:dyDescent="0.25">
      <c r="B46" s="193">
        <v>42409</v>
      </c>
      <c r="C46" s="282">
        <v>50</v>
      </c>
      <c r="D46" s="339">
        <v>98.03</v>
      </c>
      <c r="E46" s="339">
        <v>87.25</v>
      </c>
      <c r="F46" s="40">
        <f t="shared" si="4"/>
        <v>-539</v>
      </c>
      <c r="G46" s="40">
        <f t="shared" si="5"/>
        <v>4901.5</v>
      </c>
      <c r="H46" s="231">
        <f t="shared" si="6"/>
        <v>-0.10996633683566256</v>
      </c>
      <c r="I46" s="352"/>
      <c r="O46" s="83">
        <v>1.07</v>
      </c>
      <c r="P46" s="83">
        <f t="shared" si="7"/>
        <v>77.403800000000004</v>
      </c>
      <c r="Q46" s="2"/>
      <c r="T46" s="93" t="s">
        <v>101</v>
      </c>
      <c r="U46" s="88" t="s">
        <v>662</v>
      </c>
      <c r="W46" s="133">
        <v>42704</v>
      </c>
      <c r="X46" s="10">
        <v>75</v>
      </c>
      <c r="Y46" s="10">
        <v>75.08</v>
      </c>
      <c r="Z46" s="10">
        <v>73.59</v>
      </c>
      <c r="AA46" s="10">
        <v>73.7</v>
      </c>
      <c r="AB46" s="95">
        <v>10627300</v>
      </c>
      <c r="AC46" s="10">
        <v>73.23</v>
      </c>
      <c r="AD46" s="40">
        <f t="shared" si="1"/>
        <v>1.4899999999999949</v>
      </c>
      <c r="AE46" s="162">
        <f t="shared" si="2"/>
        <v>-1.5593493749159748E-2</v>
      </c>
    </row>
    <row r="47" spans="1:31" x14ac:dyDescent="0.25">
      <c r="B47" s="193">
        <v>42426</v>
      </c>
      <c r="C47" s="282">
        <v>70</v>
      </c>
      <c r="D47" s="339">
        <v>95.18</v>
      </c>
      <c r="E47" s="339">
        <v>88.03</v>
      </c>
      <c r="F47" s="40">
        <f t="shared" si="4"/>
        <v>-500.5000000000004</v>
      </c>
      <c r="G47" s="40">
        <f t="shared" si="5"/>
        <v>6662.6</v>
      </c>
      <c r="H47" s="232">
        <f t="shared" si="6"/>
        <v>-7.5120823702458553E-2</v>
      </c>
      <c r="I47" s="353"/>
      <c r="O47" s="83">
        <v>1.06</v>
      </c>
      <c r="P47" s="83">
        <f t="shared" si="7"/>
        <v>76.680400000000006</v>
      </c>
      <c r="Q47" s="2"/>
      <c r="T47" s="93" t="s">
        <v>102</v>
      </c>
      <c r="U47" s="88">
        <v>93.58</v>
      </c>
      <c r="W47" s="133">
        <v>42703</v>
      </c>
      <c r="X47" s="10">
        <v>74.69</v>
      </c>
      <c r="Y47" s="10">
        <v>75.400000000000006</v>
      </c>
      <c r="Z47" s="10">
        <v>74.290000000000006</v>
      </c>
      <c r="AA47" s="10">
        <v>74.87</v>
      </c>
      <c r="AB47" s="95">
        <v>7160700</v>
      </c>
      <c r="AC47" s="10">
        <v>74.39</v>
      </c>
      <c r="AD47" s="40">
        <f t="shared" si="1"/>
        <v>1.1099999999999994</v>
      </c>
      <c r="AE47" s="162">
        <f t="shared" si="2"/>
        <v>4.4558466108559625E-3</v>
      </c>
    </row>
    <row r="48" spans="1:31" x14ac:dyDescent="0.25">
      <c r="B48" s="193">
        <v>42430</v>
      </c>
      <c r="C48" s="282">
        <v>70</v>
      </c>
      <c r="D48" s="339">
        <v>95.18</v>
      </c>
      <c r="E48" s="339">
        <v>89.69</v>
      </c>
      <c r="F48" s="40">
        <f t="shared" si="4"/>
        <v>-384.30000000000064</v>
      </c>
      <c r="G48" s="40">
        <f t="shared" si="5"/>
        <v>6662.6</v>
      </c>
      <c r="H48" s="232">
        <f t="shared" si="6"/>
        <v>-5.7680184912796896E-2</v>
      </c>
      <c r="I48" s="353"/>
      <c r="O48" s="83">
        <v>1.05</v>
      </c>
      <c r="P48" s="83">
        <f t="shared" si="7"/>
        <v>75.957000000000008</v>
      </c>
      <c r="Q48" s="2"/>
      <c r="T48" s="93" t="s">
        <v>103</v>
      </c>
      <c r="U48" s="88">
        <v>0.88211300000000004</v>
      </c>
      <c r="W48" s="133">
        <v>42702</v>
      </c>
      <c r="X48" s="10">
        <v>75.3</v>
      </c>
      <c r="Y48" s="10">
        <v>75.44</v>
      </c>
      <c r="Z48" s="10">
        <v>74.22</v>
      </c>
      <c r="AA48" s="10">
        <v>74.540000000000006</v>
      </c>
      <c r="AB48" s="95">
        <v>9338900</v>
      </c>
      <c r="AC48" s="10">
        <v>74.06</v>
      </c>
      <c r="AD48" s="40">
        <f t="shared" si="1"/>
        <v>1.2199999999999989</v>
      </c>
      <c r="AE48" s="162">
        <f t="shared" si="2"/>
        <v>-1.2006403415154687E-2</v>
      </c>
    </row>
    <row r="49" spans="2:31" x14ac:dyDescent="0.25">
      <c r="B49" s="193">
        <v>42431</v>
      </c>
      <c r="C49" s="282">
        <v>70</v>
      </c>
      <c r="D49" s="339">
        <v>95.18</v>
      </c>
      <c r="E49" s="339">
        <v>88.8</v>
      </c>
      <c r="F49" s="40">
        <f t="shared" si="4"/>
        <v>-446.6000000000007</v>
      </c>
      <c r="G49" s="40">
        <f t="shared" si="5"/>
        <v>6662.6</v>
      </c>
      <c r="H49" s="232">
        <f t="shared" si="6"/>
        <v>-6.7030888842193839E-2</v>
      </c>
      <c r="I49" s="353"/>
      <c r="O49" s="83">
        <v>1.04</v>
      </c>
      <c r="P49" s="83">
        <f t="shared" si="7"/>
        <v>75.23360000000001</v>
      </c>
      <c r="Q49" s="2"/>
      <c r="T49" s="93" t="s">
        <v>104</v>
      </c>
      <c r="U49" s="88" t="s">
        <v>393</v>
      </c>
      <c r="W49" s="133">
        <v>42699</v>
      </c>
      <c r="X49" s="10">
        <v>75.47</v>
      </c>
      <c r="Y49" s="10">
        <v>75.55</v>
      </c>
      <c r="Z49" s="10">
        <v>74.87</v>
      </c>
      <c r="AA49" s="10">
        <v>75.44</v>
      </c>
      <c r="AB49" s="95">
        <v>3068600</v>
      </c>
      <c r="AC49" s="10">
        <v>74.959999999999994</v>
      </c>
      <c r="AD49" s="40">
        <f t="shared" si="1"/>
        <v>0.67999999999999261</v>
      </c>
      <c r="AE49" s="162">
        <f t="shared" si="2"/>
        <v>1.8711574445335888E-3</v>
      </c>
    </row>
    <row r="50" spans="2:31" x14ac:dyDescent="0.25">
      <c r="B50" s="193">
        <v>42445</v>
      </c>
      <c r="C50" s="282">
        <v>70</v>
      </c>
      <c r="D50" s="339">
        <v>95.176000000000002</v>
      </c>
      <c r="E50" s="339">
        <v>90.28</v>
      </c>
      <c r="F50" s="40">
        <f>C50*(E50-D50)</f>
        <v>-342.72</v>
      </c>
      <c r="G50" s="40">
        <f t="shared" ref="G50:G67" si="8">D50*C50</f>
        <v>6662.32</v>
      </c>
      <c r="H50" s="232">
        <f t="shared" ref="H50:H67" si="9">(E50-D50)/D50</f>
        <v>-5.1441539884004378E-2</v>
      </c>
      <c r="I50" s="353"/>
      <c r="O50" s="83">
        <v>1.03</v>
      </c>
      <c r="P50" s="83">
        <f t="shared" si="7"/>
        <v>74.510200000000012</v>
      </c>
      <c r="Q50" s="2"/>
      <c r="T50" s="93"/>
      <c r="U50" s="88"/>
      <c r="W50" s="133">
        <v>42697</v>
      </c>
      <c r="X50" s="10">
        <v>73.849999999999994</v>
      </c>
      <c r="Y50" s="10">
        <v>75.349999999999994</v>
      </c>
      <c r="Z50" s="10">
        <v>73.760000000000005</v>
      </c>
      <c r="AA50" s="10">
        <v>75.3</v>
      </c>
      <c r="AB50" s="95">
        <v>6849200</v>
      </c>
      <c r="AC50" s="10">
        <v>74.819999999999993</v>
      </c>
      <c r="AD50" s="40">
        <f t="shared" si="1"/>
        <v>1.5899999999999892</v>
      </c>
      <c r="AE50" s="162">
        <f t="shared" si="2"/>
        <v>1.1354420113544039E-2</v>
      </c>
    </row>
    <row r="51" spans="2:31" x14ac:dyDescent="0.25">
      <c r="B51" s="193">
        <v>42447</v>
      </c>
      <c r="C51" s="282">
        <v>50</v>
      </c>
      <c r="D51" s="339">
        <v>97.010999999999996</v>
      </c>
      <c r="E51" s="339">
        <v>90.59</v>
      </c>
      <c r="F51" s="40">
        <f>C51*(E51-D51)</f>
        <v>-321.04999999999961</v>
      </c>
      <c r="G51" s="40">
        <f t="shared" si="8"/>
        <v>4850.55</v>
      </c>
      <c r="H51" s="232">
        <f t="shared" si="9"/>
        <v>-6.6188370390986517E-2</v>
      </c>
      <c r="I51" s="353"/>
      <c r="O51" s="83">
        <v>1.02</v>
      </c>
      <c r="P51" s="83">
        <f t="shared" si="7"/>
        <v>73.786799999999999</v>
      </c>
      <c r="Q51" s="2"/>
      <c r="T51" s="93" t="s">
        <v>105</v>
      </c>
      <c r="U51" s="88" t="s">
        <v>663</v>
      </c>
      <c r="W51" s="133">
        <v>42696</v>
      </c>
      <c r="X51" s="10">
        <v>75.06</v>
      </c>
      <c r="Y51" s="10">
        <v>75.44</v>
      </c>
      <c r="Z51" s="10">
        <v>74.02</v>
      </c>
      <c r="AA51" s="10">
        <v>74.459999999999994</v>
      </c>
      <c r="AB51" s="95">
        <v>6019600</v>
      </c>
      <c r="AC51" s="10">
        <v>73.98</v>
      </c>
      <c r="AD51" s="40">
        <f t="shared" si="1"/>
        <v>1.4200000000000017</v>
      </c>
      <c r="AE51" s="162">
        <f t="shared" si="2"/>
        <v>-6.9798657718119772E-3</v>
      </c>
    </row>
    <row r="52" spans="2:31" x14ac:dyDescent="0.25">
      <c r="B52" s="193">
        <v>42452</v>
      </c>
      <c r="C52" s="282">
        <v>50</v>
      </c>
      <c r="D52" s="339">
        <v>97.010999999999996</v>
      </c>
      <c r="E52" s="339">
        <v>93.72</v>
      </c>
      <c r="F52" s="40">
        <f>C52*(E52-D52)</f>
        <v>-164.54999999999984</v>
      </c>
      <c r="G52" s="40">
        <f t="shared" si="8"/>
        <v>4850.55</v>
      </c>
      <c r="H52" s="232">
        <f t="shared" si="9"/>
        <v>-3.3923988001360636E-2</v>
      </c>
      <c r="I52" s="353"/>
      <c r="O52" s="83">
        <v>1.01</v>
      </c>
      <c r="P52" s="83">
        <f t="shared" si="7"/>
        <v>73.063400000000001</v>
      </c>
      <c r="Q52" s="2"/>
      <c r="T52" s="93" t="s">
        <v>106</v>
      </c>
      <c r="U52" s="88" t="s">
        <v>443</v>
      </c>
      <c r="W52" s="133">
        <v>42695</v>
      </c>
      <c r="X52" s="10">
        <v>74.66</v>
      </c>
      <c r="Y52" s="10">
        <v>75.19</v>
      </c>
      <c r="Z52" s="10">
        <v>74.45</v>
      </c>
      <c r="AA52" s="10">
        <v>74.98</v>
      </c>
      <c r="AB52" s="95">
        <v>6810600</v>
      </c>
      <c r="AC52" s="10">
        <v>74.5</v>
      </c>
      <c r="AD52" s="40">
        <f t="shared" si="1"/>
        <v>0.73999999999999488</v>
      </c>
      <c r="AE52" s="162">
        <f t="shared" si="2"/>
        <v>4.8556784461828428E-3</v>
      </c>
    </row>
    <row r="53" spans="2:31" x14ac:dyDescent="0.25">
      <c r="B53" s="193">
        <v>42459</v>
      </c>
      <c r="C53" s="282">
        <v>50</v>
      </c>
      <c r="D53" s="339">
        <v>96.409000000000006</v>
      </c>
      <c r="E53" s="339">
        <v>91.97</v>
      </c>
      <c r="F53" s="40">
        <f t="shared" ref="F53:F67" si="10">C53*(E53-D53)</f>
        <v>-221.95000000000036</v>
      </c>
      <c r="G53" s="40">
        <f t="shared" si="8"/>
        <v>4820.4500000000007</v>
      </c>
      <c r="H53" s="232">
        <f t="shared" si="9"/>
        <v>-4.604341918285644E-2</v>
      </c>
      <c r="I53" s="353" t="s">
        <v>189</v>
      </c>
      <c r="O53" s="83">
        <v>1</v>
      </c>
      <c r="P53" s="83">
        <f t="shared" si="7"/>
        <v>72.34</v>
      </c>
      <c r="Q53" s="2"/>
      <c r="T53" s="93" t="s">
        <v>107</v>
      </c>
      <c r="U53" s="90">
        <v>8814249</v>
      </c>
      <c r="W53" s="133">
        <v>42692</v>
      </c>
      <c r="X53" s="10">
        <v>75.59</v>
      </c>
      <c r="Y53" s="10">
        <v>75.739999999999995</v>
      </c>
      <c r="Z53" s="10">
        <v>74.25</v>
      </c>
      <c r="AA53" s="10">
        <v>74.62</v>
      </c>
      <c r="AB53" s="95">
        <v>8194300</v>
      </c>
      <c r="AC53" s="10">
        <v>74.14</v>
      </c>
      <c r="AD53" s="40">
        <f t="shared" si="1"/>
        <v>1.4899999999999949</v>
      </c>
      <c r="AE53" s="162">
        <f t="shared" si="2"/>
        <v>-1.2782956058588479E-2</v>
      </c>
    </row>
    <row r="54" spans="2:31" x14ac:dyDescent="0.25">
      <c r="B54" s="193">
        <v>42469</v>
      </c>
      <c r="C54" s="282">
        <v>50</v>
      </c>
      <c r="D54" s="339">
        <v>96.409000000000006</v>
      </c>
      <c r="E54" s="339">
        <v>96.09</v>
      </c>
      <c r="F54" s="40">
        <f t="shared" si="10"/>
        <v>-15.950000000000131</v>
      </c>
      <c r="G54" s="40">
        <f t="shared" si="8"/>
        <v>4820.4500000000007</v>
      </c>
      <c r="H54" s="232">
        <f t="shared" si="9"/>
        <v>-3.3088197160016449E-3</v>
      </c>
      <c r="I54" s="353"/>
      <c r="O54" s="83">
        <v>0.99</v>
      </c>
      <c r="P54" s="83">
        <f t="shared" si="7"/>
        <v>71.616600000000005</v>
      </c>
      <c r="Q54" s="2"/>
      <c r="T54" s="93" t="s">
        <v>110</v>
      </c>
      <c r="U54" s="90">
        <v>9718980</v>
      </c>
      <c r="W54" s="133">
        <v>42691</v>
      </c>
      <c r="X54" s="10">
        <v>75.72</v>
      </c>
      <c r="Y54" s="10">
        <v>76.02</v>
      </c>
      <c r="Z54" s="10">
        <v>74.849999999999994</v>
      </c>
      <c r="AA54" s="10">
        <v>75.58</v>
      </c>
      <c r="AB54" s="95">
        <v>9413500</v>
      </c>
      <c r="AC54" s="10">
        <v>75.099999999999994</v>
      </c>
      <c r="AD54" s="40">
        <f t="shared" si="1"/>
        <v>1.1700000000000017</v>
      </c>
      <c r="AE54" s="162">
        <f t="shared" si="2"/>
        <v>-5.4297444047147758E-3</v>
      </c>
    </row>
    <row r="55" spans="2:31" x14ac:dyDescent="0.25">
      <c r="B55" s="193">
        <v>42475</v>
      </c>
      <c r="C55" s="282">
        <v>50</v>
      </c>
      <c r="D55" s="339">
        <v>96.409000000000006</v>
      </c>
      <c r="E55" s="339">
        <v>98.29</v>
      </c>
      <c r="F55" s="40">
        <f t="shared" si="10"/>
        <v>94.050000000000011</v>
      </c>
      <c r="G55" s="40">
        <f t="shared" si="8"/>
        <v>4820.4500000000007</v>
      </c>
      <c r="H55" s="232">
        <f t="shared" si="9"/>
        <v>1.951062660125092E-2</v>
      </c>
      <c r="I55" s="353"/>
      <c r="O55" s="83">
        <v>0.98</v>
      </c>
      <c r="P55" s="83">
        <f t="shared" si="7"/>
        <v>70.893200000000007</v>
      </c>
      <c r="Q55" s="2"/>
      <c r="T55" s="93" t="s">
        <v>108</v>
      </c>
      <c r="U55" s="88" t="s">
        <v>664</v>
      </c>
      <c r="W55" s="133">
        <v>42690</v>
      </c>
      <c r="X55" s="10">
        <v>76.08</v>
      </c>
      <c r="Y55" s="10">
        <v>76.88</v>
      </c>
      <c r="Z55" s="10">
        <v>75.569999999999993</v>
      </c>
      <c r="AA55" s="10">
        <v>76</v>
      </c>
      <c r="AB55" s="95">
        <v>8415000</v>
      </c>
      <c r="AC55" s="10">
        <v>75.510000000000005</v>
      </c>
      <c r="AD55" s="40">
        <f t="shared" si="1"/>
        <v>1.3100000000000023</v>
      </c>
      <c r="AE55" s="162">
        <f t="shared" si="2"/>
        <v>-4.6137621935142814E-3</v>
      </c>
    </row>
    <row r="56" spans="2:31" x14ac:dyDescent="0.25">
      <c r="B56" s="193">
        <v>42478</v>
      </c>
      <c r="C56" s="282">
        <v>25</v>
      </c>
      <c r="D56" s="339">
        <v>93.37</v>
      </c>
      <c r="E56" s="339">
        <v>99.2</v>
      </c>
      <c r="F56" s="40">
        <f t="shared" si="10"/>
        <v>145.74999999999994</v>
      </c>
      <c r="G56" s="40">
        <f t="shared" si="8"/>
        <v>2334.25</v>
      </c>
      <c r="H56" s="232">
        <f t="shared" si="9"/>
        <v>6.2439755810217393E-2</v>
      </c>
      <c r="I56" s="353"/>
      <c r="O56" s="83">
        <v>0.97</v>
      </c>
      <c r="P56" s="83">
        <f t="shared" si="7"/>
        <v>70.169799999999995</v>
      </c>
      <c r="T56" s="93" t="s">
        <v>111</v>
      </c>
      <c r="U56" s="88">
        <v>6.68</v>
      </c>
      <c r="W56" s="133">
        <v>42689</v>
      </c>
      <c r="X56" s="10">
        <v>77.03</v>
      </c>
      <c r="Y56" s="10">
        <v>77.11</v>
      </c>
      <c r="Z56" s="10">
        <v>75</v>
      </c>
      <c r="AA56" s="10">
        <v>76.349999999999994</v>
      </c>
      <c r="AB56" s="95">
        <v>8560100</v>
      </c>
      <c r="AC56" s="10">
        <v>75.86</v>
      </c>
      <c r="AD56" s="40">
        <f t="shared" si="1"/>
        <v>2.1099999999999994</v>
      </c>
      <c r="AE56" s="162">
        <f t="shared" si="2"/>
        <v>-5.2452137424601197E-3</v>
      </c>
    </row>
    <row r="57" spans="2:31" x14ac:dyDescent="0.25">
      <c r="B57" s="193">
        <v>42488</v>
      </c>
      <c r="C57" s="442">
        <v>50</v>
      </c>
      <c r="D57" s="447">
        <v>95.81</v>
      </c>
      <c r="E57" s="339">
        <v>97</v>
      </c>
      <c r="F57" s="40">
        <f t="shared" si="10"/>
        <v>59.499999999999886</v>
      </c>
      <c r="G57" s="40">
        <f t="shared" si="8"/>
        <v>4790.5</v>
      </c>
      <c r="H57" s="232">
        <f t="shared" si="9"/>
        <v>1.2420415405490009E-2</v>
      </c>
      <c r="I57" s="353"/>
      <c r="O57" s="83">
        <v>0.96</v>
      </c>
      <c r="P57" s="83">
        <f t="shared" si="7"/>
        <v>69.446399999999997</v>
      </c>
      <c r="T57" s="93" t="s">
        <v>112</v>
      </c>
      <c r="U57" s="88">
        <v>10.82</v>
      </c>
      <c r="W57" s="133">
        <v>42688</v>
      </c>
      <c r="X57" s="10">
        <v>77.040000000000006</v>
      </c>
      <c r="Y57" s="10">
        <v>77.13</v>
      </c>
      <c r="Z57" s="10">
        <v>76.069999999999993</v>
      </c>
      <c r="AA57" s="10">
        <v>76.75</v>
      </c>
      <c r="AB57" s="95">
        <v>8832800</v>
      </c>
      <c r="AC57" s="10">
        <v>76.260000000000005</v>
      </c>
      <c r="AD57" s="40">
        <f t="shared" si="1"/>
        <v>1.0600000000000023</v>
      </c>
      <c r="AE57" s="162">
        <f t="shared" si="2"/>
        <v>4.3461082576057297E-3</v>
      </c>
    </row>
    <row r="58" spans="2:31" x14ac:dyDescent="0.25">
      <c r="B58" s="193">
        <v>42489</v>
      </c>
      <c r="C58" s="282">
        <v>70</v>
      </c>
      <c r="D58" s="339">
        <v>94.247</v>
      </c>
      <c r="E58" s="40">
        <v>88.21</v>
      </c>
      <c r="F58" s="40">
        <f t="shared" si="10"/>
        <v>-422.59000000000043</v>
      </c>
      <c r="G58" s="40">
        <f t="shared" si="8"/>
        <v>6597.29</v>
      </c>
      <c r="H58" s="232">
        <f t="shared" si="9"/>
        <v>-6.4055089286661704E-2</v>
      </c>
      <c r="I58" s="353"/>
      <c r="O58" s="83">
        <v>0.95</v>
      </c>
      <c r="P58" s="83">
        <f t="shared" si="7"/>
        <v>68.722999999999999</v>
      </c>
      <c r="T58" s="93" t="s">
        <v>109</v>
      </c>
      <c r="U58" s="88" t="s">
        <v>665</v>
      </c>
      <c r="W58" s="133">
        <v>42685</v>
      </c>
      <c r="X58" s="10">
        <v>77.48</v>
      </c>
      <c r="Y58" s="10">
        <v>77.510000000000005</v>
      </c>
      <c r="Z58" s="10">
        <v>75.290000000000006</v>
      </c>
      <c r="AA58" s="10">
        <v>76.42</v>
      </c>
      <c r="AB58" s="95">
        <v>12949600</v>
      </c>
      <c r="AC58" s="10">
        <v>75.930000000000007</v>
      </c>
      <c r="AD58" s="40">
        <f t="shared" si="1"/>
        <v>2.2199999999999989</v>
      </c>
      <c r="AE58" s="162">
        <f t="shared" si="2"/>
        <v>-1.8231186966640722E-2</v>
      </c>
    </row>
    <row r="59" spans="2:31" x14ac:dyDescent="0.25">
      <c r="B59" s="193">
        <v>42489</v>
      </c>
      <c r="C59" s="10">
        <v>100</v>
      </c>
      <c r="D59" s="40">
        <v>92.822999999999993</v>
      </c>
      <c r="E59" s="40">
        <v>88.21</v>
      </c>
      <c r="F59" s="40">
        <f t="shared" si="10"/>
        <v>-461.29999999999995</v>
      </c>
      <c r="G59" s="40">
        <f t="shared" si="8"/>
        <v>9282.2999999999993</v>
      </c>
      <c r="H59" s="232">
        <f t="shared" si="9"/>
        <v>-4.9696734645508119E-2</v>
      </c>
      <c r="I59" s="353"/>
      <c r="O59" s="83">
        <v>0.94</v>
      </c>
      <c r="P59" s="83">
        <f t="shared" si="7"/>
        <v>67.999600000000001</v>
      </c>
      <c r="W59" s="133">
        <v>42684</v>
      </c>
      <c r="X59" s="10">
        <v>79.66</v>
      </c>
      <c r="Y59" s="10">
        <v>80</v>
      </c>
      <c r="Z59" s="10">
        <v>76.94</v>
      </c>
      <c r="AA59" s="10">
        <v>77.84</v>
      </c>
      <c r="AB59" s="95">
        <v>16651800</v>
      </c>
      <c r="AC59" s="10">
        <v>77.34</v>
      </c>
      <c r="AD59" s="40">
        <f t="shared" si="1"/>
        <v>3.0600000000000023</v>
      </c>
      <c r="AE59" s="162">
        <f t="shared" si="2"/>
        <v>-8.0800307810695582E-3</v>
      </c>
    </row>
    <row r="60" spans="2:31" x14ac:dyDescent="0.25">
      <c r="B60" s="193">
        <v>42498</v>
      </c>
      <c r="C60" s="10">
        <v>100</v>
      </c>
      <c r="D60" s="40">
        <v>92.822999999999993</v>
      </c>
      <c r="E60" s="40">
        <v>84.68</v>
      </c>
      <c r="F60" s="40">
        <f t="shared" si="10"/>
        <v>-814.29999999999859</v>
      </c>
      <c r="G60" s="40">
        <f t="shared" si="8"/>
        <v>9282.2999999999993</v>
      </c>
      <c r="H60" s="232">
        <f t="shared" si="9"/>
        <v>-8.7726102366870146E-2</v>
      </c>
      <c r="I60" s="353"/>
      <c r="O60" s="83">
        <v>0.93</v>
      </c>
      <c r="P60" s="83">
        <f t="shared" si="7"/>
        <v>67.276200000000003</v>
      </c>
      <c r="W60" s="133">
        <v>42683</v>
      </c>
      <c r="X60" s="10">
        <v>76.8</v>
      </c>
      <c r="Y60" s="10">
        <v>80</v>
      </c>
      <c r="Z60" s="10">
        <v>76.75</v>
      </c>
      <c r="AA60" s="10">
        <v>78.47</v>
      </c>
      <c r="AB60" s="95">
        <v>26693700</v>
      </c>
      <c r="AC60" s="10">
        <v>77.97</v>
      </c>
      <c r="AD60" s="40">
        <f t="shared" si="1"/>
        <v>3.25</v>
      </c>
      <c r="AE60" s="162">
        <f t="shared" si="2"/>
        <v>5.9806986543428087E-2</v>
      </c>
    </row>
    <row r="61" spans="2:31" x14ac:dyDescent="0.25">
      <c r="B61" s="193">
        <v>42502</v>
      </c>
      <c r="C61" s="10">
        <v>100</v>
      </c>
      <c r="D61" s="40">
        <v>92.822999999999993</v>
      </c>
      <c r="E61" s="40">
        <v>82.77</v>
      </c>
      <c r="F61" s="40">
        <f t="shared" si="10"/>
        <v>-1005.2999999999997</v>
      </c>
      <c r="G61" s="40">
        <f t="shared" si="8"/>
        <v>9282.2999999999993</v>
      </c>
      <c r="H61" s="232">
        <f t="shared" si="9"/>
        <v>-0.10830289906596423</v>
      </c>
      <c r="I61" s="353"/>
      <c r="O61" s="83">
        <v>0.92</v>
      </c>
      <c r="P61" s="83">
        <f t="shared" si="7"/>
        <v>66.552800000000005</v>
      </c>
      <c r="W61" s="133">
        <v>42682</v>
      </c>
      <c r="X61" s="10">
        <v>73.930000000000007</v>
      </c>
      <c r="Y61" s="10">
        <v>74.66</v>
      </c>
      <c r="Z61" s="10">
        <v>73.290000000000006</v>
      </c>
      <c r="AA61" s="10">
        <v>74.040000000000006</v>
      </c>
      <c r="AB61" s="95">
        <v>7449600</v>
      </c>
      <c r="AC61" s="10">
        <v>73.569999999999993</v>
      </c>
      <c r="AD61" s="40">
        <f t="shared" si="1"/>
        <v>1.3699999999999903</v>
      </c>
      <c r="AE61" s="162">
        <f t="shared" si="2"/>
        <v>5.4399564803464528E-4</v>
      </c>
    </row>
    <row r="62" spans="2:31" x14ac:dyDescent="0.25">
      <c r="B62" s="193">
        <v>42514</v>
      </c>
      <c r="C62" s="10">
        <v>100</v>
      </c>
      <c r="D62" s="40">
        <v>92.82</v>
      </c>
      <c r="E62" s="40">
        <v>86.22</v>
      </c>
      <c r="F62" s="40">
        <f t="shared" si="10"/>
        <v>-659.99999999999943</v>
      </c>
      <c r="G62" s="40">
        <f t="shared" si="8"/>
        <v>9282</v>
      </c>
      <c r="H62" s="232">
        <f t="shared" si="9"/>
        <v>-7.1105365223012224E-2</v>
      </c>
      <c r="I62" s="353"/>
      <c r="O62" s="83">
        <v>0.91</v>
      </c>
      <c r="P62" s="83">
        <f t="shared" si="7"/>
        <v>65.829400000000007</v>
      </c>
      <c r="W62" s="133">
        <v>42681</v>
      </c>
      <c r="X62" s="10">
        <v>73.48</v>
      </c>
      <c r="Y62" s="10">
        <v>74.709999999999994</v>
      </c>
      <c r="Z62" s="10">
        <v>73.05</v>
      </c>
      <c r="AA62" s="10">
        <v>74</v>
      </c>
      <c r="AB62" s="95">
        <v>9513500</v>
      </c>
      <c r="AC62" s="10">
        <v>73.53</v>
      </c>
      <c r="AD62" s="40">
        <f t="shared" si="1"/>
        <v>1.6599999999999966</v>
      </c>
      <c r="AE62" s="162">
        <f t="shared" si="2"/>
        <v>2.1675698207586525E-2</v>
      </c>
    </row>
    <row r="63" spans="2:31" x14ac:dyDescent="0.25">
      <c r="B63" s="193">
        <v>42527</v>
      </c>
      <c r="C63" s="10">
        <v>100</v>
      </c>
      <c r="D63" s="40">
        <v>92.822999999999993</v>
      </c>
      <c r="E63" s="40">
        <v>87.6</v>
      </c>
      <c r="F63" s="40">
        <f t="shared" si="10"/>
        <v>-522.29999999999995</v>
      </c>
      <c r="G63" s="40">
        <f t="shared" si="8"/>
        <v>9282.2999999999993</v>
      </c>
      <c r="H63" s="232">
        <f t="shared" si="9"/>
        <v>-5.6268381758831316E-2</v>
      </c>
      <c r="I63" s="353"/>
      <c r="O63" s="83">
        <v>0.9</v>
      </c>
      <c r="P63" s="83">
        <f t="shared" si="7"/>
        <v>65.106000000000009</v>
      </c>
      <c r="W63" s="133">
        <v>42678</v>
      </c>
      <c r="X63" s="10">
        <v>71.52</v>
      </c>
      <c r="Y63" s="10">
        <v>73.290000000000006</v>
      </c>
      <c r="Z63" s="10">
        <v>71.39</v>
      </c>
      <c r="AA63" s="10">
        <v>72.430000000000007</v>
      </c>
      <c r="AB63" s="95">
        <v>11779500</v>
      </c>
      <c r="AC63" s="10">
        <v>71.97</v>
      </c>
      <c r="AD63" s="40">
        <f t="shared" si="1"/>
        <v>1.9000000000000057</v>
      </c>
      <c r="AE63" s="162">
        <f t="shared" si="2"/>
        <v>9.3969144460028797E-3</v>
      </c>
    </row>
    <row r="64" spans="2:31" x14ac:dyDescent="0.25">
      <c r="B64" s="193">
        <v>42535</v>
      </c>
      <c r="C64" s="7">
        <v>100</v>
      </c>
      <c r="D64" s="44">
        <v>92.82</v>
      </c>
      <c r="E64" s="40">
        <v>83.57</v>
      </c>
      <c r="F64" s="40">
        <f t="shared" si="10"/>
        <v>-925</v>
      </c>
      <c r="G64" s="40">
        <f t="shared" si="8"/>
        <v>9282</v>
      </c>
      <c r="H64" s="232">
        <f t="shared" si="9"/>
        <v>-9.965524671407025E-2</v>
      </c>
      <c r="I64" s="236">
        <v>88.5</v>
      </c>
      <c r="W64" s="133">
        <v>42677</v>
      </c>
      <c r="X64" s="10">
        <v>72.33</v>
      </c>
      <c r="Y64" s="10">
        <v>72.930000000000007</v>
      </c>
      <c r="Z64" s="10">
        <v>71.680000000000007</v>
      </c>
      <c r="AA64" s="10">
        <v>71.760000000000005</v>
      </c>
      <c r="AB64" s="95">
        <v>9286200</v>
      </c>
      <c r="AC64" s="10">
        <v>71.3</v>
      </c>
      <c r="AD64" s="40">
        <f t="shared" si="1"/>
        <v>1.25</v>
      </c>
      <c r="AE64" s="162">
        <f t="shared" si="2"/>
        <v>-1.0409437890353868E-2</v>
      </c>
    </row>
    <row r="65" spans="2:31" x14ac:dyDescent="0.25">
      <c r="B65" s="193">
        <v>42542</v>
      </c>
      <c r="C65" s="10">
        <v>100</v>
      </c>
      <c r="D65" s="40">
        <v>92.82</v>
      </c>
      <c r="E65" s="40">
        <v>81.790000000000006</v>
      </c>
      <c r="F65" s="40">
        <f t="shared" si="10"/>
        <v>-1102.9999999999986</v>
      </c>
      <c r="G65" s="40">
        <f t="shared" si="8"/>
        <v>9282</v>
      </c>
      <c r="H65" s="232">
        <f t="shared" si="9"/>
        <v>-0.11883214824391282</v>
      </c>
      <c r="I65" s="353"/>
      <c r="W65" s="133">
        <v>42676</v>
      </c>
      <c r="X65" s="10">
        <v>74</v>
      </c>
      <c r="Y65" s="10">
        <v>74.349999999999994</v>
      </c>
      <c r="Z65" s="10">
        <v>72.45</v>
      </c>
      <c r="AA65" s="10">
        <v>72.510000000000005</v>
      </c>
      <c r="AB65" s="95">
        <v>14620000</v>
      </c>
      <c r="AC65" s="10">
        <v>72.05</v>
      </c>
      <c r="AD65" s="40">
        <f t="shared" si="1"/>
        <v>1.8999999999999915</v>
      </c>
      <c r="AE65" s="162">
        <f t="shared" si="2"/>
        <v>-2.1059782608695565E-2</v>
      </c>
    </row>
    <row r="66" spans="2:31" x14ac:dyDescent="0.25">
      <c r="B66" s="193">
        <v>42545</v>
      </c>
      <c r="C66" s="448">
        <v>200</v>
      </c>
      <c r="D66" s="449">
        <v>86.647000000000006</v>
      </c>
      <c r="E66" s="40">
        <v>80.47</v>
      </c>
      <c r="F66" s="40">
        <f t="shared" si="10"/>
        <v>-1235.4000000000015</v>
      </c>
      <c r="G66" s="40">
        <f t="shared" si="8"/>
        <v>17329.400000000001</v>
      </c>
      <c r="H66" s="232">
        <f t="shared" si="9"/>
        <v>-7.1289254099968918E-2</v>
      </c>
      <c r="I66" s="353"/>
      <c r="W66" s="133">
        <v>42675</v>
      </c>
      <c r="X66" s="10">
        <v>73.63</v>
      </c>
      <c r="Y66" s="10">
        <v>74.290000000000006</v>
      </c>
      <c r="Z66" s="10">
        <v>73.06</v>
      </c>
      <c r="AA66" s="10">
        <v>74.069999999999993</v>
      </c>
      <c r="AB66" s="95">
        <v>10741600</v>
      </c>
      <c r="AC66" s="10">
        <v>73.599999999999994</v>
      </c>
      <c r="AD66" s="40">
        <f t="shared" si="1"/>
        <v>1.230000000000004</v>
      </c>
      <c r="AE66" s="162">
        <f t="shared" si="2"/>
        <v>6.0142154182614149E-3</v>
      </c>
    </row>
    <row r="67" spans="2:31" x14ac:dyDescent="0.25">
      <c r="B67" s="193">
        <v>42548</v>
      </c>
      <c r="C67" s="10">
        <v>200</v>
      </c>
      <c r="D67" s="40">
        <v>86.647000000000006</v>
      </c>
      <c r="E67" s="40">
        <v>78.25</v>
      </c>
      <c r="F67" s="40">
        <f t="shared" si="10"/>
        <v>-1679.400000000001</v>
      </c>
      <c r="G67" s="40">
        <f t="shared" si="8"/>
        <v>17329.400000000001</v>
      </c>
      <c r="H67" s="232">
        <f t="shared" si="9"/>
        <v>-9.6910452756587134E-2</v>
      </c>
      <c r="I67" s="353"/>
      <c r="W67" s="133">
        <v>42674</v>
      </c>
      <c r="X67" s="10">
        <v>74.09</v>
      </c>
      <c r="Y67" s="10">
        <v>74.44</v>
      </c>
      <c r="Z67" s="10">
        <v>73.55</v>
      </c>
      <c r="AA67" s="10">
        <v>73.63</v>
      </c>
      <c r="AB67" s="95">
        <v>8457000</v>
      </c>
      <c r="AC67" s="10">
        <v>73.16</v>
      </c>
      <c r="AD67" s="40">
        <f>Y67-Z67</f>
        <v>0.89000000000000057</v>
      </c>
      <c r="AE67" s="162">
        <f>AC67/AC68-1</f>
        <v>-3.4055305816645953E-3</v>
      </c>
    </row>
    <row r="68" spans="2:31" x14ac:dyDescent="0.25">
      <c r="B68" s="193">
        <v>42549</v>
      </c>
      <c r="C68" s="10">
        <v>200</v>
      </c>
      <c r="D68" s="40">
        <v>86.647000000000006</v>
      </c>
      <c r="E68" s="40">
        <v>82.31</v>
      </c>
      <c r="F68" s="40">
        <f t="shared" ref="F68" si="11">C68*(E68-D68)</f>
        <v>-867.40000000000066</v>
      </c>
      <c r="G68" s="40">
        <f t="shared" ref="G68" si="12">D68*C68</f>
        <v>17329.400000000001</v>
      </c>
      <c r="H68" s="232">
        <f t="shared" ref="H68" si="13">(E68-D68)/D68</f>
        <v>-5.0053666024213218E-2</v>
      </c>
      <c r="I68" s="353"/>
      <c r="W68" s="133">
        <v>42671</v>
      </c>
      <c r="X68" s="10">
        <v>74.75</v>
      </c>
      <c r="Y68" s="10">
        <v>74.78</v>
      </c>
      <c r="Z68" s="10">
        <v>73.23</v>
      </c>
      <c r="AA68" s="10">
        <v>73.88</v>
      </c>
      <c r="AB68" s="95">
        <v>13160000</v>
      </c>
      <c r="AC68" s="10">
        <v>73.41</v>
      </c>
      <c r="AD68" s="40">
        <f>Y68-Z68</f>
        <v>1.5499999999999972</v>
      </c>
      <c r="AE68" s="162" t="e">
        <f>AC68/AC69-1</f>
        <v>#DIV/0!</v>
      </c>
    </row>
    <row r="69" spans="2:31" x14ac:dyDescent="0.25">
      <c r="B69" s="193">
        <v>42550</v>
      </c>
      <c r="C69" s="448">
        <v>200</v>
      </c>
      <c r="D69" s="449">
        <v>86.411500000000004</v>
      </c>
      <c r="E69" s="40">
        <v>82.27</v>
      </c>
      <c r="F69" s="40">
        <f t="shared" ref="F69:F70" si="14">C69*(E69-D69)</f>
        <v>-828.30000000000155</v>
      </c>
      <c r="G69" s="40">
        <f t="shared" ref="G69:G70" si="15">D69*C69</f>
        <v>17282.3</v>
      </c>
      <c r="H69" s="232">
        <f t="shared" ref="H69:H70" si="16">(E69-D69)/D69</f>
        <v>-4.7927648519005078E-2</v>
      </c>
      <c r="I69" s="353" t="s">
        <v>189</v>
      </c>
      <c r="W69" s="133" t="s">
        <v>121</v>
      </c>
      <c r="X69" s="10"/>
      <c r="Y69" s="10"/>
      <c r="Z69" s="10"/>
      <c r="AA69" s="10"/>
      <c r="AB69" s="95"/>
      <c r="AC69" s="10"/>
      <c r="AD69" s="40">
        <f>Y69-Z69</f>
        <v>0</v>
      </c>
      <c r="AE69" s="162" t="e">
        <f>AC69/AC70-1</f>
        <v>#DIV/0!</v>
      </c>
    </row>
    <row r="70" spans="2:31" x14ac:dyDescent="0.25">
      <c r="B70" s="193">
        <v>42552</v>
      </c>
      <c r="C70" s="10">
        <v>100</v>
      </c>
      <c r="D70" s="40">
        <v>89.084800000000001</v>
      </c>
      <c r="E70" s="40">
        <v>84.86</v>
      </c>
      <c r="F70" s="40">
        <f t="shared" si="14"/>
        <v>-422.48000000000019</v>
      </c>
      <c r="G70" s="40">
        <f t="shared" si="15"/>
        <v>8908.48</v>
      </c>
      <c r="H70" s="232">
        <f t="shared" si="16"/>
        <v>-4.7424476453895636E-2</v>
      </c>
      <c r="I70" s="353"/>
    </row>
    <row r="71" spans="2:31" x14ac:dyDescent="0.25">
      <c r="B71" s="193">
        <v>42556</v>
      </c>
      <c r="C71" s="7">
        <v>100</v>
      </c>
      <c r="D71" s="44">
        <v>89.084800000000001</v>
      </c>
      <c r="E71" s="40">
        <v>83.89</v>
      </c>
      <c r="F71" s="40">
        <f t="shared" ref="F71" si="17">C71*(E71-D71)</f>
        <v>-519.48</v>
      </c>
      <c r="G71" s="40">
        <f t="shared" ref="G71" si="18">D71*C71</f>
        <v>8908.48</v>
      </c>
      <c r="H71" s="232">
        <f t="shared" ref="H71" si="19">(E71-D71)/D71</f>
        <v>-5.8312978196055902E-2</v>
      </c>
      <c r="I71" s="353"/>
    </row>
    <row r="72" spans="2:31" x14ac:dyDescent="0.25">
      <c r="B72" s="193">
        <v>42559</v>
      </c>
      <c r="C72" s="10">
        <v>100</v>
      </c>
      <c r="D72" s="40">
        <v>89.084800000000001</v>
      </c>
      <c r="E72" s="40">
        <v>86.55</v>
      </c>
      <c r="F72" s="40">
        <f t="shared" ref="F72" si="20">C72*(E72-D72)</f>
        <v>-253.48000000000042</v>
      </c>
      <c r="G72" s="40">
        <f t="shared" ref="G72" si="21">D72*C72</f>
        <v>8908.48</v>
      </c>
      <c r="H72" s="232">
        <f t="shared" ref="H72" si="22">(E72-D72)/D72</f>
        <v>-2.8453787851575176E-2</v>
      </c>
      <c r="I72" s="353"/>
    </row>
    <row r="73" spans="2:31" x14ac:dyDescent="0.25">
      <c r="B73" s="193">
        <v>42569</v>
      </c>
      <c r="C73" s="10">
        <v>100</v>
      </c>
      <c r="D73" s="40">
        <v>89.084800000000001</v>
      </c>
      <c r="E73" s="40">
        <v>86.93</v>
      </c>
      <c r="F73" s="40">
        <f t="shared" ref="F73" si="23">C73*(E73-D73)</f>
        <v>-215.47999999999945</v>
      </c>
      <c r="G73" s="40">
        <f t="shared" ref="G73" si="24">D73*C73</f>
        <v>8908.48</v>
      </c>
      <c r="H73" s="232">
        <f t="shared" ref="H73" si="25">(E73-D73)/D73</f>
        <v>-2.4188189230934957E-2</v>
      </c>
      <c r="I73" s="353"/>
    </row>
    <row r="74" spans="2:31" x14ac:dyDescent="0.25">
      <c r="B74" s="193">
        <v>42570</v>
      </c>
      <c r="C74" s="10">
        <v>100</v>
      </c>
      <c r="D74" s="40">
        <v>89.084800000000001</v>
      </c>
      <c r="E74" s="40">
        <v>85.44</v>
      </c>
      <c r="F74" s="40">
        <f t="shared" ref="F74" si="26">C74*(E74-D74)</f>
        <v>-364.48000000000036</v>
      </c>
      <c r="G74" s="40">
        <f t="shared" ref="G74" si="27">D74*C74</f>
        <v>8908.48</v>
      </c>
      <c r="H74" s="232">
        <f t="shared" ref="H74" si="28">(E74-D74)/D74</f>
        <v>-4.0913825927655488E-2</v>
      </c>
      <c r="I74" s="353"/>
    </row>
    <row r="75" spans="2:31" x14ac:dyDescent="0.25">
      <c r="B75" s="193">
        <v>42571</v>
      </c>
      <c r="C75" s="10">
        <v>100</v>
      </c>
      <c r="D75" s="40">
        <v>89.084800000000001</v>
      </c>
      <c r="E75" s="40">
        <v>86.66</v>
      </c>
      <c r="F75" s="40">
        <f t="shared" ref="F75" si="29">C75*(E75-D75)</f>
        <v>-242.48000000000047</v>
      </c>
      <c r="G75" s="40">
        <f t="shared" ref="G75" si="30">D75*C75</f>
        <v>8908.48</v>
      </c>
      <c r="H75" s="232">
        <f t="shared" ref="H75" si="31">(E75-D75)/D75</f>
        <v>-2.7219009303495148E-2</v>
      </c>
      <c r="I75" s="353"/>
    </row>
    <row r="76" spans="2:31" x14ac:dyDescent="0.25">
      <c r="B76" s="193">
        <v>42572</v>
      </c>
      <c r="C76" s="10">
        <v>100</v>
      </c>
      <c r="D76" s="40">
        <v>89.084800000000001</v>
      </c>
      <c r="E76" s="40">
        <v>87.24</v>
      </c>
      <c r="F76" s="40">
        <f t="shared" ref="F76" si="32">C76*(E76-D76)</f>
        <v>-184.48000000000064</v>
      </c>
      <c r="G76" s="40">
        <f t="shared" ref="G76" si="33">D76*C76</f>
        <v>8908.48</v>
      </c>
      <c r="H76" s="232">
        <f t="shared" ref="H76" si="34">(E76-D76)/D76</f>
        <v>-2.0708358777255003E-2</v>
      </c>
      <c r="I76" s="353"/>
    </row>
    <row r="77" spans="2:31" x14ac:dyDescent="0.25">
      <c r="B77" s="193">
        <v>42575</v>
      </c>
      <c r="C77" s="10">
        <v>100</v>
      </c>
      <c r="D77" s="40">
        <v>89.084800000000001</v>
      </c>
      <c r="E77" s="40">
        <v>86.55</v>
      </c>
      <c r="F77" s="40">
        <f t="shared" ref="F77" si="35">C77*(E77-D77)</f>
        <v>-253.48000000000042</v>
      </c>
      <c r="G77" s="40">
        <f t="shared" ref="G77" si="36">D77*C77</f>
        <v>8908.48</v>
      </c>
      <c r="H77" s="232">
        <f t="shared" ref="H77" si="37">(E77-D77)/D77</f>
        <v>-2.8453787851575176E-2</v>
      </c>
      <c r="I77" s="464"/>
    </row>
    <row r="78" spans="2:31" x14ac:dyDescent="0.25">
      <c r="B78" s="193">
        <v>42576</v>
      </c>
      <c r="C78" s="10">
        <v>100</v>
      </c>
      <c r="D78" s="40">
        <v>89.084800000000001</v>
      </c>
      <c r="E78" s="40">
        <v>88.55</v>
      </c>
      <c r="F78" s="40">
        <f t="shared" ref="F78" si="38">C78*(E78-D78)</f>
        <v>-53.480000000000416</v>
      </c>
      <c r="G78" s="40">
        <f t="shared" ref="G78" si="39">D78*C78</f>
        <v>8908.48</v>
      </c>
      <c r="H78" s="232">
        <f t="shared" ref="H78" si="40">(E78-D78)/D78</f>
        <v>-6.0032687955746001E-3</v>
      </c>
      <c r="I78" s="353" t="s">
        <v>261</v>
      </c>
    </row>
    <row r="79" spans="2:31" x14ac:dyDescent="0.25">
      <c r="B79" s="193">
        <v>42577</v>
      </c>
      <c r="C79" s="10">
        <v>120</v>
      </c>
      <c r="D79" s="40">
        <v>87.677300000000002</v>
      </c>
      <c r="E79" s="40">
        <v>81.05</v>
      </c>
      <c r="F79" s="40">
        <f t="shared" ref="F79:F80" si="41">C79*(E79-D79)</f>
        <v>-795.27600000000064</v>
      </c>
      <c r="G79" s="40">
        <f t="shared" ref="G79:G80" si="42">D79*C79</f>
        <v>10521.276</v>
      </c>
      <c r="H79" s="232">
        <f t="shared" ref="H79:H80" si="43">(E79-D79)/D79</f>
        <v>-7.5587409740035388E-2</v>
      </c>
      <c r="I79" s="353"/>
    </row>
    <row r="80" spans="2:31" x14ac:dyDescent="0.25">
      <c r="B80" s="193">
        <v>42580</v>
      </c>
      <c r="C80" s="10">
        <v>150</v>
      </c>
      <c r="D80" s="40">
        <v>86.017899999999997</v>
      </c>
      <c r="E80" s="40">
        <v>79.47</v>
      </c>
      <c r="F80" s="40">
        <f t="shared" si="41"/>
        <v>-982.18499999999972</v>
      </c>
      <c r="G80" s="40">
        <f t="shared" si="42"/>
        <v>12902.684999999999</v>
      </c>
      <c r="H80" s="232">
        <f t="shared" si="43"/>
        <v>-7.6122527985454172E-2</v>
      </c>
      <c r="I80" s="353"/>
    </row>
    <row r="81" spans="2:9" x14ac:dyDescent="0.25">
      <c r="B81" s="193">
        <v>42593</v>
      </c>
      <c r="C81" s="10">
        <v>150</v>
      </c>
      <c r="D81" s="40">
        <v>86.017899999999997</v>
      </c>
      <c r="E81" s="40">
        <v>78.900000000000006</v>
      </c>
      <c r="F81" s="40">
        <f t="shared" ref="F81" si="44">C81*(E81-D81)</f>
        <v>-1067.6849999999988</v>
      </c>
      <c r="G81" s="40">
        <f t="shared" ref="G81" si="45">D81*C81</f>
        <v>12902.684999999999</v>
      </c>
      <c r="H81" s="232">
        <f t="shared" ref="H81" si="46">(E81-D81)/D81</f>
        <v>-8.2749055719797765E-2</v>
      </c>
      <c r="I81" s="353"/>
    </row>
    <row r="82" spans="2:9" x14ac:dyDescent="0.25">
      <c r="B82" s="193">
        <v>42597</v>
      </c>
      <c r="C82" s="10">
        <v>150</v>
      </c>
      <c r="D82" s="40">
        <v>86.017899999999997</v>
      </c>
      <c r="E82" s="40">
        <v>79.650000000000006</v>
      </c>
      <c r="F82" s="40">
        <f t="shared" ref="F82" si="47">C82*(E82-D82)</f>
        <v>-955.18499999999881</v>
      </c>
      <c r="G82" s="40">
        <f t="shared" ref="G82" si="48">D82*C82</f>
        <v>12902.684999999999</v>
      </c>
      <c r="H82" s="232">
        <f t="shared" ref="H82" si="49">(E82-D82)/D82</f>
        <v>-7.4029940279871892E-2</v>
      </c>
      <c r="I82" s="353"/>
    </row>
    <row r="83" spans="2:9" x14ac:dyDescent="0.25">
      <c r="B83" s="193">
        <v>42599</v>
      </c>
      <c r="C83" s="10">
        <v>150</v>
      </c>
      <c r="D83" s="40">
        <v>86.017899999999997</v>
      </c>
      <c r="E83" s="40">
        <v>80.7</v>
      </c>
      <c r="F83" s="40">
        <f t="shared" ref="F83" si="50">C83*(E83-D83)</f>
        <v>-797.68499999999915</v>
      </c>
      <c r="G83" s="40">
        <f t="shared" ref="G83" si="51">D83*C83</f>
        <v>12902.684999999999</v>
      </c>
      <c r="H83" s="232">
        <f t="shared" ref="H83" si="52">(E83-D83)/D83</f>
        <v>-6.1823178663975693E-2</v>
      </c>
      <c r="I83" s="353"/>
    </row>
    <row r="84" spans="2:9" x14ac:dyDescent="0.25">
      <c r="B84" s="193">
        <v>42600</v>
      </c>
      <c r="C84" s="10">
        <v>150</v>
      </c>
      <c r="D84" s="40">
        <v>86.017899999999997</v>
      </c>
      <c r="E84" s="40">
        <v>80.59</v>
      </c>
      <c r="F84" s="40">
        <f t="shared" ref="F84" si="53">C84*(E84-D84)</f>
        <v>-814.18499999999904</v>
      </c>
      <c r="G84" s="40">
        <f t="shared" ref="G84" si="54">D84*C84</f>
        <v>12902.684999999999</v>
      </c>
      <c r="H84" s="232">
        <f t="shared" ref="H84" si="55">(E84-D84)/D84</f>
        <v>-6.3101982261831474E-2</v>
      </c>
      <c r="I84" s="353"/>
    </row>
    <row r="85" spans="2:9" x14ac:dyDescent="0.25">
      <c r="B85" s="193">
        <v>42601</v>
      </c>
      <c r="C85" s="10">
        <v>150</v>
      </c>
      <c r="D85" s="40">
        <v>86.017899999999997</v>
      </c>
      <c r="E85" s="40">
        <v>81</v>
      </c>
      <c r="F85" s="40">
        <f t="shared" ref="F85" si="56">C85*(E85-D85)</f>
        <v>-752.6849999999996</v>
      </c>
      <c r="G85" s="40">
        <f t="shared" ref="G85" si="57">D85*C85</f>
        <v>12902.684999999999</v>
      </c>
      <c r="H85" s="232">
        <f t="shared" ref="H85" si="58">(E85-D85)/D85</f>
        <v>-5.8335532488005375E-2</v>
      </c>
      <c r="I85" s="353"/>
    </row>
    <row r="86" spans="2:9" x14ac:dyDescent="0.25">
      <c r="B86" s="193">
        <v>42605</v>
      </c>
      <c r="C86" s="10">
        <v>150</v>
      </c>
      <c r="D86" s="40">
        <v>86.017899999999997</v>
      </c>
      <c r="E86" s="40">
        <v>81.47</v>
      </c>
      <c r="F86" s="40">
        <f t="shared" ref="F86" si="59">C86*(E86-D86)</f>
        <v>-682.18499999999972</v>
      </c>
      <c r="G86" s="40">
        <f t="shared" ref="G86" si="60">D86*C86</f>
        <v>12902.684999999999</v>
      </c>
      <c r="H86" s="232">
        <f t="shared" ref="H86" si="61">(E86-D86)/D86</f>
        <v>-5.2871553478985173E-2</v>
      </c>
      <c r="I86" s="353"/>
    </row>
    <row r="87" spans="2:9" x14ac:dyDescent="0.25">
      <c r="B87" s="193">
        <v>42606</v>
      </c>
      <c r="C87" s="10">
        <v>150</v>
      </c>
      <c r="D87" s="40">
        <v>86.017899999999997</v>
      </c>
      <c r="E87" s="40">
        <v>80.5</v>
      </c>
      <c r="F87" s="40">
        <f t="shared" ref="F87" si="62">C87*(E87-D87)</f>
        <v>-827.6849999999996</v>
      </c>
      <c r="G87" s="40">
        <f t="shared" ref="G87" si="63">D87*C87</f>
        <v>12902.684999999999</v>
      </c>
      <c r="H87" s="232">
        <f t="shared" ref="H87" si="64">(E87-D87)/D87</f>
        <v>-6.4148276114622621E-2</v>
      </c>
      <c r="I87" s="353"/>
    </row>
    <row r="88" spans="2:9" x14ac:dyDescent="0.25">
      <c r="B88" s="193">
        <v>42607</v>
      </c>
      <c r="C88" s="10">
        <v>150</v>
      </c>
      <c r="D88" s="40">
        <v>86.017899999999997</v>
      </c>
      <c r="E88" s="40">
        <v>80.08</v>
      </c>
      <c r="F88" s="40">
        <f t="shared" ref="F88" si="65">C88*(E88-D88)</f>
        <v>-890.68499999999983</v>
      </c>
      <c r="G88" s="40">
        <f t="shared" ref="G88" si="66">D88*C88</f>
        <v>12902.684999999999</v>
      </c>
      <c r="H88" s="232">
        <f t="shared" ref="H88" si="67">(E88-D88)/D88</f>
        <v>-6.9030980760981131E-2</v>
      </c>
      <c r="I88" s="353"/>
    </row>
    <row r="89" spans="2:9" x14ac:dyDescent="0.25">
      <c r="B89" s="193">
        <v>42608</v>
      </c>
      <c r="C89" s="10">
        <v>170</v>
      </c>
      <c r="D89" s="40">
        <v>85.225200000000001</v>
      </c>
      <c r="E89" s="40">
        <v>79.77</v>
      </c>
      <c r="F89" s="40">
        <f t="shared" ref="F89" si="68">C89*(E89-D89)</f>
        <v>-927.38400000000081</v>
      </c>
      <c r="G89" s="40">
        <f t="shared" ref="G89" si="69">D89*C89</f>
        <v>14488.284</v>
      </c>
      <c r="H89" s="232">
        <f t="shared" ref="H89" si="70">(E89-D89)/D89</f>
        <v>-6.4009236704636707E-2</v>
      </c>
      <c r="I89" s="353"/>
    </row>
    <row r="90" spans="2:9" x14ac:dyDescent="0.25">
      <c r="B90" s="193">
        <v>42609</v>
      </c>
      <c r="C90" s="10">
        <v>170</v>
      </c>
      <c r="D90" s="40">
        <v>85.225200000000001</v>
      </c>
      <c r="E90" s="40">
        <v>77.92</v>
      </c>
      <c r="F90" s="40">
        <f t="shared" ref="F90" si="71">C90*(E90-D90)</f>
        <v>-1241.8839999999998</v>
      </c>
      <c r="G90" s="40">
        <f t="shared" ref="G90" si="72">D90*C90</f>
        <v>14488.284</v>
      </c>
      <c r="H90" s="232">
        <f t="shared" ref="H90" si="73">(E90-D90)/D90</f>
        <v>-8.5716431290275633E-2</v>
      </c>
      <c r="I90" s="353"/>
    </row>
    <row r="91" spans="2:9" x14ac:dyDescent="0.25">
      <c r="B91" s="193">
        <v>42614</v>
      </c>
      <c r="C91" s="448">
        <v>200</v>
      </c>
      <c r="D91" s="449">
        <v>84.093400000000003</v>
      </c>
      <c r="E91" s="40">
        <v>77.42</v>
      </c>
      <c r="F91" s="40">
        <f t="shared" ref="F91" si="74">C91*(E91-D91)</f>
        <v>-1334.6800000000003</v>
      </c>
      <c r="G91" s="40">
        <f t="shared" ref="G91" si="75">D91*C91</f>
        <v>16818.68</v>
      </c>
      <c r="H91" s="232">
        <f t="shared" ref="H91" si="76">(E91-D91)/D91</f>
        <v>-7.9357000668304534E-2</v>
      </c>
      <c r="I91" s="353"/>
    </row>
    <row r="92" spans="2:9" x14ac:dyDescent="0.25">
      <c r="B92" s="193">
        <v>42615</v>
      </c>
      <c r="C92" s="10">
        <v>200</v>
      </c>
      <c r="D92" s="40">
        <v>84.093400000000003</v>
      </c>
      <c r="E92" s="40">
        <v>76.89</v>
      </c>
      <c r="F92" s="40">
        <f t="shared" ref="F92" si="77">C92*(E92-D92)</f>
        <v>-1440.6800000000003</v>
      </c>
      <c r="G92" s="40">
        <f t="shared" ref="G92" si="78">D92*C92</f>
        <v>16818.68</v>
      </c>
      <c r="H92" s="232">
        <f t="shared" ref="H92" si="79">(E92-D92)/D92</f>
        <v>-8.5659516680262685E-2</v>
      </c>
      <c r="I92" s="353"/>
    </row>
    <row r="93" spans="2:9" x14ac:dyDescent="0.25">
      <c r="B93" s="193">
        <v>42619</v>
      </c>
      <c r="C93" s="10">
        <v>200</v>
      </c>
      <c r="D93" s="40">
        <v>84.093400000000003</v>
      </c>
      <c r="E93" s="40">
        <v>77.88</v>
      </c>
      <c r="F93" s="40">
        <f t="shared" ref="F93" si="80">C93*(E93-D93)</f>
        <v>-1242.6800000000014</v>
      </c>
      <c r="G93" s="40">
        <f t="shared" ref="G93" si="81">D93*C93</f>
        <v>16818.68</v>
      </c>
      <c r="H93" s="232">
        <f t="shared" ref="H93" si="82">(E93-D93)/D93</f>
        <v>-7.3886892431510753E-2</v>
      </c>
      <c r="I93" s="353"/>
    </row>
    <row r="94" spans="2:9" x14ac:dyDescent="0.25">
      <c r="B94" s="193">
        <v>42632</v>
      </c>
      <c r="C94" s="10">
        <v>200</v>
      </c>
      <c r="D94" s="40">
        <v>84.093400000000003</v>
      </c>
      <c r="E94" s="40">
        <v>78.989999999999995</v>
      </c>
      <c r="F94" s="40">
        <f t="shared" ref="F94" si="83">C94*(E94-D94)</f>
        <v>-1020.6800000000015</v>
      </c>
      <c r="G94" s="40">
        <f t="shared" ref="G94" si="84">D94*C94</f>
        <v>16818.68</v>
      </c>
      <c r="H94" s="232">
        <f t="shared" ref="H94" si="85">(E94-D94)/D94</f>
        <v>-6.0687283425334304E-2</v>
      </c>
      <c r="I94" s="353"/>
    </row>
    <row r="95" spans="2:9" x14ac:dyDescent="0.25">
      <c r="B95" s="193">
        <v>42633</v>
      </c>
      <c r="C95" s="10">
        <v>200</v>
      </c>
      <c r="D95" s="40">
        <v>84.093400000000003</v>
      </c>
      <c r="E95" s="40">
        <v>81.78</v>
      </c>
      <c r="F95" s="40">
        <f t="shared" ref="F95" si="86">C95*(E95-D95)</f>
        <v>-462.68000000000029</v>
      </c>
      <c r="G95" s="40">
        <f t="shared" ref="G95" si="87">D95*C95</f>
        <v>16818.68</v>
      </c>
      <c r="H95" s="232">
        <f t="shared" ref="H95" si="88">(E95-D95)/D95</f>
        <v>-2.7509887815215003E-2</v>
      </c>
      <c r="I95" s="353"/>
    </row>
    <row r="96" spans="2:9" x14ac:dyDescent="0.25">
      <c r="B96" s="193">
        <v>42635</v>
      </c>
      <c r="C96" s="10">
        <v>200</v>
      </c>
      <c r="D96" s="40">
        <v>84.093400000000003</v>
      </c>
      <c r="E96" s="40">
        <v>81.52</v>
      </c>
      <c r="F96" s="40">
        <f t="shared" ref="F96" si="89">C96*(E96-D96)</f>
        <v>-514.68000000000131</v>
      </c>
      <c r="G96" s="40">
        <f t="shared" ref="G96" si="90">D96*C96</f>
        <v>16818.68</v>
      </c>
      <c r="H96" s="232">
        <f t="shared" ref="H96" si="91">(E96-D96)/D96</f>
        <v>-3.060168812296811E-2</v>
      </c>
      <c r="I96" s="353"/>
    </row>
    <row r="97" spans="2:9" x14ac:dyDescent="0.25">
      <c r="B97" s="193">
        <v>42640</v>
      </c>
      <c r="C97" s="10">
        <v>200</v>
      </c>
      <c r="D97" s="40">
        <v>84.093400000000003</v>
      </c>
      <c r="E97" s="40">
        <v>79.25</v>
      </c>
      <c r="F97" s="40">
        <f t="shared" ref="F97" si="92">C97*(E97-D97)</f>
        <v>-968.68000000000052</v>
      </c>
      <c r="G97" s="40">
        <f t="shared" ref="G97" si="93">D97*C97</f>
        <v>16818.68</v>
      </c>
      <c r="H97" s="232">
        <f t="shared" ref="H97" si="94">(E97-D97)/D97</f>
        <v>-5.7595483117581198E-2</v>
      </c>
      <c r="I97" s="353" t="s">
        <v>189</v>
      </c>
    </row>
    <row r="98" spans="2:9" x14ac:dyDescent="0.25">
      <c r="B98" s="193">
        <v>42643</v>
      </c>
      <c r="C98" s="448">
        <v>200</v>
      </c>
      <c r="D98" s="449">
        <v>83.623400000000004</v>
      </c>
      <c r="E98" s="40">
        <v>79.12</v>
      </c>
      <c r="F98" s="40">
        <f t="shared" ref="F98:F100" si="95">C98*(E98-D98)</f>
        <v>-900.67999999999984</v>
      </c>
      <c r="G98" s="40">
        <f t="shared" ref="G98:G100" si="96">D98*C98</f>
        <v>16724.68</v>
      </c>
      <c r="H98" s="232">
        <f t="shared" ref="H98:H100" si="97">(E98-D98)/D98</f>
        <v>-5.3853347268826658E-2</v>
      </c>
      <c r="I98" s="449">
        <v>83</v>
      </c>
    </row>
    <row r="99" spans="2:9" x14ac:dyDescent="0.25">
      <c r="B99" s="193">
        <v>42646</v>
      </c>
      <c r="C99" s="448">
        <v>200</v>
      </c>
      <c r="D99" s="449">
        <v>83.518799999999999</v>
      </c>
      <c r="E99" s="40">
        <v>78.03</v>
      </c>
      <c r="F99" s="40">
        <f t="shared" si="95"/>
        <v>-1097.7599999999995</v>
      </c>
      <c r="G99" s="40">
        <f t="shared" si="96"/>
        <v>16703.759999999998</v>
      </c>
      <c r="H99" s="232">
        <f t="shared" si="97"/>
        <v>-6.5719335047917327E-2</v>
      </c>
      <c r="I99" s="353"/>
    </row>
    <row r="100" spans="2:9" x14ac:dyDescent="0.25">
      <c r="B100" s="193">
        <v>42649</v>
      </c>
      <c r="C100" s="10">
        <v>250</v>
      </c>
      <c r="D100" s="40">
        <v>82.090999999999994</v>
      </c>
      <c r="E100" s="40">
        <v>76.209999999999994</v>
      </c>
      <c r="F100" s="40">
        <f t="shared" si="95"/>
        <v>-1470.25</v>
      </c>
      <c r="G100" s="40">
        <f t="shared" si="96"/>
        <v>20522.75</v>
      </c>
      <c r="H100" s="232">
        <f t="shared" si="97"/>
        <v>-7.1640009258018542E-2</v>
      </c>
      <c r="I100" s="353"/>
    </row>
    <row r="101" spans="2:9" x14ac:dyDescent="0.25">
      <c r="B101" s="193">
        <v>42650</v>
      </c>
      <c r="C101" s="10">
        <v>250</v>
      </c>
      <c r="D101" s="40">
        <v>82.090999999999994</v>
      </c>
      <c r="E101" s="40">
        <v>75.239999999999995</v>
      </c>
      <c r="F101" s="40">
        <f t="shared" ref="F101" si="98">C101*(E101-D101)</f>
        <v>-1712.7499999999998</v>
      </c>
      <c r="G101" s="40">
        <f t="shared" ref="G101" si="99">D101*C101</f>
        <v>20522.75</v>
      </c>
      <c r="H101" s="232">
        <f t="shared" ref="H101" si="100">(E101-D101)/D101</f>
        <v>-8.3456164500371535E-2</v>
      </c>
      <c r="I101" s="353"/>
    </row>
    <row r="102" spans="2:9" x14ac:dyDescent="0.25">
      <c r="B102" s="193">
        <v>42661</v>
      </c>
      <c r="C102" s="10">
        <v>250</v>
      </c>
      <c r="D102" s="40">
        <v>82.090999999999994</v>
      </c>
      <c r="E102" s="40">
        <v>73.41</v>
      </c>
      <c r="F102" s="40">
        <f t="shared" ref="F102" si="101">C102*(E102-D102)</f>
        <v>-2170.2499999999995</v>
      </c>
      <c r="G102" s="40">
        <f t="shared" ref="G102" si="102">D102*C102</f>
        <v>20522.75</v>
      </c>
      <c r="H102" s="232">
        <f t="shared" ref="H102" si="103">(E102-D102)/D102</f>
        <v>-0.105748498617388</v>
      </c>
      <c r="I102" s="353"/>
    </row>
    <row r="103" spans="2:9" x14ac:dyDescent="0.25">
      <c r="B103" s="193">
        <v>42676</v>
      </c>
      <c r="C103" s="10">
        <v>250</v>
      </c>
      <c r="D103" s="40">
        <v>82.090999999999994</v>
      </c>
      <c r="E103" s="40">
        <v>72.510000000000005</v>
      </c>
      <c r="F103" s="40">
        <f t="shared" ref="F103:F110" si="104">C103*(E103-D103)</f>
        <v>-2395.2499999999973</v>
      </c>
      <c r="G103" s="40">
        <f t="shared" ref="G103:G110" si="105">D103*C103</f>
        <v>20522.75</v>
      </c>
      <c r="H103" s="232">
        <f t="shared" ref="H103:H110" si="106">(E103-D103)/D103</f>
        <v>-0.11671194162575665</v>
      </c>
      <c r="I103" s="353"/>
    </row>
    <row r="104" spans="2:9" x14ac:dyDescent="0.25">
      <c r="B104" s="193">
        <v>42701</v>
      </c>
      <c r="C104" s="448">
        <v>200</v>
      </c>
      <c r="D104" s="449">
        <v>82.49</v>
      </c>
      <c r="E104" s="40">
        <v>75.44</v>
      </c>
      <c r="F104" s="40">
        <f t="shared" si="104"/>
        <v>-1409.9999999999995</v>
      </c>
      <c r="G104" s="40">
        <f t="shared" si="105"/>
        <v>16498</v>
      </c>
      <c r="H104" s="232">
        <f t="shared" si="106"/>
        <v>-8.5464904836949906E-2</v>
      </c>
      <c r="I104" s="567" t="s">
        <v>328</v>
      </c>
    </row>
    <row r="105" spans="2:9" x14ac:dyDescent="0.25">
      <c r="B105" s="193">
        <v>42704</v>
      </c>
      <c r="C105" s="10">
        <v>200</v>
      </c>
      <c r="D105" s="40">
        <v>82.49</v>
      </c>
      <c r="E105" s="40">
        <v>73.7</v>
      </c>
      <c r="F105" s="40">
        <f t="shared" si="104"/>
        <v>-1757.9999999999984</v>
      </c>
      <c r="G105" s="40">
        <f t="shared" si="105"/>
        <v>16498</v>
      </c>
      <c r="H105" s="232">
        <f t="shared" si="106"/>
        <v>-0.10655837071160132</v>
      </c>
      <c r="I105" s="353"/>
    </row>
    <row r="106" spans="2:9" x14ac:dyDescent="0.25">
      <c r="B106" s="193">
        <v>42705</v>
      </c>
      <c r="C106" s="10">
        <v>250</v>
      </c>
      <c r="D106" s="40">
        <v>80.656000000000006</v>
      </c>
      <c r="E106" s="40">
        <v>72.84</v>
      </c>
      <c r="F106" s="40">
        <f t="shared" si="104"/>
        <v>-1954.0000000000007</v>
      </c>
      <c r="G106" s="40">
        <f t="shared" si="105"/>
        <v>20164</v>
      </c>
      <c r="H106" s="232">
        <f t="shared" si="106"/>
        <v>-9.6905375917476722E-2</v>
      </c>
      <c r="I106" s="353"/>
    </row>
    <row r="107" spans="2:9" x14ac:dyDescent="0.25">
      <c r="B107" s="193">
        <v>42717</v>
      </c>
      <c r="C107" s="448">
        <v>200</v>
      </c>
      <c r="D107" s="449">
        <v>82.125900000000001</v>
      </c>
      <c r="E107" s="40">
        <v>74.84</v>
      </c>
      <c r="F107" s="40">
        <f t="shared" si="104"/>
        <v>-1457.1799999999996</v>
      </c>
      <c r="G107" s="40">
        <f t="shared" si="105"/>
        <v>16425.18</v>
      </c>
      <c r="H107" s="232">
        <f t="shared" si="106"/>
        <v>-8.8716227158545574E-2</v>
      </c>
      <c r="I107" s="353"/>
    </row>
    <row r="108" spans="2:9" x14ac:dyDescent="0.25">
      <c r="B108" s="193">
        <v>42717</v>
      </c>
      <c r="C108" s="10">
        <v>150</v>
      </c>
      <c r="D108" s="40">
        <v>84.257800000000003</v>
      </c>
      <c r="E108" s="40">
        <v>74.84</v>
      </c>
      <c r="F108" s="40">
        <f t="shared" si="104"/>
        <v>-1412.67</v>
      </c>
      <c r="G108" s="40">
        <f t="shared" si="105"/>
        <v>12638.67</v>
      </c>
      <c r="H108" s="232">
        <f t="shared" si="106"/>
        <v>-0.11177362807953685</v>
      </c>
      <c r="I108" s="353"/>
    </row>
    <row r="109" spans="2:9" x14ac:dyDescent="0.25">
      <c r="B109" s="193">
        <v>42717</v>
      </c>
      <c r="C109" s="448">
        <v>200</v>
      </c>
      <c r="D109" s="449">
        <v>81.988399999999999</v>
      </c>
      <c r="E109" s="40">
        <v>74.84</v>
      </c>
      <c r="F109" s="40">
        <f t="shared" si="104"/>
        <v>-1429.6799999999989</v>
      </c>
      <c r="G109" s="40">
        <f t="shared" si="105"/>
        <v>16397.68</v>
      </c>
      <c r="H109" s="232">
        <f t="shared" si="106"/>
        <v>-8.718794366032262E-2</v>
      </c>
      <c r="I109" s="567" t="s">
        <v>353</v>
      </c>
    </row>
    <row r="110" spans="2:9" x14ac:dyDescent="0.25">
      <c r="B110" s="193">
        <v>42733</v>
      </c>
      <c r="C110" s="10">
        <v>250</v>
      </c>
      <c r="D110" s="40">
        <v>80.886700000000005</v>
      </c>
      <c r="E110" s="40">
        <v>72.08</v>
      </c>
      <c r="F110" s="40">
        <f t="shared" si="104"/>
        <v>-2201.6750000000015</v>
      </c>
      <c r="G110" s="40">
        <f t="shared" si="105"/>
        <v>20221.675000000003</v>
      </c>
      <c r="H110" s="232">
        <f t="shared" si="106"/>
        <v>-0.10887698472060309</v>
      </c>
      <c r="I110" s="353"/>
    </row>
    <row r="111" spans="2:9" x14ac:dyDescent="0.25">
      <c r="B111" s="193">
        <v>42734</v>
      </c>
      <c r="C111" s="10">
        <v>250</v>
      </c>
      <c r="D111" s="40">
        <v>79.536699999999996</v>
      </c>
      <c r="E111" s="40">
        <v>72.08</v>
      </c>
      <c r="F111" s="40">
        <f t="shared" ref="F111:F112" si="107">C111*(E111-D111)</f>
        <v>-1864.1749999999995</v>
      </c>
      <c r="G111" s="40">
        <f t="shared" ref="G111:G112" si="108">D111*C111</f>
        <v>19884.174999999999</v>
      </c>
      <c r="H111" s="232">
        <f t="shared" ref="H111:H112" si="109">(E111-D111)/D111</f>
        <v>-9.3751689471652688E-2</v>
      </c>
      <c r="I111" s="353" t="s">
        <v>189</v>
      </c>
    </row>
    <row r="112" spans="2:9" x14ac:dyDescent="0.25">
      <c r="B112" s="193">
        <v>42738</v>
      </c>
      <c r="C112" s="448">
        <v>200</v>
      </c>
      <c r="D112" s="449">
        <v>81.026300000000006</v>
      </c>
      <c r="E112" s="40">
        <v>74.16</v>
      </c>
      <c r="F112" s="40">
        <f t="shared" si="107"/>
        <v>-1373.260000000002</v>
      </c>
      <c r="G112" s="40">
        <f t="shared" si="108"/>
        <v>16205.260000000002</v>
      </c>
      <c r="H112" s="232">
        <f t="shared" si="109"/>
        <v>-8.4741620930488121E-2</v>
      </c>
      <c r="I112" s="353"/>
    </row>
    <row r="113" spans="1:9" x14ac:dyDescent="0.25">
      <c r="B113" s="193">
        <v>42739</v>
      </c>
      <c r="C113" s="10">
        <v>200</v>
      </c>
      <c r="D113" s="40">
        <v>81.026300000000006</v>
      </c>
      <c r="E113" s="40">
        <v>76.38</v>
      </c>
      <c r="F113" s="40">
        <f t="shared" ref="F113" si="110">C113*(E113-D113)</f>
        <v>-929.26000000000215</v>
      </c>
      <c r="G113" s="40">
        <f t="shared" ref="G113" si="111">D113*C113</f>
        <v>16205.260000000002</v>
      </c>
      <c r="H113" s="232">
        <f t="shared" ref="H113" si="112">(E113-D113)/D113</f>
        <v>-5.7343109582938014E-2</v>
      </c>
      <c r="I113" s="353"/>
    </row>
    <row r="114" spans="1:9" x14ac:dyDescent="0.25">
      <c r="B114" s="193">
        <v>42746</v>
      </c>
      <c r="C114" s="10">
        <v>200</v>
      </c>
      <c r="D114" s="40">
        <v>81.026300000000006</v>
      </c>
      <c r="E114" s="40">
        <v>73.77</v>
      </c>
      <c r="F114" s="40">
        <f t="shared" ref="F114:F117" si="113">C114*(E114-D114)</f>
        <v>-1451.260000000002</v>
      </c>
      <c r="G114" s="40">
        <f t="shared" ref="G114:G117" si="114">D114*C114</f>
        <v>16205.260000000002</v>
      </c>
      <c r="H114" s="232">
        <f t="shared" ref="H114:H117" si="115">(E114-D114)/D114</f>
        <v>-8.9554872923976653E-2</v>
      </c>
      <c r="I114" s="353"/>
    </row>
    <row r="115" spans="1:9" x14ac:dyDescent="0.25">
      <c r="B115" s="193">
        <v>43056</v>
      </c>
      <c r="C115" s="10">
        <v>250</v>
      </c>
      <c r="D115" s="40">
        <v>79.197000000000003</v>
      </c>
      <c r="E115" s="40">
        <v>71.91</v>
      </c>
      <c r="F115" s="40">
        <f t="shared" si="113"/>
        <v>-1821.7500000000016</v>
      </c>
      <c r="G115" s="40">
        <f t="shared" si="114"/>
        <v>19799.25</v>
      </c>
      <c r="H115" s="232">
        <f t="shared" si="115"/>
        <v>-9.2011061025038907E-2</v>
      </c>
      <c r="I115" s="202">
        <v>79</v>
      </c>
    </row>
    <row r="116" spans="1:9" x14ac:dyDescent="0.25">
      <c r="A116" t="s">
        <v>423</v>
      </c>
      <c r="B116" s="193">
        <v>42755</v>
      </c>
      <c r="C116" s="10">
        <v>300</v>
      </c>
      <c r="D116" s="40">
        <v>77.794200000000004</v>
      </c>
      <c r="E116" s="40">
        <v>71.010000000000005</v>
      </c>
      <c r="F116" s="40">
        <f t="shared" si="113"/>
        <v>-2035.2599999999995</v>
      </c>
      <c r="G116" s="40">
        <f t="shared" si="114"/>
        <v>23338.260000000002</v>
      </c>
      <c r="H116" s="232">
        <f t="shared" si="115"/>
        <v>-8.7207015433027113E-2</v>
      </c>
      <c r="I116" s="353"/>
    </row>
    <row r="117" spans="1:9" x14ac:dyDescent="0.25">
      <c r="A117" t="s">
        <v>457</v>
      </c>
      <c r="B117" s="193">
        <v>42760</v>
      </c>
      <c r="C117" s="10">
        <v>250</v>
      </c>
      <c r="D117" s="40">
        <v>78.997900000000001</v>
      </c>
      <c r="E117" s="40">
        <v>71.78</v>
      </c>
      <c r="F117" s="40">
        <f t="shared" si="113"/>
        <v>-1804.4750000000001</v>
      </c>
      <c r="G117" s="40">
        <f t="shared" si="114"/>
        <v>19749.474999999999</v>
      </c>
      <c r="H117" s="232">
        <f t="shared" si="115"/>
        <v>-9.1368251561117442E-2</v>
      </c>
      <c r="I117" s="202" t="s">
        <v>485</v>
      </c>
    </row>
    <row r="118" spans="1:9" x14ac:dyDescent="0.25">
      <c r="A118" t="s">
        <v>457</v>
      </c>
      <c r="B118" s="193">
        <v>42762</v>
      </c>
      <c r="C118" s="10">
        <v>250</v>
      </c>
      <c r="D118" s="40">
        <v>78.997900000000001</v>
      </c>
      <c r="E118" s="40">
        <v>71.260000000000005</v>
      </c>
      <c r="F118" s="40">
        <f t="shared" ref="F118" si="116">C118*(E118-D118)</f>
        <v>-1934.474999999999</v>
      </c>
      <c r="G118" s="40">
        <f t="shared" ref="G118" si="117">D118*C118</f>
        <v>19749.474999999999</v>
      </c>
      <c r="H118" s="232">
        <f t="shared" ref="H118" si="118">(E118-D118)/D118</f>
        <v>-9.7950705018740952E-2</v>
      </c>
      <c r="I118" s="353"/>
    </row>
    <row r="119" spans="1:9" x14ac:dyDescent="0.25">
      <c r="B119" s="10"/>
      <c r="C119" s="10"/>
      <c r="D119" s="40"/>
      <c r="E119" s="40"/>
      <c r="F119" s="40"/>
      <c r="G119" s="40"/>
      <c r="H119" s="232"/>
      <c r="I119" s="353"/>
    </row>
    <row r="120" spans="1:9" x14ac:dyDescent="0.25">
      <c r="B120" s="10"/>
      <c r="C120" s="10"/>
      <c r="D120" s="40"/>
      <c r="E120" s="40"/>
      <c r="F120" s="40"/>
      <c r="G120" s="40"/>
      <c r="H120" s="232"/>
      <c r="I120" s="353"/>
    </row>
    <row r="121" spans="1:9" x14ac:dyDescent="0.25">
      <c r="B121" s="10"/>
      <c r="C121" s="10"/>
      <c r="D121" s="40"/>
      <c r="E121" s="40"/>
      <c r="F121" s="40"/>
      <c r="G121" s="40"/>
      <c r="H121" s="232"/>
      <c r="I121" s="353"/>
    </row>
    <row r="122" spans="1:9" x14ac:dyDescent="0.25">
      <c r="B122" s="10"/>
      <c r="C122" s="10"/>
      <c r="D122" s="40"/>
      <c r="E122" s="40"/>
      <c r="F122" s="40"/>
      <c r="G122" s="40"/>
      <c r="H122" s="232"/>
      <c r="I122" s="353"/>
    </row>
    <row r="123" spans="1:9" x14ac:dyDescent="0.25">
      <c r="B123" s="10"/>
      <c r="C123" s="10"/>
      <c r="D123" s="40"/>
      <c r="E123" s="40"/>
      <c r="F123" s="40"/>
      <c r="G123" s="40"/>
      <c r="H123" s="232"/>
      <c r="I123" s="353"/>
    </row>
    <row r="124" spans="1:9" x14ac:dyDescent="0.25">
      <c r="B124" s="10"/>
      <c r="C124" s="10"/>
      <c r="D124" s="40"/>
      <c r="E124" s="40"/>
      <c r="F124" s="40"/>
      <c r="G124" s="40"/>
      <c r="H124" s="232"/>
      <c r="I124" s="353"/>
    </row>
    <row r="125" spans="1:9" x14ac:dyDescent="0.25">
      <c r="B125" s="10"/>
      <c r="C125" s="10"/>
      <c r="D125" s="40"/>
      <c r="E125" s="40"/>
      <c r="F125" s="40"/>
      <c r="G125" s="40"/>
      <c r="H125" s="232"/>
      <c r="I125" s="353"/>
    </row>
    <row r="126" spans="1:9" x14ac:dyDescent="0.25">
      <c r="B126" s="10"/>
      <c r="C126" s="10"/>
      <c r="D126" s="40"/>
      <c r="E126" s="40"/>
      <c r="F126" s="40"/>
      <c r="G126" s="40"/>
      <c r="H126" s="232"/>
      <c r="I126" s="353"/>
    </row>
    <row r="127" spans="1:9" x14ac:dyDescent="0.25">
      <c r="B127" s="10"/>
      <c r="C127" s="10"/>
      <c r="D127" s="40"/>
      <c r="E127" s="40"/>
      <c r="F127" s="40"/>
      <c r="G127" s="40"/>
      <c r="H127" s="232"/>
      <c r="I127" s="353"/>
    </row>
    <row r="128" spans="1:9" x14ac:dyDescent="0.25">
      <c r="B128" s="10"/>
      <c r="C128" s="10"/>
      <c r="D128" s="40"/>
      <c r="E128" s="40"/>
      <c r="F128" s="40"/>
      <c r="G128" s="40"/>
      <c r="H128" s="232"/>
      <c r="I128" s="353"/>
    </row>
    <row r="129" spans="2:9" x14ac:dyDescent="0.25">
      <c r="B129" s="10"/>
      <c r="C129" s="10"/>
      <c r="D129" s="40"/>
      <c r="E129" s="40"/>
      <c r="F129" s="40"/>
      <c r="G129" s="40"/>
      <c r="H129" s="232"/>
      <c r="I129" s="353"/>
    </row>
    <row r="130" spans="2:9" x14ac:dyDescent="0.25">
      <c r="B130" s="10"/>
      <c r="C130" s="10"/>
      <c r="D130" s="40"/>
      <c r="E130" s="40"/>
      <c r="F130" s="40"/>
      <c r="G130" s="40"/>
      <c r="H130" s="232"/>
      <c r="I130" s="353"/>
    </row>
    <row r="131" spans="2:9" x14ac:dyDescent="0.25">
      <c r="B131" s="10"/>
      <c r="C131" s="10"/>
      <c r="D131" s="40"/>
      <c r="E131" s="40"/>
      <c r="F131" s="40"/>
      <c r="G131" s="40"/>
      <c r="H131" s="232"/>
      <c r="I131" s="353"/>
    </row>
    <row r="132" spans="2:9" x14ac:dyDescent="0.25">
      <c r="B132" s="10"/>
      <c r="C132" s="10"/>
      <c r="D132" s="40"/>
      <c r="E132" s="40"/>
      <c r="F132" s="40"/>
      <c r="G132" s="40"/>
      <c r="H132" s="232"/>
      <c r="I132" s="353"/>
    </row>
    <row r="133" spans="2:9" x14ac:dyDescent="0.25">
      <c r="B133" s="10"/>
      <c r="C133" s="10"/>
      <c r="D133" s="40"/>
      <c r="E133" s="40"/>
      <c r="F133" s="40"/>
      <c r="G133" s="40"/>
      <c r="H133" s="232"/>
      <c r="I133" s="353"/>
    </row>
    <row r="134" spans="2:9" x14ac:dyDescent="0.25">
      <c r="B134" s="10"/>
      <c r="C134" s="10"/>
      <c r="D134" s="40"/>
      <c r="E134" s="40"/>
      <c r="F134" s="40"/>
      <c r="G134" s="40"/>
      <c r="H134" s="232"/>
      <c r="I134" s="353"/>
    </row>
    <row r="135" spans="2:9" x14ac:dyDescent="0.25">
      <c r="B135" s="10"/>
      <c r="C135" s="10"/>
      <c r="D135" s="40"/>
      <c r="E135" s="40"/>
      <c r="F135" s="40"/>
      <c r="G135" s="40"/>
      <c r="H135" s="232"/>
      <c r="I135" s="353"/>
    </row>
    <row r="136" spans="2:9" x14ac:dyDescent="0.25">
      <c r="B136" s="10"/>
      <c r="C136" s="10"/>
      <c r="D136" s="40"/>
      <c r="E136" s="40"/>
      <c r="F136" s="40"/>
      <c r="G136" s="40"/>
      <c r="H136" s="232"/>
      <c r="I136" s="353"/>
    </row>
  </sheetData>
  <mergeCells count="1">
    <mergeCell ref="O42:P42"/>
  </mergeCells>
  <conditionalFormatting sqref="F50:F51 H50:I51 H52 H53:I63 H64 H65:I97 H98 H99:I103 H104 H105:I108 H109 F55:F136 H110:I136">
    <cfRule type="expression" dxfId="85" priority="28">
      <formula>F50&gt;0</formula>
    </cfRule>
    <cfRule type="expression" dxfId="84" priority="29">
      <formula>F50&lt;0</formula>
    </cfRule>
  </conditionalFormatting>
  <conditionalFormatting sqref="O43:O63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{86FAAE09-9D14-4D37-B2DD-E1FBF7E17436}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49">
    <cfRule type="expression" dxfId="83" priority="21">
      <formula>F47&gt;0</formula>
    </cfRule>
    <cfRule type="expression" dxfId="82" priority="22">
      <formula>F47&lt;0</formula>
    </cfRule>
  </conditionalFormatting>
  <conditionalFormatting sqref="H47:I47">
    <cfRule type="expression" dxfId="81" priority="17">
      <formula>H47&gt;0</formula>
    </cfRule>
    <cfRule type="expression" dxfId="80" priority="18">
      <formula>H47&lt;0</formula>
    </cfRule>
  </conditionalFormatting>
  <conditionalFormatting sqref="H48:I48">
    <cfRule type="expression" dxfId="79" priority="15">
      <formula>H48&gt;0</formula>
    </cfRule>
    <cfRule type="expression" dxfId="78" priority="16">
      <formula>H48&lt;0</formula>
    </cfRule>
  </conditionalFormatting>
  <conditionalFormatting sqref="H49:I49">
    <cfRule type="expression" dxfId="77" priority="13">
      <formula>H49&gt;0</formula>
    </cfRule>
    <cfRule type="expression" dxfId="76" priority="14">
      <formula>H49&lt;0</formula>
    </cfRule>
  </conditionalFormatting>
  <conditionalFormatting sqref="F40:F46">
    <cfRule type="expression" dxfId="75" priority="11">
      <formula>F40&gt;0</formula>
    </cfRule>
    <cfRule type="expression" dxfId="74" priority="12">
      <formula>F40&lt;0</formula>
    </cfRule>
  </conditionalFormatting>
  <conditionalFormatting sqref="H40:I46">
    <cfRule type="expression" dxfId="73" priority="9">
      <formula>H40&gt;0</formula>
    </cfRule>
    <cfRule type="expression" dxfId="72" priority="10">
      <formula>H40&lt;0</formula>
    </cfRule>
  </conditionalFormatting>
  <conditionalFormatting sqref="I52 F52:F54">
    <cfRule type="expression" dxfId="71" priority="7">
      <formula>F52&gt;0</formula>
    </cfRule>
    <cfRule type="expression" dxfId="70" priority="8">
      <formula>F52&lt;0</formula>
    </cfRule>
  </conditionalFormatting>
  <conditionalFormatting sqref="Q8">
    <cfRule type="expression" dxfId="69" priority="3">
      <formula>Q8&gt;0</formula>
    </cfRule>
    <cfRule type="expression" dxfId="68" priority="4">
      <formula>Q8&lt;0</formula>
    </cfRule>
  </conditionalFormatting>
  <conditionalFormatting sqref="Q7">
    <cfRule type="expression" dxfId="67" priority="5">
      <formula>Q7&gt;0</formula>
    </cfRule>
    <cfRule type="expression" dxfId="66" priority="6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6FAAE09-9D14-4D37-B2DD-E1FBF7E174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53</v>
      </c>
      <c r="B2" s="74"/>
      <c r="C2" s="4"/>
      <c r="D2" s="3"/>
      <c r="E2" s="3"/>
      <c r="F2" s="3"/>
      <c r="G2" s="74"/>
      <c r="H2" s="3"/>
      <c r="I2" s="3"/>
      <c r="J2" s="3"/>
      <c r="K2" s="4"/>
      <c r="L2" s="74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3">
        <v>42768</v>
      </c>
      <c r="X2" s="10">
        <v>68.75</v>
      </c>
      <c r="Y2" s="10">
        <v>69.37</v>
      </c>
      <c r="Z2" s="10">
        <v>68.260000000000005</v>
      </c>
      <c r="AA2" s="10">
        <v>69.150000000000006</v>
      </c>
      <c r="AB2" s="95">
        <v>323200</v>
      </c>
      <c r="AC2" s="10">
        <v>69.150000000000006</v>
      </c>
      <c r="AD2" s="2">
        <f>Y2-Z2</f>
        <v>1.1099999999999994</v>
      </c>
      <c r="AE2" s="138">
        <f>AC2/AC3-1</f>
        <v>-5.1791109192921292E-3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4"/>
      <c r="I3" s="4"/>
      <c r="J3" s="4"/>
      <c r="K3" s="4"/>
      <c r="L3" s="74"/>
      <c r="M3" s="4"/>
      <c r="O3" s="11" t="s">
        <v>58</v>
      </c>
      <c r="Q3" s="2">
        <f>IF(Q2=0, Q4, (F18-K18-M18)/Q2)</f>
        <v>70.33</v>
      </c>
      <c r="W3" s="133">
        <v>42767</v>
      </c>
      <c r="X3" s="10">
        <v>69.959999999999994</v>
      </c>
      <c r="Y3" s="10">
        <v>70.31</v>
      </c>
      <c r="Z3" s="10">
        <v>69.02</v>
      </c>
      <c r="AA3" s="10">
        <v>69.510000000000005</v>
      </c>
      <c r="AB3" s="95">
        <v>276700</v>
      </c>
      <c r="AC3" s="10">
        <v>69.510000000000005</v>
      </c>
      <c r="AD3" s="2">
        <f t="shared" ref="AD3:AD66" si="0">Y3-Z3</f>
        <v>1.2900000000000063</v>
      </c>
      <c r="AE3" s="138">
        <f t="shared" ref="AE3:AE66" si="1">AC3/AC4-1</f>
        <v>-1.8667432510051096E-3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70.33</v>
      </c>
      <c r="R4" s="505">
        <v>1.7100000000000001E-2</v>
      </c>
      <c r="W4" s="133">
        <v>42766</v>
      </c>
      <c r="X4" s="10">
        <v>69.680000000000007</v>
      </c>
      <c r="Y4" s="10">
        <v>70.39</v>
      </c>
      <c r="Z4" s="10">
        <v>68.7</v>
      </c>
      <c r="AA4" s="10">
        <v>69.64</v>
      </c>
      <c r="AB4" s="95">
        <v>373500</v>
      </c>
      <c r="AC4" s="10">
        <v>69.64</v>
      </c>
      <c r="AD4" s="2">
        <f t="shared" si="0"/>
        <v>1.6899999999999977</v>
      </c>
      <c r="AE4" s="138">
        <f t="shared" si="1"/>
        <v>-5.569041839211808E-3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42765</v>
      </c>
      <c r="X5" s="10">
        <v>69.34</v>
      </c>
      <c r="Y5" s="10">
        <v>70.37</v>
      </c>
      <c r="Z5" s="10">
        <v>68.2</v>
      </c>
      <c r="AA5" s="10">
        <v>70.03</v>
      </c>
      <c r="AB5" s="95">
        <v>476900</v>
      </c>
      <c r="AC5" s="10">
        <v>70.03</v>
      </c>
      <c r="AD5" s="2">
        <f t="shared" si="0"/>
        <v>2.1700000000000017</v>
      </c>
      <c r="AE5" s="138">
        <f t="shared" si="1"/>
        <v>4.2857142857144481E-4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42762</v>
      </c>
      <c r="X6" s="10">
        <v>70.14</v>
      </c>
      <c r="Y6" s="10">
        <v>70.89</v>
      </c>
      <c r="Z6" s="10">
        <v>69.900000000000006</v>
      </c>
      <c r="AA6" s="10">
        <v>70</v>
      </c>
      <c r="AB6" s="95">
        <v>218400</v>
      </c>
      <c r="AC6" s="10">
        <v>70</v>
      </c>
      <c r="AD6" s="2">
        <f t="shared" si="0"/>
        <v>0.98999999999999488</v>
      </c>
      <c r="AE6" s="138">
        <f t="shared" si="1"/>
        <v>-3.2749537234800785E-3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181</v>
      </c>
      <c r="Q7" s="2">
        <f>Q10+Q8</f>
        <v>33.940000000000055</v>
      </c>
      <c r="R7">
        <v>0</v>
      </c>
      <c r="W7" s="133">
        <v>42761</v>
      </c>
      <c r="X7" s="10">
        <v>69.44</v>
      </c>
      <c r="Y7" s="10">
        <v>70.260000000000005</v>
      </c>
      <c r="Z7" s="10">
        <v>69.150000000000006</v>
      </c>
      <c r="AA7" s="10">
        <v>70.23</v>
      </c>
      <c r="AB7" s="95">
        <v>410700</v>
      </c>
      <c r="AC7" s="10">
        <v>70.23</v>
      </c>
      <c r="AD7" s="2">
        <f t="shared" si="0"/>
        <v>1.1099999999999994</v>
      </c>
      <c r="AE7" s="138">
        <f t="shared" si="1"/>
        <v>1.1376728110599199E-2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184</v>
      </c>
      <c r="P8" s="34"/>
      <c r="Q8" s="2">
        <f>K18+M18-F18+Q2*Q4</f>
        <v>0</v>
      </c>
      <c r="W8" s="133">
        <v>42760</v>
      </c>
      <c r="X8" s="10">
        <v>69.7</v>
      </c>
      <c r="Y8" s="10">
        <v>69.7</v>
      </c>
      <c r="Z8" s="10">
        <v>69</v>
      </c>
      <c r="AA8" s="10">
        <v>69.44</v>
      </c>
      <c r="AB8" s="95">
        <v>361500</v>
      </c>
      <c r="AC8" s="10">
        <v>69.44</v>
      </c>
      <c r="AD8" s="2">
        <f t="shared" si="0"/>
        <v>0.70000000000000284</v>
      </c>
      <c r="AE8" s="138">
        <f t="shared" si="1"/>
        <v>7.2056492289940266E-4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214</v>
      </c>
      <c r="Q9" s="138">
        <f>IF(Q2=0, 0, Q8/Q6)</f>
        <v>0</v>
      </c>
      <c r="W9" s="133">
        <v>42759</v>
      </c>
      <c r="X9" s="10">
        <v>68</v>
      </c>
      <c r="Y9" s="10">
        <v>70.38</v>
      </c>
      <c r="Z9" s="10">
        <v>66.930000000000007</v>
      </c>
      <c r="AA9" s="10">
        <v>69.39</v>
      </c>
      <c r="AB9" s="95">
        <v>1061500</v>
      </c>
      <c r="AC9" s="10">
        <v>69.39</v>
      </c>
      <c r="AD9" s="2">
        <f t="shared" si="0"/>
        <v>3.4499999999999886</v>
      </c>
      <c r="AE9" s="138">
        <f t="shared" si="1"/>
        <v>5.4559270516717273E-2</v>
      </c>
    </row>
    <row r="10" spans="1:31" x14ac:dyDescent="0.25">
      <c r="O10" s="11" t="s">
        <v>213</v>
      </c>
      <c r="P10" s="34"/>
      <c r="Q10" s="2">
        <f>M33</f>
        <v>33.940000000000055</v>
      </c>
      <c r="W10" s="133">
        <v>42758</v>
      </c>
      <c r="X10" s="10">
        <v>67.33</v>
      </c>
      <c r="Y10" s="10">
        <v>67.98</v>
      </c>
      <c r="Z10" s="10">
        <v>65.75</v>
      </c>
      <c r="AA10" s="10">
        <v>65.8</v>
      </c>
      <c r="AB10" s="95">
        <v>328100</v>
      </c>
      <c r="AC10" s="10">
        <v>65.8</v>
      </c>
      <c r="AD10" s="2">
        <f t="shared" si="0"/>
        <v>2.230000000000004</v>
      </c>
      <c r="AE10" s="138">
        <f t="shared" si="1"/>
        <v>-2.6627218934911157E-2</v>
      </c>
    </row>
    <row r="11" spans="1:31" x14ac:dyDescent="0.25">
      <c r="O11" s="11" t="s">
        <v>178</v>
      </c>
      <c r="P11" s="34"/>
      <c r="Q11" s="138">
        <f>IF(U58="N/A (N/A)", 0, VALUE(TRIM(CLEAN(MID(U58, FIND("(", U58)+1, 5)))))</f>
        <v>7.1999999999999998E-3</v>
      </c>
      <c r="W11" s="133">
        <v>42755</v>
      </c>
      <c r="X11" s="10">
        <v>67.510000000000005</v>
      </c>
      <c r="Y11" s="10">
        <v>67.989999999999995</v>
      </c>
      <c r="Z11" s="10">
        <v>67.2</v>
      </c>
      <c r="AA11" s="10">
        <v>67.599999999999994</v>
      </c>
      <c r="AB11" s="95">
        <v>209800</v>
      </c>
      <c r="AC11" s="10">
        <v>67.599999999999994</v>
      </c>
      <c r="AD11" s="2">
        <f t="shared" si="0"/>
        <v>0.78999999999999204</v>
      </c>
      <c r="AE11" s="138">
        <f t="shared" si="1"/>
        <v>2.0753038837830751E-3</v>
      </c>
    </row>
    <row r="12" spans="1:31" x14ac:dyDescent="0.25">
      <c r="W12" s="133">
        <v>42754</v>
      </c>
      <c r="X12" s="10">
        <v>68.45</v>
      </c>
      <c r="Y12" s="10">
        <v>68.819999999999993</v>
      </c>
      <c r="Z12" s="10">
        <v>66.91</v>
      </c>
      <c r="AA12" s="10">
        <v>67.459999999999994</v>
      </c>
      <c r="AB12" s="95">
        <v>282800</v>
      </c>
      <c r="AC12" s="10">
        <v>67.459999999999994</v>
      </c>
      <c r="AD12" s="2">
        <f t="shared" si="0"/>
        <v>1.9099999999999966</v>
      </c>
      <c r="AE12" s="138">
        <f t="shared" si="1"/>
        <v>-1.4319111630625381E-2</v>
      </c>
    </row>
    <row r="13" spans="1:31" x14ac:dyDescent="0.25">
      <c r="W13" s="133">
        <v>42753</v>
      </c>
      <c r="X13" s="10">
        <v>68.19</v>
      </c>
      <c r="Y13" s="10">
        <v>68.55</v>
      </c>
      <c r="Z13" s="10">
        <v>67.77</v>
      </c>
      <c r="AA13" s="10">
        <v>68.44</v>
      </c>
      <c r="AB13" s="95">
        <v>185400</v>
      </c>
      <c r="AC13" s="10">
        <v>68.44</v>
      </c>
      <c r="AD13" s="2">
        <f t="shared" si="0"/>
        <v>0.78000000000000114</v>
      </c>
      <c r="AE13" s="138">
        <f t="shared" si="1"/>
        <v>7.6560659599527181E-3</v>
      </c>
    </row>
    <row r="14" spans="1:31" x14ac:dyDescent="0.25">
      <c r="W14" s="133">
        <v>42752</v>
      </c>
      <c r="X14" s="10">
        <v>69.319999999999993</v>
      </c>
      <c r="Y14" s="10">
        <v>69.319999999999993</v>
      </c>
      <c r="Z14" s="10">
        <v>67.819999999999993</v>
      </c>
      <c r="AA14" s="10">
        <v>67.92</v>
      </c>
      <c r="AB14" s="95">
        <v>182900</v>
      </c>
      <c r="AC14" s="10">
        <v>67.92</v>
      </c>
      <c r="AD14" s="2">
        <f t="shared" si="0"/>
        <v>1.5</v>
      </c>
      <c r="AE14" s="138">
        <f t="shared" si="1"/>
        <v>-2.3857430296062021E-2</v>
      </c>
    </row>
    <row r="15" spans="1:31" x14ac:dyDescent="0.25">
      <c r="W15" s="133">
        <v>42748</v>
      </c>
      <c r="X15" s="10">
        <v>69.010000000000005</v>
      </c>
      <c r="Y15" s="10">
        <v>69.78</v>
      </c>
      <c r="Z15" s="10">
        <v>69.010000000000005</v>
      </c>
      <c r="AA15" s="10">
        <v>69.58</v>
      </c>
      <c r="AB15" s="95">
        <v>173700</v>
      </c>
      <c r="AC15" s="10">
        <v>69.58</v>
      </c>
      <c r="AD15" s="2">
        <f t="shared" si="0"/>
        <v>0.76999999999999602</v>
      </c>
      <c r="AE15" s="138">
        <f t="shared" si="1"/>
        <v>1.2514551804423846E-2</v>
      </c>
    </row>
    <row r="16" spans="1:31" x14ac:dyDescent="0.25">
      <c r="W16" s="133">
        <v>42747</v>
      </c>
      <c r="X16" s="10">
        <v>69.48</v>
      </c>
      <c r="Y16" s="10">
        <v>69.48</v>
      </c>
      <c r="Z16" s="10">
        <v>67.27</v>
      </c>
      <c r="AA16" s="10">
        <v>68.72</v>
      </c>
      <c r="AB16" s="95">
        <v>189500</v>
      </c>
      <c r="AC16" s="10">
        <v>68.72</v>
      </c>
      <c r="AD16" s="2">
        <f t="shared" si="0"/>
        <v>2.210000000000008</v>
      </c>
      <c r="AE16" s="138">
        <f t="shared" si="1"/>
        <v>-1.3494114269308022E-2</v>
      </c>
    </row>
    <row r="17" spans="1:31" x14ac:dyDescent="0.25">
      <c r="W17" s="133">
        <v>42746</v>
      </c>
      <c r="X17" s="10">
        <v>69.05</v>
      </c>
      <c r="Y17" s="10">
        <v>69.77</v>
      </c>
      <c r="Z17" s="10">
        <v>68.97</v>
      </c>
      <c r="AA17" s="10">
        <v>69.66</v>
      </c>
      <c r="AB17" s="95">
        <v>165400</v>
      </c>
      <c r="AC17" s="10">
        <v>69.66</v>
      </c>
      <c r="AD17" s="2">
        <f t="shared" si="0"/>
        <v>0.79999999999999716</v>
      </c>
      <c r="AE17" s="138">
        <f t="shared" si="1"/>
        <v>7.2296124927704319E-3</v>
      </c>
    </row>
    <row r="18" spans="1:31" x14ac:dyDescent="0.25">
      <c r="A18" s="22" t="s">
        <v>81</v>
      </c>
      <c r="B18" s="22"/>
      <c r="C18" s="22">
        <f>SUM(C2:C17)</f>
        <v>0</v>
      </c>
      <c r="D18" s="39"/>
      <c r="E18" s="39"/>
      <c r="F18" s="39">
        <f>SUM(F2:F17)</f>
        <v>0</v>
      </c>
      <c r="G18" s="22"/>
      <c r="H18" s="22">
        <f>SUM(H2:H4)</f>
        <v>0</v>
      </c>
      <c r="I18" s="22"/>
      <c r="J18" s="22"/>
      <c r="K18" s="22">
        <f>SUM(K2:K17)</f>
        <v>0</v>
      </c>
      <c r="L18" s="22"/>
      <c r="M18" s="39">
        <f>SUM(M2:M17)</f>
        <v>0</v>
      </c>
      <c r="W18" s="133">
        <v>42745</v>
      </c>
      <c r="X18" s="10">
        <v>68.099999999999994</v>
      </c>
      <c r="Y18" s="10">
        <v>69.349999999999994</v>
      </c>
      <c r="Z18" s="10">
        <v>67.69</v>
      </c>
      <c r="AA18" s="10">
        <v>69.16</v>
      </c>
      <c r="AB18" s="95">
        <v>256800</v>
      </c>
      <c r="AC18" s="10">
        <v>69.16</v>
      </c>
      <c r="AD18" s="2">
        <f t="shared" si="0"/>
        <v>1.6599999999999966</v>
      </c>
      <c r="AE18" s="138">
        <f t="shared" si="1"/>
        <v>1.4522517236320809E-2</v>
      </c>
    </row>
    <row r="19" spans="1:31" x14ac:dyDescent="0.25">
      <c r="W19" s="133">
        <v>42744</v>
      </c>
      <c r="X19" s="10">
        <v>69.19</v>
      </c>
      <c r="Y19" s="10">
        <v>69.19</v>
      </c>
      <c r="Z19" s="10">
        <v>67.91</v>
      </c>
      <c r="AA19" s="10">
        <v>68.17</v>
      </c>
      <c r="AB19" s="95">
        <v>272600</v>
      </c>
      <c r="AC19" s="10">
        <v>68.17</v>
      </c>
      <c r="AD19" s="2">
        <f t="shared" si="0"/>
        <v>1.2800000000000011</v>
      </c>
      <c r="AE19" s="138">
        <f t="shared" si="1"/>
        <v>-1.4742014742014642E-2</v>
      </c>
    </row>
    <row r="20" spans="1:31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5" t="s">
        <v>65</v>
      </c>
      <c r="W20" s="133">
        <v>42741</v>
      </c>
      <c r="X20" s="10">
        <v>68.989999999999995</v>
      </c>
      <c r="Y20" s="10">
        <v>69.48</v>
      </c>
      <c r="Z20" s="10">
        <v>68.569999999999993</v>
      </c>
      <c r="AA20" s="10">
        <v>69.19</v>
      </c>
      <c r="AB20" s="95">
        <v>235800</v>
      </c>
      <c r="AC20" s="10">
        <v>69.19</v>
      </c>
      <c r="AD20" s="2">
        <f t="shared" si="0"/>
        <v>0.9100000000000108</v>
      </c>
      <c r="AE20" s="138">
        <f t="shared" si="1"/>
        <v>-1.4450867052029359E-4</v>
      </c>
    </row>
    <row r="21" spans="1:31" x14ac:dyDescent="0.25">
      <c r="B21" s="193">
        <v>42304</v>
      </c>
      <c r="C21" s="10">
        <v>70</v>
      </c>
      <c r="D21" s="40">
        <v>45.66</v>
      </c>
      <c r="E21" s="40">
        <v>43.76</v>
      </c>
      <c r="F21" s="40">
        <v>-113.3</v>
      </c>
      <c r="W21" s="133">
        <v>42740</v>
      </c>
      <c r="X21" s="10">
        <v>69.95</v>
      </c>
      <c r="Y21" s="10">
        <v>70.36</v>
      </c>
      <c r="Z21" s="10">
        <v>68.33</v>
      </c>
      <c r="AA21" s="10">
        <v>69.2</v>
      </c>
      <c r="AB21" s="95">
        <v>267200</v>
      </c>
      <c r="AC21" s="10">
        <v>69.2</v>
      </c>
      <c r="AD21" s="2">
        <f t="shared" si="0"/>
        <v>2.0300000000000011</v>
      </c>
      <c r="AE21" s="138">
        <f t="shared" si="1"/>
        <v>-1.410457330103998E-2</v>
      </c>
    </row>
    <row r="22" spans="1:31" x14ac:dyDescent="0.25">
      <c r="B22" s="193">
        <v>42310</v>
      </c>
      <c r="C22" s="10">
        <v>0</v>
      </c>
      <c r="D22" s="202" t="s">
        <v>129</v>
      </c>
      <c r="E22" s="40">
        <v>46.15</v>
      </c>
      <c r="F22" s="40">
        <v>33.94</v>
      </c>
      <c r="W22" s="133">
        <v>42739</v>
      </c>
      <c r="X22" s="10">
        <v>69.760000000000005</v>
      </c>
      <c r="Y22" s="10">
        <v>70.5</v>
      </c>
      <c r="Z22" s="10">
        <v>69.72</v>
      </c>
      <c r="AA22" s="10">
        <v>70.19</v>
      </c>
      <c r="AB22" s="95">
        <v>313100</v>
      </c>
      <c r="AC22" s="10">
        <v>70.19</v>
      </c>
      <c r="AD22" s="2">
        <f t="shared" si="0"/>
        <v>0.78000000000000114</v>
      </c>
      <c r="AE22" s="138">
        <f t="shared" si="1"/>
        <v>1.036418597955957E-2</v>
      </c>
    </row>
    <row r="23" spans="1:31" x14ac:dyDescent="0.25">
      <c r="B23" s="10"/>
      <c r="C23" s="10"/>
      <c r="D23" s="40"/>
      <c r="E23" s="40"/>
      <c r="F23" s="40"/>
      <c r="W23" s="133">
        <v>42738</v>
      </c>
      <c r="X23" s="10">
        <v>69.83</v>
      </c>
      <c r="Y23" s="10">
        <v>70.3</v>
      </c>
      <c r="Z23" s="10">
        <v>68.81</v>
      </c>
      <c r="AA23" s="10">
        <v>69.47</v>
      </c>
      <c r="AB23" s="95">
        <v>212000</v>
      </c>
      <c r="AC23" s="10">
        <v>69.47</v>
      </c>
      <c r="AD23" s="2">
        <f t="shared" si="0"/>
        <v>1.4899999999999949</v>
      </c>
      <c r="AE23" s="138">
        <f t="shared" si="1"/>
        <v>6.0825488776248271E-3</v>
      </c>
    </row>
    <row r="24" spans="1:31" x14ac:dyDescent="0.25">
      <c r="B24" s="10"/>
      <c r="C24" s="10"/>
      <c r="D24" s="40"/>
      <c r="E24" s="40"/>
      <c r="F24" s="40"/>
      <c r="W24" s="133">
        <v>42734</v>
      </c>
      <c r="X24" s="10">
        <v>69.39</v>
      </c>
      <c r="Y24" s="10">
        <v>69.45</v>
      </c>
      <c r="Z24" s="10">
        <v>68.790000000000006</v>
      </c>
      <c r="AA24" s="10">
        <v>69.05</v>
      </c>
      <c r="AB24" s="95">
        <v>164100</v>
      </c>
      <c r="AC24" s="10">
        <v>69.05</v>
      </c>
      <c r="AD24" s="2">
        <f t="shared" si="0"/>
        <v>0.65999999999999659</v>
      </c>
      <c r="AE24" s="138">
        <f t="shared" si="1"/>
        <v>-2.6000288892099599E-3</v>
      </c>
    </row>
    <row r="25" spans="1:31" x14ac:dyDescent="0.25">
      <c r="B25" s="10"/>
      <c r="C25" s="10"/>
      <c r="D25" s="40"/>
      <c r="E25" s="40"/>
      <c r="F25" s="40"/>
      <c r="W25" s="133">
        <v>42733</v>
      </c>
      <c r="X25" s="10">
        <v>69.319999999999993</v>
      </c>
      <c r="Y25" s="10">
        <v>69.62</v>
      </c>
      <c r="Z25" s="10">
        <v>68.67</v>
      </c>
      <c r="AA25" s="10">
        <v>69.23</v>
      </c>
      <c r="AB25" s="95">
        <v>170200</v>
      </c>
      <c r="AC25" s="10">
        <v>69.23</v>
      </c>
      <c r="AD25" s="2">
        <f t="shared" si="0"/>
        <v>0.95000000000000284</v>
      </c>
      <c r="AE25" s="138">
        <f t="shared" si="1"/>
        <v>7.227522405319764E-4</v>
      </c>
    </row>
    <row r="26" spans="1:31" x14ac:dyDescent="0.25">
      <c r="B26" s="10"/>
      <c r="C26" s="10"/>
      <c r="D26" s="40"/>
      <c r="E26" s="40"/>
      <c r="F26" s="40"/>
      <c r="W26" s="133">
        <v>42732</v>
      </c>
      <c r="X26" s="10">
        <v>70.22</v>
      </c>
      <c r="Y26" s="10">
        <v>70.22</v>
      </c>
      <c r="Z26" s="10">
        <v>68.989999999999995</v>
      </c>
      <c r="AA26" s="10">
        <v>69.180000000000007</v>
      </c>
      <c r="AB26" s="95">
        <v>160600</v>
      </c>
      <c r="AC26" s="10">
        <v>69.180000000000007</v>
      </c>
      <c r="AD26" s="2">
        <f t="shared" si="0"/>
        <v>1.230000000000004</v>
      </c>
      <c r="AE26" s="138">
        <f t="shared" si="1"/>
        <v>-1.523131672597855E-2</v>
      </c>
    </row>
    <row r="27" spans="1:31" x14ac:dyDescent="0.25">
      <c r="B27" s="10"/>
      <c r="C27" s="10"/>
      <c r="D27" s="40"/>
      <c r="E27" s="40"/>
      <c r="F27" s="40"/>
      <c r="W27" s="133">
        <v>42731</v>
      </c>
      <c r="X27" s="10">
        <v>70.38</v>
      </c>
      <c r="Y27" s="10">
        <v>70.63</v>
      </c>
      <c r="Z27" s="10">
        <v>70.040000000000006</v>
      </c>
      <c r="AA27" s="10">
        <v>70.25</v>
      </c>
      <c r="AB27" s="95">
        <v>119100</v>
      </c>
      <c r="AC27" s="10">
        <v>70.25</v>
      </c>
      <c r="AD27" s="2">
        <f t="shared" si="0"/>
        <v>0.5899999999999892</v>
      </c>
      <c r="AE27" s="138">
        <f t="shared" si="1"/>
        <v>-1.988918880522772E-3</v>
      </c>
    </row>
    <row r="28" spans="1:31" x14ac:dyDescent="0.25">
      <c r="B28" s="10"/>
      <c r="C28" s="10"/>
      <c r="D28" s="40"/>
      <c r="E28" s="40"/>
      <c r="F28" s="40"/>
      <c r="W28" s="133">
        <v>42727</v>
      </c>
      <c r="X28" s="10">
        <v>70.2</v>
      </c>
      <c r="Y28" s="10">
        <v>70.94</v>
      </c>
      <c r="Z28" s="10">
        <v>69.900000000000006</v>
      </c>
      <c r="AA28" s="10">
        <v>70.39</v>
      </c>
      <c r="AB28" s="95">
        <v>117100</v>
      </c>
      <c r="AC28" s="10">
        <v>70.39</v>
      </c>
      <c r="AD28" s="2">
        <f t="shared" si="0"/>
        <v>1.039999999999992</v>
      </c>
      <c r="AE28" s="138">
        <f t="shared" si="1"/>
        <v>3.2782212086659435E-3</v>
      </c>
    </row>
    <row r="29" spans="1:31" x14ac:dyDescent="0.25">
      <c r="B29" s="10"/>
      <c r="C29" s="10"/>
      <c r="D29" s="40"/>
      <c r="E29" s="40"/>
      <c r="F29" s="40"/>
      <c r="W29" s="133">
        <v>42726</v>
      </c>
      <c r="X29" s="10">
        <v>70.09</v>
      </c>
      <c r="Y29" s="10">
        <v>70.41</v>
      </c>
      <c r="Z29" s="10">
        <v>69.39</v>
      </c>
      <c r="AA29" s="10">
        <v>70.16</v>
      </c>
      <c r="AB29" s="95">
        <v>200500</v>
      </c>
      <c r="AC29" s="10">
        <v>70.16</v>
      </c>
      <c r="AD29" s="2">
        <f t="shared" si="0"/>
        <v>1.019999999999996</v>
      </c>
      <c r="AE29" s="138">
        <f t="shared" si="1"/>
        <v>1.1415525114155667E-3</v>
      </c>
    </row>
    <row r="30" spans="1:31" x14ac:dyDescent="0.25">
      <c r="B30" s="10"/>
      <c r="C30" s="10"/>
      <c r="D30" s="40"/>
      <c r="E30" s="40"/>
      <c r="F30" s="40"/>
      <c r="W30" s="133">
        <v>42725</v>
      </c>
      <c r="X30" s="10">
        <v>70.650000000000006</v>
      </c>
      <c r="Y30" s="10">
        <v>70.930000000000007</v>
      </c>
      <c r="Z30" s="10">
        <v>69.94</v>
      </c>
      <c r="AA30" s="10">
        <v>70.08</v>
      </c>
      <c r="AB30" s="95">
        <v>246600</v>
      </c>
      <c r="AC30" s="10">
        <v>70.08</v>
      </c>
      <c r="AD30" s="2">
        <f t="shared" si="0"/>
        <v>0.99000000000000909</v>
      </c>
      <c r="AE30" s="138">
        <f t="shared" si="1"/>
        <v>-5.3931308543854195E-3</v>
      </c>
    </row>
    <row r="31" spans="1:31" x14ac:dyDescent="0.25">
      <c r="W31" s="133">
        <v>42724</v>
      </c>
      <c r="X31" s="10">
        <v>70.150000000000006</v>
      </c>
      <c r="Y31" s="10">
        <v>70.739999999999995</v>
      </c>
      <c r="Z31" s="10">
        <v>69.64</v>
      </c>
      <c r="AA31" s="10">
        <v>70.459999999999994</v>
      </c>
      <c r="AB31" s="95">
        <v>197000</v>
      </c>
      <c r="AC31" s="10">
        <v>70.459999999999994</v>
      </c>
      <c r="AD31" s="2">
        <f t="shared" si="0"/>
        <v>1.0999999999999943</v>
      </c>
      <c r="AE31" s="138">
        <f t="shared" si="1"/>
        <v>6.5714285714284504E-3</v>
      </c>
    </row>
    <row r="32" spans="1:31" x14ac:dyDescent="0.25">
      <c r="W32" s="133">
        <v>42723</v>
      </c>
      <c r="X32" s="10">
        <v>69.790000000000006</v>
      </c>
      <c r="Y32" s="10">
        <v>70.319999999999993</v>
      </c>
      <c r="Z32" s="10">
        <v>69.25</v>
      </c>
      <c r="AA32" s="10">
        <v>70</v>
      </c>
      <c r="AB32" s="95">
        <v>257800</v>
      </c>
      <c r="AC32" s="10">
        <v>70</v>
      </c>
      <c r="AD32" s="2">
        <f t="shared" si="0"/>
        <v>1.0699999999999932</v>
      </c>
      <c r="AE32" s="138">
        <f t="shared" si="1"/>
        <v>7.6291924571758596E-3</v>
      </c>
    </row>
    <row r="33" spans="1:31" x14ac:dyDescent="0.25">
      <c r="L33" t="s">
        <v>213</v>
      </c>
      <c r="M33" s="2">
        <f>M51+K51-F51</f>
        <v>33.940000000000055</v>
      </c>
      <c r="W33" s="133">
        <v>42720</v>
      </c>
      <c r="X33" s="10">
        <v>70.3</v>
      </c>
      <c r="Y33" s="10">
        <v>70.900000000000006</v>
      </c>
      <c r="Z33" s="10">
        <v>69.38</v>
      </c>
      <c r="AA33" s="10">
        <v>69.47</v>
      </c>
      <c r="AB33" s="95">
        <v>876900</v>
      </c>
      <c r="AC33" s="10">
        <v>69.47</v>
      </c>
      <c r="AD33" s="2">
        <f t="shared" si="0"/>
        <v>1.5200000000000102</v>
      </c>
      <c r="AE33" s="138">
        <f t="shared" si="1"/>
        <v>-9.5523239235814073E-3</v>
      </c>
    </row>
    <row r="34" spans="1:31" x14ac:dyDescent="0.25">
      <c r="A34" s="387" t="s">
        <v>1</v>
      </c>
      <c r="B34" s="387" t="s">
        <v>2</v>
      </c>
      <c r="C34" s="387" t="s">
        <v>4</v>
      </c>
      <c r="D34" s="389" t="s">
        <v>5</v>
      </c>
      <c r="E34" s="389" t="s">
        <v>94</v>
      </c>
      <c r="F34" s="389" t="s">
        <v>60</v>
      </c>
      <c r="G34" s="387" t="s">
        <v>3</v>
      </c>
      <c r="H34" s="387" t="s">
        <v>6</v>
      </c>
      <c r="I34" s="387" t="s">
        <v>7</v>
      </c>
      <c r="J34" s="387" t="s">
        <v>95</v>
      </c>
      <c r="K34" s="387" t="s">
        <v>61</v>
      </c>
      <c r="L34" s="387" t="s">
        <v>77</v>
      </c>
      <c r="M34" s="387" t="s">
        <v>38</v>
      </c>
      <c r="W34" s="133">
        <v>42719</v>
      </c>
      <c r="X34" s="10">
        <v>69.22</v>
      </c>
      <c r="Y34" s="10">
        <v>70.37</v>
      </c>
      <c r="Z34" s="10">
        <v>68.89</v>
      </c>
      <c r="AA34" s="10">
        <v>70.14</v>
      </c>
      <c r="AB34" s="95">
        <v>263300</v>
      </c>
      <c r="AC34" s="10">
        <v>70.14</v>
      </c>
      <c r="AD34" s="2">
        <f t="shared" si="0"/>
        <v>1.480000000000004</v>
      </c>
      <c r="AE34" s="138">
        <f t="shared" si="1"/>
        <v>1.3290956370991092E-2</v>
      </c>
    </row>
    <row r="35" spans="1:31" x14ac:dyDescent="0.25">
      <c r="A35" s="390" t="s">
        <v>53</v>
      </c>
      <c r="B35" s="380">
        <v>42214</v>
      </c>
      <c r="C35" s="381">
        <v>15</v>
      </c>
      <c r="D35" s="382">
        <v>47.8</v>
      </c>
      <c r="E35" s="382">
        <v>0</v>
      </c>
      <c r="F35" s="382">
        <f>C35*D35</f>
        <v>717</v>
      </c>
      <c r="G35" s="380">
        <v>42313</v>
      </c>
      <c r="H35" s="382">
        <v>70</v>
      </c>
      <c r="I35" s="382">
        <v>46.15</v>
      </c>
      <c r="J35" s="382">
        <v>0.06</v>
      </c>
      <c r="K35" s="381">
        <f>I35*H35-J35</f>
        <v>3230.44</v>
      </c>
      <c r="L35" s="380">
        <v>42247</v>
      </c>
      <c r="M35" s="382">
        <v>3.5</v>
      </c>
      <c r="W35" s="133">
        <v>42718</v>
      </c>
      <c r="X35" s="10">
        <v>70.39</v>
      </c>
      <c r="Y35" s="10">
        <v>71.08</v>
      </c>
      <c r="Z35" s="10">
        <v>69.11</v>
      </c>
      <c r="AA35" s="10">
        <v>69.22</v>
      </c>
      <c r="AB35" s="95">
        <v>327700</v>
      </c>
      <c r="AC35" s="10">
        <v>69.22</v>
      </c>
      <c r="AD35" s="2">
        <f t="shared" si="0"/>
        <v>1.9699999999999989</v>
      </c>
      <c r="AE35" s="138">
        <f t="shared" si="1"/>
        <v>-2.0101925254813136E-2</v>
      </c>
    </row>
    <row r="36" spans="1:31" x14ac:dyDescent="0.25">
      <c r="A36" s="391" t="s">
        <v>71</v>
      </c>
      <c r="B36" s="380">
        <v>42233</v>
      </c>
      <c r="C36" s="381">
        <v>20</v>
      </c>
      <c r="D36" s="382">
        <v>47.5</v>
      </c>
      <c r="E36" s="382">
        <v>0</v>
      </c>
      <c r="F36" s="382">
        <f>C36*D36</f>
        <v>950</v>
      </c>
      <c r="G36" s="381"/>
      <c r="H36" s="381"/>
      <c r="I36" s="381"/>
      <c r="J36" s="381"/>
      <c r="K36" s="381"/>
      <c r="L36" s="380">
        <v>42338</v>
      </c>
      <c r="M36" s="381"/>
      <c r="W36" s="133">
        <v>42717</v>
      </c>
      <c r="X36" s="10">
        <v>70.239999999999995</v>
      </c>
      <c r="Y36" s="10">
        <v>71.11</v>
      </c>
      <c r="Z36" s="10">
        <v>69.95</v>
      </c>
      <c r="AA36" s="10">
        <v>70.64</v>
      </c>
      <c r="AB36" s="95">
        <v>362100</v>
      </c>
      <c r="AC36" s="10">
        <v>70.64</v>
      </c>
      <c r="AD36" s="2">
        <f t="shared" si="0"/>
        <v>1.1599999999999966</v>
      </c>
      <c r="AE36" s="138">
        <f t="shared" si="1"/>
        <v>4.9793711765542259E-3</v>
      </c>
    </row>
    <row r="37" spans="1:31" x14ac:dyDescent="0.25">
      <c r="A37" s="381"/>
      <c r="B37" s="380">
        <v>42269</v>
      </c>
      <c r="C37" s="381">
        <v>35</v>
      </c>
      <c r="D37" s="382">
        <v>43.8</v>
      </c>
      <c r="E37" s="382">
        <v>0</v>
      </c>
      <c r="F37" s="382">
        <f>C37*D37</f>
        <v>1533</v>
      </c>
      <c r="G37" s="381"/>
      <c r="H37" s="381"/>
      <c r="I37" s="381"/>
      <c r="J37" s="381"/>
      <c r="K37" s="381"/>
      <c r="L37" s="381"/>
      <c r="M37" s="381"/>
      <c r="W37" s="133">
        <v>42716</v>
      </c>
      <c r="X37" s="10">
        <v>69.89</v>
      </c>
      <c r="Y37" s="10">
        <v>70.58</v>
      </c>
      <c r="Z37" s="10">
        <v>69.319999999999993</v>
      </c>
      <c r="AA37" s="10">
        <v>70.290000000000006</v>
      </c>
      <c r="AB37" s="95">
        <v>348200</v>
      </c>
      <c r="AC37" s="10">
        <v>70.290000000000006</v>
      </c>
      <c r="AD37" s="2">
        <f t="shared" si="0"/>
        <v>1.2600000000000051</v>
      </c>
      <c r="AE37" s="138">
        <f t="shared" si="1"/>
        <v>3.1397174254319538E-3</v>
      </c>
    </row>
    <row r="38" spans="1:31" x14ac:dyDescent="0.25">
      <c r="A38" s="381"/>
      <c r="B38" s="381"/>
      <c r="C38" s="381"/>
      <c r="D38" s="382"/>
      <c r="E38" s="382"/>
      <c r="F38" s="382"/>
      <c r="G38" s="381"/>
      <c r="H38" s="381"/>
      <c r="I38" s="381"/>
      <c r="J38" s="381"/>
      <c r="K38" s="381"/>
      <c r="L38" s="381"/>
      <c r="M38" s="381"/>
      <c r="W38" s="133">
        <v>42713</v>
      </c>
      <c r="X38" s="10">
        <v>70.760000000000005</v>
      </c>
      <c r="Y38" s="10">
        <v>70.78</v>
      </c>
      <c r="Z38" s="10">
        <v>70</v>
      </c>
      <c r="AA38" s="10">
        <v>70.069999999999993</v>
      </c>
      <c r="AB38" s="95">
        <v>266400</v>
      </c>
      <c r="AC38" s="10">
        <v>70.069999999999993</v>
      </c>
      <c r="AD38" s="2">
        <f t="shared" si="0"/>
        <v>0.78000000000000114</v>
      </c>
      <c r="AE38" s="138">
        <f t="shared" si="1"/>
        <v>-1.0869565217391464E-2</v>
      </c>
    </row>
    <row r="39" spans="1:31" x14ac:dyDescent="0.25">
      <c r="A39" s="381"/>
      <c r="B39" s="381"/>
      <c r="C39" s="381"/>
      <c r="D39" s="382"/>
      <c r="E39" s="382"/>
      <c r="F39" s="382"/>
      <c r="G39" s="381"/>
      <c r="H39" s="381"/>
      <c r="I39" s="381"/>
      <c r="J39" s="381"/>
      <c r="K39" s="381"/>
      <c r="L39" s="381"/>
      <c r="M39" s="381"/>
      <c r="W39" s="133">
        <v>42712</v>
      </c>
      <c r="X39" s="10">
        <v>71.31</v>
      </c>
      <c r="Y39" s="10">
        <v>71.459999999999994</v>
      </c>
      <c r="Z39" s="10">
        <v>70.569999999999993</v>
      </c>
      <c r="AA39" s="10">
        <v>70.84</v>
      </c>
      <c r="AB39" s="95">
        <v>291100</v>
      </c>
      <c r="AC39" s="10">
        <v>70.84</v>
      </c>
      <c r="AD39" s="2">
        <f t="shared" si="0"/>
        <v>0.89000000000000057</v>
      </c>
      <c r="AE39" s="138">
        <f t="shared" si="1"/>
        <v>-3.6568213783402248E-3</v>
      </c>
    </row>
    <row r="40" spans="1:31" x14ac:dyDescent="0.25">
      <c r="A40" s="381"/>
      <c r="B40" s="381"/>
      <c r="C40" s="381"/>
      <c r="D40" s="382"/>
      <c r="E40" s="382"/>
      <c r="F40" s="382"/>
      <c r="G40" s="381"/>
      <c r="H40" s="381"/>
      <c r="I40" s="381"/>
      <c r="J40" s="381"/>
      <c r="K40" s="381"/>
      <c r="L40" s="381"/>
      <c r="M40" s="381"/>
      <c r="W40" s="133">
        <v>42711</v>
      </c>
      <c r="X40" s="10">
        <v>70</v>
      </c>
      <c r="Y40" s="10">
        <v>71.41</v>
      </c>
      <c r="Z40" s="10">
        <v>69.63</v>
      </c>
      <c r="AA40" s="10">
        <v>71.099999999999994</v>
      </c>
      <c r="AB40" s="95">
        <v>321600</v>
      </c>
      <c r="AC40" s="10">
        <v>71.099999999999994</v>
      </c>
      <c r="AD40" s="2">
        <f t="shared" si="0"/>
        <v>1.7800000000000011</v>
      </c>
      <c r="AE40" s="138">
        <f t="shared" si="1"/>
        <v>1.8041237113401998E-2</v>
      </c>
    </row>
    <row r="41" spans="1:31" x14ac:dyDescent="0.25">
      <c r="A41" s="381"/>
      <c r="B41" s="381"/>
      <c r="C41" s="381"/>
      <c r="D41" s="382"/>
      <c r="E41" s="382"/>
      <c r="F41" s="382"/>
      <c r="G41" s="381"/>
      <c r="H41" s="381"/>
      <c r="I41" s="381"/>
      <c r="J41" s="381"/>
      <c r="K41" s="381"/>
      <c r="L41" s="381"/>
      <c r="M41" s="381"/>
      <c r="O41" s="34"/>
      <c r="W41" s="133">
        <v>42710</v>
      </c>
      <c r="X41" s="10">
        <v>69.05</v>
      </c>
      <c r="Y41" s="10">
        <v>69.87</v>
      </c>
      <c r="Z41" s="10">
        <v>68.7</v>
      </c>
      <c r="AA41" s="10">
        <v>69.84</v>
      </c>
      <c r="AB41" s="95">
        <v>369400</v>
      </c>
      <c r="AC41" s="10">
        <v>69.84</v>
      </c>
      <c r="AD41" s="2">
        <f t="shared" si="0"/>
        <v>1.1700000000000017</v>
      </c>
      <c r="AE41" s="138">
        <f t="shared" si="1"/>
        <v>1.2614180078295067E-2</v>
      </c>
    </row>
    <row r="42" spans="1:31" ht="20.25" thickBot="1" x14ac:dyDescent="0.35">
      <c r="A42" s="381"/>
      <c r="B42" s="381"/>
      <c r="C42" s="381"/>
      <c r="D42" s="382"/>
      <c r="E42" s="382"/>
      <c r="F42" s="382"/>
      <c r="G42" s="381"/>
      <c r="H42" s="381"/>
      <c r="I42" s="381"/>
      <c r="J42" s="381"/>
      <c r="K42" s="381"/>
      <c r="L42" s="381"/>
      <c r="M42" s="381"/>
      <c r="O42" s="638" t="s">
        <v>78</v>
      </c>
      <c r="P42" s="638"/>
      <c r="Q42" s="34"/>
      <c r="T42" s="91" t="s">
        <v>113</v>
      </c>
      <c r="W42" s="133">
        <v>42709</v>
      </c>
      <c r="X42" s="10">
        <v>69.3</v>
      </c>
      <c r="Y42" s="10">
        <v>69.97</v>
      </c>
      <c r="Z42" s="10">
        <v>68.790000000000006</v>
      </c>
      <c r="AA42" s="10">
        <v>68.97</v>
      </c>
      <c r="AB42" s="95">
        <v>366800</v>
      </c>
      <c r="AC42" s="10">
        <v>68.97</v>
      </c>
      <c r="AD42" s="2">
        <f t="shared" si="0"/>
        <v>1.1799999999999926</v>
      </c>
      <c r="AE42" s="138">
        <f t="shared" si="1"/>
        <v>4.351610095736369E-4</v>
      </c>
    </row>
    <row r="43" spans="1:31" ht="15.75" thickTop="1" x14ac:dyDescent="0.25">
      <c r="A43" s="381"/>
      <c r="B43" s="381"/>
      <c r="C43" s="381"/>
      <c r="D43" s="382"/>
      <c r="E43" s="382"/>
      <c r="F43" s="382"/>
      <c r="G43" s="381"/>
      <c r="H43" s="381"/>
      <c r="I43" s="381"/>
      <c r="J43" s="381"/>
      <c r="K43" s="381"/>
      <c r="L43" s="381"/>
      <c r="M43" s="381"/>
      <c r="O43" s="83">
        <v>1.1000000000000001</v>
      </c>
      <c r="P43" s="83">
        <f>O43*$Q$4</f>
        <v>77.363</v>
      </c>
      <c r="Q43" s="34"/>
      <c r="T43" s="128" t="s">
        <v>98</v>
      </c>
      <c r="U43" s="98">
        <v>69.510000000000005</v>
      </c>
      <c r="W43" s="133">
        <v>42706</v>
      </c>
      <c r="X43" s="10">
        <v>68.33</v>
      </c>
      <c r="Y43" s="10">
        <v>69.2</v>
      </c>
      <c r="Z43" s="10">
        <v>67.92</v>
      </c>
      <c r="AA43" s="10">
        <v>68.94</v>
      </c>
      <c r="AB43" s="95">
        <v>370500</v>
      </c>
      <c r="AC43" s="10">
        <v>68.94</v>
      </c>
      <c r="AD43" s="2">
        <f t="shared" si="0"/>
        <v>1.2800000000000011</v>
      </c>
      <c r="AE43" s="138">
        <f t="shared" si="1"/>
        <v>8.0421114197981591E-3</v>
      </c>
    </row>
    <row r="44" spans="1:31" x14ac:dyDescent="0.25">
      <c r="A44" s="381"/>
      <c r="B44" s="381"/>
      <c r="C44" s="381"/>
      <c r="D44" s="382"/>
      <c r="E44" s="382"/>
      <c r="F44" s="382"/>
      <c r="G44" s="381"/>
      <c r="H44" s="381"/>
      <c r="I44" s="381"/>
      <c r="J44" s="381"/>
      <c r="K44" s="381"/>
      <c r="L44" s="381"/>
      <c r="M44" s="381"/>
      <c r="O44" s="83">
        <v>1.0900000000000001</v>
      </c>
      <c r="P44" s="83">
        <f t="shared" ref="P44:P63" si="2">O44*$Q$4</f>
        <v>76.659700000000001</v>
      </c>
      <c r="Q44" s="34"/>
      <c r="T44" s="93" t="s">
        <v>99</v>
      </c>
      <c r="U44" s="88">
        <v>68.75</v>
      </c>
      <c r="W44" s="133">
        <v>42705</v>
      </c>
      <c r="X44" s="10">
        <v>68.14</v>
      </c>
      <c r="Y44" s="10">
        <v>68.53</v>
      </c>
      <c r="Z44" s="10">
        <v>67.78</v>
      </c>
      <c r="AA44" s="10">
        <v>68.39</v>
      </c>
      <c r="AB44" s="95">
        <v>519700</v>
      </c>
      <c r="AC44" s="10">
        <v>68.39</v>
      </c>
      <c r="AD44" s="2">
        <f t="shared" si="0"/>
        <v>0.75</v>
      </c>
      <c r="AE44" s="138">
        <f t="shared" si="1"/>
        <v>9.7445740439980888E-3</v>
      </c>
    </row>
    <row r="45" spans="1:31" x14ac:dyDescent="0.25">
      <c r="A45" s="381"/>
      <c r="B45" s="381"/>
      <c r="C45" s="381"/>
      <c r="D45" s="382"/>
      <c r="E45" s="382"/>
      <c r="F45" s="382"/>
      <c r="G45" s="381"/>
      <c r="H45" s="381"/>
      <c r="I45" s="381"/>
      <c r="J45" s="381"/>
      <c r="K45" s="381"/>
      <c r="L45" s="381"/>
      <c r="M45" s="381"/>
      <c r="O45" s="83">
        <v>1.08</v>
      </c>
      <c r="P45" s="83">
        <f t="shared" si="2"/>
        <v>75.956400000000002</v>
      </c>
      <c r="Q45" s="34"/>
      <c r="T45" s="93" t="s">
        <v>100</v>
      </c>
      <c r="U45" s="88" t="s">
        <v>444</v>
      </c>
      <c r="W45" s="133">
        <v>42704</v>
      </c>
      <c r="X45" s="10">
        <v>67.5</v>
      </c>
      <c r="Y45" s="10">
        <v>68.34</v>
      </c>
      <c r="Z45" s="10">
        <v>67.5</v>
      </c>
      <c r="AA45" s="10">
        <v>67.73</v>
      </c>
      <c r="AB45" s="95">
        <v>652600</v>
      </c>
      <c r="AC45" s="10">
        <v>67.73</v>
      </c>
      <c r="AD45" s="2">
        <f t="shared" si="0"/>
        <v>0.84000000000000341</v>
      </c>
      <c r="AE45" s="138">
        <f t="shared" si="1"/>
        <v>5.1944197091127187E-3</v>
      </c>
    </row>
    <row r="46" spans="1:31" x14ac:dyDescent="0.25">
      <c r="A46" s="381"/>
      <c r="B46" s="381"/>
      <c r="C46" s="381"/>
      <c r="D46" s="382"/>
      <c r="E46" s="382"/>
      <c r="F46" s="382"/>
      <c r="G46" s="381"/>
      <c r="H46" s="381"/>
      <c r="I46" s="381"/>
      <c r="J46" s="381"/>
      <c r="K46" s="381"/>
      <c r="L46" s="381"/>
      <c r="M46" s="381"/>
      <c r="O46" s="83">
        <v>1.07</v>
      </c>
      <c r="P46" s="83">
        <f t="shared" si="2"/>
        <v>75.253100000000003</v>
      </c>
      <c r="Q46" s="83"/>
      <c r="T46" s="93" t="s">
        <v>101</v>
      </c>
      <c r="U46" s="88" t="s">
        <v>129</v>
      </c>
      <c r="W46" s="133">
        <v>42703</v>
      </c>
      <c r="X46" s="10">
        <v>67.459999999999994</v>
      </c>
      <c r="Y46" s="10">
        <v>68.45</v>
      </c>
      <c r="Z46" s="10">
        <v>67.34</v>
      </c>
      <c r="AA46" s="10">
        <v>67.38</v>
      </c>
      <c r="AB46" s="95">
        <v>443900</v>
      </c>
      <c r="AC46" s="10">
        <v>67.38</v>
      </c>
      <c r="AD46" s="2">
        <f t="shared" si="0"/>
        <v>1.1099999999999994</v>
      </c>
      <c r="AE46" s="138">
        <f t="shared" si="1"/>
        <v>1.3374944271062894E-3</v>
      </c>
    </row>
    <row r="47" spans="1:31" x14ac:dyDescent="0.25">
      <c r="A47" s="381"/>
      <c r="B47" s="381"/>
      <c r="C47" s="381"/>
      <c r="D47" s="382"/>
      <c r="E47" s="382"/>
      <c r="F47" s="382"/>
      <c r="G47" s="381"/>
      <c r="H47" s="381"/>
      <c r="I47" s="381"/>
      <c r="J47" s="381"/>
      <c r="K47" s="381"/>
      <c r="L47" s="381"/>
      <c r="M47" s="381"/>
      <c r="O47" s="83">
        <v>1.06</v>
      </c>
      <c r="P47" s="83">
        <f t="shared" si="2"/>
        <v>74.549800000000005</v>
      </c>
      <c r="Q47" s="83"/>
      <c r="T47" s="93" t="s">
        <v>102</v>
      </c>
      <c r="U47" s="88">
        <v>70.2</v>
      </c>
      <c r="W47" s="133">
        <v>42702</v>
      </c>
      <c r="X47" s="10">
        <v>67.930000000000007</v>
      </c>
      <c r="Y47" s="10">
        <v>68.069999999999993</v>
      </c>
      <c r="Z47" s="10">
        <v>67.2</v>
      </c>
      <c r="AA47" s="10">
        <v>67.290000000000006</v>
      </c>
      <c r="AB47" s="95">
        <v>308600</v>
      </c>
      <c r="AC47" s="10">
        <v>67.290000000000006</v>
      </c>
      <c r="AD47" s="2">
        <f t="shared" si="0"/>
        <v>0.86999999999999034</v>
      </c>
      <c r="AE47" s="138">
        <f t="shared" si="1"/>
        <v>-1.015004413062659E-2</v>
      </c>
    </row>
    <row r="48" spans="1:31" x14ac:dyDescent="0.25">
      <c r="A48" s="381"/>
      <c r="B48" s="381"/>
      <c r="C48" s="381"/>
      <c r="D48" s="382"/>
      <c r="E48" s="382"/>
      <c r="F48" s="382"/>
      <c r="G48" s="381"/>
      <c r="H48" s="381"/>
      <c r="I48" s="381"/>
      <c r="J48" s="381"/>
      <c r="K48" s="381"/>
      <c r="L48" s="381"/>
      <c r="M48" s="381"/>
      <c r="O48" s="83">
        <v>1.05</v>
      </c>
      <c r="P48" s="83">
        <f t="shared" si="2"/>
        <v>73.846500000000006</v>
      </c>
      <c r="Q48" s="83"/>
      <c r="T48" s="93" t="s">
        <v>103</v>
      </c>
      <c r="U48" s="88">
        <v>1.42641</v>
      </c>
      <c r="W48" s="133">
        <v>42699</v>
      </c>
      <c r="X48" s="10">
        <v>67.95</v>
      </c>
      <c r="Y48" s="10">
        <v>67.98</v>
      </c>
      <c r="Z48" s="10">
        <v>67.739999999999995</v>
      </c>
      <c r="AA48" s="10">
        <v>67.98</v>
      </c>
      <c r="AB48" s="95">
        <v>191000</v>
      </c>
      <c r="AC48" s="10">
        <v>67.98</v>
      </c>
      <c r="AD48" s="2">
        <f t="shared" si="0"/>
        <v>0.24000000000000909</v>
      </c>
      <c r="AE48" s="138">
        <f t="shared" si="1"/>
        <v>2.9429075927023263E-4</v>
      </c>
    </row>
    <row r="49" spans="1:31" x14ac:dyDescent="0.25">
      <c r="A49" s="381"/>
      <c r="B49" s="381"/>
      <c r="C49" s="381"/>
      <c r="D49" s="382"/>
      <c r="E49" s="382"/>
      <c r="F49" s="382"/>
      <c r="G49" s="381"/>
      <c r="H49" s="381"/>
      <c r="I49" s="381"/>
      <c r="J49" s="381"/>
      <c r="K49" s="381"/>
      <c r="L49" s="381"/>
      <c r="M49" s="381"/>
      <c r="O49" s="83">
        <v>1.04</v>
      </c>
      <c r="P49" s="83">
        <f t="shared" si="2"/>
        <v>73.143200000000007</v>
      </c>
      <c r="Q49" s="83"/>
      <c r="T49" s="93" t="s">
        <v>122</v>
      </c>
      <c r="U49" s="88" t="s">
        <v>454</v>
      </c>
      <c r="W49" s="133">
        <v>42697</v>
      </c>
      <c r="X49" s="10">
        <v>67.739999999999995</v>
      </c>
      <c r="Y49" s="10">
        <v>68.98</v>
      </c>
      <c r="Z49" s="10">
        <v>67.05</v>
      </c>
      <c r="AA49" s="10">
        <v>67.959999999999994</v>
      </c>
      <c r="AB49" s="95">
        <v>465600</v>
      </c>
      <c r="AC49" s="10">
        <v>67.959999999999994</v>
      </c>
      <c r="AD49" s="2">
        <f t="shared" si="0"/>
        <v>1.9300000000000068</v>
      </c>
      <c r="AE49" s="138">
        <f t="shared" si="1"/>
        <v>2.2120631175341909E-3</v>
      </c>
    </row>
    <row r="50" spans="1:31" x14ac:dyDescent="0.25">
      <c r="A50" s="381"/>
      <c r="B50" s="381"/>
      <c r="C50" s="381"/>
      <c r="D50" s="382"/>
      <c r="E50" s="382"/>
      <c r="F50" s="382"/>
      <c r="G50" s="381"/>
      <c r="H50" s="381"/>
      <c r="I50" s="381"/>
      <c r="J50" s="381"/>
      <c r="K50" s="381"/>
      <c r="L50" s="381"/>
      <c r="M50" s="381"/>
      <c r="O50" s="83">
        <v>1.03</v>
      </c>
      <c r="P50" s="83">
        <f t="shared" si="2"/>
        <v>72.439899999999994</v>
      </c>
      <c r="Q50" s="83"/>
      <c r="T50" s="93"/>
      <c r="U50" s="88"/>
      <c r="W50" s="133">
        <v>42696</v>
      </c>
      <c r="X50" s="10">
        <v>68.040000000000006</v>
      </c>
      <c r="Y50" s="10">
        <v>68.209999999999994</v>
      </c>
      <c r="Z50" s="10">
        <v>67.66</v>
      </c>
      <c r="AA50" s="10">
        <v>67.81</v>
      </c>
      <c r="AB50" s="95">
        <v>443600</v>
      </c>
      <c r="AC50" s="10">
        <v>67.81</v>
      </c>
      <c r="AD50" s="2">
        <f t="shared" si="0"/>
        <v>0.54999999999999716</v>
      </c>
      <c r="AE50" s="138">
        <f t="shared" si="1"/>
        <v>1.6248153618907413E-3</v>
      </c>
    </row>
    <row r="51" spans="1:31" x14ac:dyDescent="0.25">
      <c r="A51" s="22" t="s">
        <v>81</v>
      </c>
      <c r="B51" s="22"/>
      <c r="C51" s="22">
        <f>SUM(C35:C50)</f>
        <v>70</v>
      </c>
      <c r="D51" s="39"/>
      <c r="E51" s="39"/>
      <c r="F51" s="39">
        <f>SUM(F35:F50)</f>
        <v>3200</v>
      </c>
      <c r="G51" s="22"/>
      <c r="H51" s="22">
        <f>SUM(H35:H37)</f>
        <v>70</v>
      </c>
      <c r="I51" s="22"/>
      <c r="J51" s="22"/>
      <c r="K51" s="22">
        <f>SUM(K35:K50)</f>
        <v>3230.44</v>
      </c>
      <c r="L51" s="22"/>
      <c r="M51" s="39">
        <f>SUM(M35:M50)</f>
        <v>3.5</v>
      </c>
      <c r="O51" s="83">
        <v>1.02</v>
      </c>
      <c r="P51" s="83">
        <f t="shared" si="2"/>
        <v>71.736599999999996</v>
      </c>
      <c r="Q51" s="83"/>
      <c r="T51" s="93" t="s">
        <v>105</v>
      </c>
      <c r="U51" s="88" t="s">
        <v>666</v>
      </c>
      <c r="W51" s="133">
        <v>42695</v>
      </c>
      <c r="X51" s="10">
        <v>67.400000000000006</v>
      </c>
      <c r="Y51" s="10">
        <v>67.709999999999994</v>
      </c>
      <c r="Z51" s="10">
        <v>67.040000000000006</v>
      </c>
      <c r="AA51" s="10">
        <v>67.7</v>
      </c>
      <c r="AB51" s="95">
        <v>356900</v>
      </c>
      <c r="AC51" s="10">
        <v>67.7</v>
      </c>
      <c r="AD51" s="2">
        <f t="shared" si="0"/>
        <v>0.66999999999998749</v>
      </c>
      <c r="AE51" s="138">
        <f t="shared" si="1"/>
        <v>6.3921510331501619E-3</v>
      </c>
    </row>
    <row r="52" spans="1:31" x14ac:dyDescent="0.25">
      <c r="A52" s="381"/>
      <c r="B52" s="381"/>
      <c r="C52" s="381"/>
      <c r="D52" s="382"/>
      <c r="E52" s="382"/>
      <c r="F52" s="382"/>
      <c r="G52" s="381"/>
      <c r="H52" s="381"/>
      <c r="I52" s="381"/>
      <c r="J52" s="381"/>
      <c r="K52" s="381"/>
      <c r="L52" s="381"/>
      <c r="M52" s="381"/>
      <c r="O52" s="83">
        <v>1.01</v>
      </c>
      <c r="P52" s="83">
        <f t="shared" si="2"/>
        <v>71.033299999999997</v>
      </c>
      <c r="Q52" s="83"/>
      <c r="T52" s="93" t="s">
        <v>106</v>
      </c>
      <c r="U52" s="88" t="s">
        <v>411</v>
      </c>
      <c r="W52" s="133">
        <v>42692</v>
      </c>
      <c r="X52" s="10">
        <v>67.25</v>
      </c>
      <c r="Y52" s="10">
        <v>67.45</v>
      </c>
      <c r="Z52" s="10">
        <v>66.73</v>
      </c>
      <c r="AA52" s="10">
        <v>67.27</v>
      </c>
      <c r="AB52" s="95">
        <v>411900</v>
      </c>
      <c r="AC52" s="10">
        <v>67.27</v>
      </c>
      <c r="AD52" s="2">
        <f t="shared" si="0"/>
        <v>0.71999999999999886</v>
      </c>
      <c r="AE52" s="138">
        <f t="shared" si="1"/>
        <v>-1.3361045130642069E-3</v>
      </c>
    </row>
    <row r="53" spans="1:31" x14ac:dyDescent="0.25">
      <c r="O53" s="83">
        <v>1</v>
      </c>
      <c r="P53" s="83">
        <f t="shared" si="2"/>
        <v>70.33</v>
      </c>
      <c r="Q53" s="83"/>
      <c r="T53" s="93" t="s">
        <v>107</v>
      </c>
      <c r="U53" s="90">
        <v>323962</v>
      </c>
      <c r="W53" s="133">
        <v>42691</v>
      </c>
      <c r="X53" s="10">
        <v>68.02</v>
      </c>
      <c r="Y53" s="10">
        <v>68.44</v>
      </c>
      <c r="Z53" s="10">
        <v>67.260000000000005</v>
      </c>
      <c r="AA53" s="10">
        <v>67.36</v>
      </c>
      <c r="AB53" s="95">
        <v>591900</v>
      </c>
      <c r="AC53" s="10">
        <v>67.36</v>
      </c>
      <c r="AD53" s="2">
        <f t="shared" si="0"/>
        <v>1.1799999999999926</v>
      </c>
      <c r="AE53" s="138">
        <f t="shared" si="1"/>
        <v>-8.3909907257472272E-3</v>
      </c>
    </row>
    <row r="54" spans="1:31" x14ac:dyDescent="0.25">
      <c r="O54" s="83">
        <v>0.99</v>
      </c>
      <c r="P54" s="83">
        <f t="shared" si="2"/>
        <v>69.6267</v>
      </c>
      <c r="Q54" s="83"/>
      <c r="T54" s="93" t="s">
        <v>110</v>
      </c>
      <c r="U54" s="90">
        <v>356990</v>
      </c>
      <c r="W54" s="133">
        <v>42690</v>
      </c>
      <c r="X54" s="10">
        <v>67.45</v>
      </c>
      <c r="Y54" s="10">
        <v>67.95</v>
      </c>
      <c r="Z54" s="10">
        <v>66.400000000000006</v>
      </c>
      <c r="AA54" s="10">
        <v>67.930000000000007</v>
      </c>
      <c r="AB54" s="95">
        <v>471300</v>
      </c>
      <c r="AC54" s="10">
        <v>67.930000000000007</v>
      </c>
      <c r="AD54" s="2">
        <f t="shared" si="0"/>
        <v>1.5499999999999972</v>
      </c>
      <c r="AE54" s="138">
        <f t="shared" si="1"/>
        <v>-2.9433406916845595E-4</v>
      </c>
    </row>
    <row r="55" spans="1:31" x14ac:dyDescent="0.25">
      <c r="O55" s="83">
        <v>0.98</v>
      </c>
      <c r="P55" s="83">
        <f t="shared" si="2"/>
        <v>68.923400000000001</v>
      </c>
      <c r="Q55" s="83"/>
      <c r="T55" s="93" t="s">
        <v>108</v>
      </c>
      <c r="U55" s="88" t="s">
        <v>667</v>
      </c>
      <c r="W55" s="133">
        <v>42689</v>
      </c>
      <c r="X55" s="10">
        <v>66</v>
      </c>
      <c r="Y55" s="10">
        <v>67.989999999999995</v>
      </c>
      <c r="Z55" s="10">
        <v>64.56</v>
      </c>
      <c r="AA55" s="10">
        <v>67.95</v>
      </c>
      <c r="AB55" s="95">
        <v>701000</v>
      </c>
      <c r="AC55" s="10">
        <v>67.95</v>
      </c>
      <c r="AD55" s="2">
        <f t="shared" si="0"/>
        <v>3.4299999999999926</v>
      </c>
      <c r="AE55" s="138">
        <f t="shared" si="1"/>
        <v>4.2977743668457302E-2</v>
      </c>
    </row>
    <row r="56" spans="1:31" x14ac:dyDescent="0.25">
      <c r="O56" s="83">
        <v>0.97</v>
      </c>
      <c r="P56" s="83">
        <f t="shared" si="2"/>
        <v>68.220100000000002</v>
      </c>
      <c r="Q56" s="83"/>
      <c r="T56" s="93" t="s">
        <v>111</v>
      </c>
      <c r="U56" s="88">
        <v>21.71</v>
      </c>
      <c r="W56" s="133">
        <v>42688</v>
      </c>
      <c r="X56" s="10">
        <v>64.97</v>
      </c>
      <c r="Y56" s="10">
        <v>66.3</v>
      </c>
      <c r="Z56" s="10">
        <v>64.12</v>
      </c>
      <c r="AA56" s="10">
        <v>65.150000000000006</v>
      </c>
      <c r="AB56" s="95">
        <v>605200</v>
      </c>
      <c r="AC56" s="10">
        <v>65.150000000000006</v>
      </c>
      <c r="AD56" s="2">
        <f t="shared" si="0"/>
        <v>2.1799999999999926</v>
      </c>
      <c r="AE56" s="138">
        <f t="shared" si="1"/>
        <v>2.5822705085813302E-2</v>
      </c>
    </row>
    <row r="57" spans="1:31" x14ac:dyDescent="0.25">
      <c r="O57" s="83">
        <v>0.96</v>
      </c>
      <c r="P57" s="83">
        <f t="shared" si="2"/>
        <v>67.516799999999989</v>
      </c>
      <c r="Q57" s="83"/>
      <c r="T57" s="93" t="s">
        <v>112</v>
      </c>
      <c r="U57" s="88">
        <v>3.19</v>
      </c>
      <c r="W57" s="133">
        <v>42685</v>
      </c>
      <c r="X57" s="10">
        <v>63.28</v>
      </c>
      <c r="Y57" s="10">
        <v>64.75</v>
      </c>
      <c r="Z57" s="10">
        <v>62.9</v>
      </c>
      <c r="AA57" s="10">
        <v>63.51</v>
      </c>
      <c r="AB57" s="95">
        <v>953400</v>
      </c>
      <c r="AC57" s="10">
        <v>63.51</v>
      </c>
      <c r="AD57" s="2">
        <f t="shared" si="0"/>
        <v>1.8500000000000014</v>
      </c>
      <c r="AE57" s="138">
        <f t="shared" si="1"/>
        <v>3.9519443566233825E-3</v>
      </c>
    </row>
    <row r="58" spans="1:31" x14ac:dyDescent="0.25">
      <c r="O58" s="83">
        <v>0.95</v>
      </c>
      <c r="P58" s="83">
        <f t="shared" si="2"/>
        <v>66.813499999999991</v>
      </c>
      <c r="Q58" s="83"/>
      <c r="T58" s="93" t="s">
        <v>109</v>
      </c>
      <c r="U58" s="88" t="s">
        <v>668</v>
      </c>
      <c r="W58" s="133">
        <v>42684</v>
      </c>
      <c r="X58" s="10">
        <v>63.28</v>
      </c>
      <c r="Y58" s="10">
        <v>63.76</v>
      </c>
      <c r="Z58" s="10">
        <v>62.54</v>
      </c>
      <c r="AA58" s="10">
        <v>63.26</v>
      </c>
      <c r="AB58" s="95">
        <v>512300</v>
      </c>
      <c r="AC58" s="10">
        <v>63.26</v>
      </c>
      <c r="AD58" s="2">
        <f t="shared" si="0"/>
        <v>1.2199999999999989</v>
      </c>
      <c r="AE58" s="138">
        <f t="shared" si="1"/>
        <v>6.5234685759745226E-3</v>
      </c>
    </row>
    <row r="59" spans="1:31" x14ac:dyDescent="0.25">
      <c r="O59" s="83">
        <v>0.94</v>
      </c>
      <c r="P59" s="83">
        <f t="shared" si="2"/>
        <v>66.110199999999992</v>
      </c>
      <c r="Q59" s="83"/>
      <c r="W59" s="133">
        <v>42683</v>
      </c>
      <c r="X59" s="10">
        <v>59.47</v>
      </c>
      <c r="Y59" s="10">
        <v>63</v>
      </c>
      <c r="Z59" s="10">
        <v>57.09</v>
      </c>
      <c r="AA59" s="10">
        <v>62.85</v>
      </c>
      <c r="AB59" s="95">
        <v>537900</v>
      </c>
      <c r="AC59" s="10">
        <v>62.85</v>
      </c>
      <c r="AD59" s="2">
        <f t="shared" si="0"/>
        <v>5.9099999999999966</v>
      </c>
      <c r="AE59" s="138" t="e">
        <f t="shared" si="1"/>
        <v>#DIV/0!</v>
      </c>
    </row>
    <row r="60" spans="1:31" x14ac:dyDescent="0.25">
      <c r="O60" s="83">
        <v>0.93</v>
      </c>
      <c r="P60" s="83">
        <f t="shared" si="2"/>
        <v>65.406900000000007</v>
      </c>
      <c r="Q60" s="83"/>
      <c r="W60" s="133">
        <v>42683</v>
      </c>
      <c r="X60" s="10" t="s">
        <v>183</v>
      </c>
      <c r="Y60" s="10"/>
      <c r="Z60" s="10"/>
      <c r="AA60" s="10"/>
      <c r="AB60" s="95"/>
      <c r="AC60" s="10"/>
      <c r="AD60" s="2">
        <f t="shared" si="0"/>
        <v>0</v>
      </c>
      <c r="AE60" s="138">
        <f t="shared" si="1"/>
        <v>-1</v>
      </c>
    </row>
    <row r="61" spans="1:31" x14ac:dyDescent="0.25">
      <c r="O61" s="83">
        <v>0.92</v>
      </c>
      <c r="P61" s="83">
        <f t="shared" si="2"/>
        <v>64.703599999999994</v>
      </c>
      <c r="Q61" s="83"/>
      <c r="W61" s="133">
        <v>42682</v>
      </c>
      <c r="X61" s="10">
        <v>60.53</v>
      </c>
      <c r="Y61" s="10">
        <v>60.88</v>
      </c>
      <c r="Z61" s="10">
        <v>59.88</v>
      </c>
      <c r="AA61" s="10">
        <v>60.05</v>
      </c>
      <c r="AB61" s="95">
        <v>308200</v>
      </c>
      <c r="AC61" s="10">
        <v>59.94</v>
      </c>
      <c r="AD61" s="2">
        <f t="shared" si="0"/>
        <v>1</v>
      </c>
      <c r="AE61" s="138">
        <f t="shared" si="1"/>
        <v>-6.6291017567120525E-3</v>
      </c>
    </row>
    <row r="62" spans="1:31" x14ac:dyDescent="0.25">
      <c r="O62" s="83">
        <v>0.91</v>
      </c>
      <c r="P62" s="83">
        <f t="shared" si="2"/>
        <v>64.000299999999996</v>
      </c>
      <c r="Q62" s="83"/>
      <c r="W62" s="133">
        <v>42681</v>
      </c>
      <c r="X62" s="10">
        <v>60.19</v>
      </c>
      <c r="Y62" s="10">
        <v>60.74</v>
      </c>
      <c r="Z62" s="10">
        <v>59.51</v>
      </c>
      <c r="AA62" s="10">
        <v>60.45</v>
      </c>
      <c r="AB62" s="95">
        <v>257800</v>
      </c>
      <c r="AC62" s="10">
        <v>60.34</v>
      </c>
      <c r="AD62" s="2">
        <f t="shared" si="0"/>
        <v>1.230000000000004</v>
      </c>
      <c r="AE62" s="138">
        <f t="shared" si="1"/>
        <v>2.2711864406779636E-2</v>
      </c>
    </row>
    <row r="63" spans="1:31" x14ac:dyDescent="0.25">
      <c r="O63" s="83">
        <v>0.9</v>
      </c>
      <c r="P63" s="83">
        <f t="shared" si="2"/>
        <v>63.296999999999997</v>
      </c>
      <c r="Q63" s="83"/>
      <c r="W63" s="133">
        <v>42678</v>
      </c>
      <c r="X63" s="10">
        <v>57.6</v>
      </c>
      <c r="Y63" s="10">
        <v>59.95</v>
      </c>
      <c r="Z63" s="10">
        <v>57.36</v>
      </c>
      <c r="AA63" s="10">
        <v>59.11</v>
      </c>
      <c r="AB63" s="95">
        <v>377600</v>
      </c>
      <c r="AC63" s="10">
        <v>59</v>
      </c>
      <c r="AD63" s="2">
        <f t="shared" si="0"/>
        <v>2.5900000000000034</v>
      </c>
      <c r="AE63" s="138">
        <f t="shared" si="1"/>
        <v>3.128823632232125E-2</v>
      </c>
    </row>
    <row r="64" spans="1:31" x14ac:dyDescent="0.25">
      <c r="O64" s="34"/>
      <c r="W64" s="133">
        <v>42677</v>
      </c>
      <c r="X64" s="10">
        <v>57.73</v>
      </c>
      <c r="Y64" s="10">
        <v>57.9</v>
      </c>
      <c r="Z64" s="10">
        <v>57.11</v>
      </c>
      <c r="AA64" s="10">
        <v>57.31</v>
      </c>
      <c r="AB64" s="95">
        <v>372700</v>
      </c>
      <c r="AC64" s="10">
        <v>57.21</v>
      </c>
      <c r="AD64" s="2">
        <f t="shared" si="0"/>
        <v>0.78999999999999915</v>
      </c>
      <c r="AE64" s="138">
        <f t="shared" si="1"/>
        <v>-2.2671782350890402E-3</v>
      </c>
    </row>
    <row r="65" spans="15:31" x14ac:dyDescent="0.25">
      <c r="O65" s="34"/>
      <c r="W65" s="133">
        <v>42676</v>
      </c>
      <c r="X65" s="10">
        <v>57.61</v>
      </c>
      <c r="Y65" s="10">
        <v>58.58</v>
      </c>
      <c r="Z65" s="10">
        <v>57.43</v>
      </c>
      <c r="AA65" s="10">
        <v>57.45</v>
      </c>
      <c r="AB65" s="95">
        <v>227500</v>
      </c>
      <c r="AC65" s="10">
        <v>57.34</v>
      </c>
      <c r="AD65" s="2">
        <f t="shared" si="0"/>
        <v>1.1499999999999986</v>
      </c>
      <c r="AE65" s="138">
        <f t="shared" si="1"/>
        <v>-3.8220986796385636E-3</v>
      </c>
    </row>
    <row r="66" spans="15:31" x14ac:dyDescent="0.25">
      <c r="O66" s="34"/>
      <c r="W66" s="133">
        <v>42675</v>
      </c>
      <c r="X66" s="10">
        <v>59.24</v>
      </c>
      <c r="Y66" s="10">
        <v>59.46</v>
      </c>
      <c r="Z66" s="10">
        <v>57.51</v>
      </c>
      <c r="AA66" s="10">
        <v>57.67</v>
      </c>
      <c r="AB66" s="95">
        <v>222100</v>
      </c>
      <c r="AC66" s="10">
        <v>57.56</v>
      </c>
      <c r="AD66" s="2">
        <f t="shared" si="0"/>
        <v>1.9500000000000028</v>
      </c>
      <c r="AE66" s="138">
        <f t="shared" si="1"/>
        <v>-2.2252420587735577E-2</v>
      </c>
    </row>
    <row r="67" spans="15:31" x14ac:dyDescent="0.25">
      <c r="W67" s="133">
        <v>42674</v>
      </c>
      <c r="X67" s="10">
        <v>58.76</v>
      </c>
      <c r="Y67" s="10">
        <v>59.38</v>
      </c>
      <c r="Z67" s="10">
        <v>58.59</v>
      </c>
      <c r="AA67" s="10">
        <v>58.98</v>
      </c>
      <c r="AB67" s="95">
        <v>314900</v>
      </c>
      <c r="AC67" s="10">
        <v>58.87</v>
      </c>
      <c r="AD67" s="2">
        <f>Y67-Z67</f>
        <v>0.78999999999999915</v>
      </c>
      <c r="AE67" s="138">
        <f>AC67/AC68-1</f>
        <v>7.5303782303610678E-3</v>
      </c>
    </row>
    <row r="68" spans="15:31" x14ac:dyDescent="0.25">
      <c r="W68" s="133">
        <v>42671</v>
      </c>
      <c r="X68" s="10">
        <v>58.48</v>
      </c>
      <c r="Y68" s="10">
        <v>59.57</v>
      </c>
      <c r="Z68" s="10">
        <v>58.47</v>
      </c>
      <c r="AA68" s="10">
        <v>58.54</v>
      </c>
      <c r="AB68" s="95">
        <v>239200</v>
      </c>
      <c r="AC68" s="10">
        <v>58.43</v>
      </c>
      <c r="AD68" s="2">
        <f>Y68-Z68</f>
        <v>1.1000000000000014</v>
      </c>
      <c r="AE68" s="138" t="e">
        <f>AC68/AC69-1</f>
        <v>#DIV/0!</v>
      </c>
    </row>
    <row r="69" spans="15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65" priority="5">
      <formula>F21&gt;0</formula>
    </cfRule>
    <cfRule type="expression" dxfId="64" priority="6">
      <formula>F21&lt;0</formula>
    </cfRule>
  </conditionalFormatting>
  <conditionalFormatting sqref="Q8">
    <cfRule type="expression" dxfId="63" priority="1">
      <formula>Q8&gt;0</formula>
    </cfRule>
    <cfRule type="expression" dxfId="62" priority="2">
      <formula>Q8&lt;0</formula>
    </cfRule>
  </conditionalFormatting>
  <conditionalFormatting sqref="Q7">
    <cfRule type="expression" dxfId="61" priority="3">
      <formula>Q7&gt;0</formula>
    </cfRule>
    <cfRule type="expression" dxfId="6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0.7109375" bestFit="1" customWidth="1"/>
    <col min="20" max="20" width="18.5703125" customWidth="1"/>
    <col min="21" max="21" width="35.140625" customWidth="1"/>
    <col min="22" max="22" width="11.7109375" customWidth="1"/>
    <col min="24" max="24" width="10" customWidth="1"/>
    <col min="25" max="25" width="7.85546875" customWidth="1"/>
    <col min="26" max="28" width="6" bestFit="1" customWidth="1"/>
    <col min="29" max="29" width="10.140625" bestFit="1" customWidth="1"/>
    <col min="30" max="30" width="10.28515625" bestFit="1" customWidth="1"/>
    <col min="31" max="31" width="12.140625" customWidth="1"/>
    <col min="32" max="32" width="12.42578125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11" t="s">
        <v>70</v>
      </c>
      <c r="X1" s="93" t="s">
        <v>114</v>
      </c>
      <c r="Y1" s="93" t="s">
        <v>115</v>
      </c>
      <c r="Z1" s="93" t="s">
        <v>116</v>
      </c>
      <c r="AA1" s="93" t="s">
        <v>117</v>
      </c>
      <c r="AB1" s="93" t="s">
        <v>118</v>
      </c>
      <c r="AC1" s="93" t="s">
        <v>119</v>
      </c>
      <c r="AD1" s="93" t="s">
        <v>120</v>
      </c>
      <c r="AE1" s="11" t="s">
        <v>126</v>
      </c>
      <c r="AF1" s="11" t="s">
        <v>128</v>
      </c>
    </row>
    <row r="2" spans="1:32" x14ac:dyDescent="0.25">
      <c r="A2" s="6" t="s">
        <v>173</v>
      </c>
      <c r="B2" s="164">
        <v>42622</v>
      </c>
      <c r="C2" s="4">
        <v>25</v>
      </c>
      <c r="D2" s="3">
        <v>66.959999999999994</v>
      </c>
      <c r="E2" s="3">
        <v>0</v>
      </c>
      <c r="F2" s="3">
        <f>C2*D2+E2</f>
        <v>1673.9999999999998</v>
      </c>
      <c r="G2" s="74"/>
      <c r="H2" s="185"/>
      <c r="I2" s="3"/>
      <c r="J2" s="3"/>
      <c r="K2" s="74"/>
      <c r="L2" s="74">
        <v>42675</v>
      </c>
      <c r="M2" s="44">
        <v>12</v>
      </c>
      <c r="O2" s="11" t="s">
        <v>57</v>
      </c>
      <c r="Q2">
        <f>C18-H18</f>
        <v>50</v>
      </c>
      <c r="U2" s="163"/>
      <c r="X2" s="133">
        <v>42768</v>
      </c>
      <c r="Y2" s="10">
        <v>61.64</v>
      </c>
      <c r="Z2" s="10">
        <v>62.02</v>
      </c>
      <c r="AA2" s="10">
        <v>61.5</v>
      </c>
      <c r="AB2" s="10">
        <v>61.72</v>
      </c>
      <c r="AC2" s="95">
        <v>2161800</v>
      </c>
      <c r="AD2" s="10">
        <v>61.72</v>
      </c>
      <c r="AE2" s="2">
        <f>Z2-AA2</f>
        <v>0.52000000000000313</v>
      </c>
      <c r="AF2" s="138">
        <f>AD2/AD3-1</f>
        <v>5.7031122698387726E-3</v>
      </c>
    </row>
    <row r="3" spans="1:32" x14ac:dyDescent="0.25">
      <c r="A3" s="23" t="s">
        <v>71</v>
      </c>
      <c r="B3" s="164">
        <v>42663</v>
      </c>
      <c r="C3" s="4">
        <v>25</v>
      </c>
      <c r="D3" s="3">
        <v>60.98</v>
      </c>
      <c r="E3" s="3">
        <v>0</v>
      </c>
      <c r="F3" s="3">
        <f>C3*D3+E3</f>
        <v>1524.5</v>
      </c>
      <c r="G3" s="74"/>
      <c r="H3" s="4"/>
      <c r="I3" s="4"/>
      <c r="J3" s="4"/>
      <c r="K3" s="4"/>
      <c r="L3" s="74">
        <v>42768</v>
      </c>
      <c r="M3" s="44">
        <v>24</v>
      </c>
      <c r="O3" s="11" t="s">
        <v>58</v>
      </c>
      <c r="Q3" s="80">
        <f>IF(Q2=0, Q4, (F18-K18-M18)/Q2)</f>
        <v>63.25</v>
      </c>
      <c r="X3" s="133">
        <v>42767</v>
      </c>
      <c r="Y3" s="10">
        <v>62.32</v>
      </c>
      <c r="Z3" s="10">
        <v>62.45</v>
      </c>
      <c r="AA3" s="10">
        <v>61.36</v>
      </c>
      <c r="AB3" s="10">
        <v>61.37</v>
      </c>
      <c r="AC3" s="95">
        <v>2644100</v>
      </c>
      <c r="AD3" s="10">
        <v>61.37</v>
      </c>
      <c r="AE3" s="2">
        <f t="shared" ref="AE3:AE66" si="0">Z3-AA3</f>
        <v>1.0900000000000034</v>
      </c>
      <c r="AF3" s="138">
        <f t="shared" ref="AF3:AF66" si="1">AD3/AD4-1</f>
        <v>-1.7765685019206168E-2</v>
      </c>
    </row>
    <row r="4" spans="1:32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62.73</v>
      </c>
      <c r="R4" s="505">
        <v>1.6400000000000001E-2</v>
      </c>
      <c r="X4" s="133">
        <v>42766</v>
      </c>
      <c r="Y4" s="10">
        <v>62.6</v>
      </c>
      <c r="Z4" s="10">
        <v>62.95</v>
      </c>
      <c r="AA4" s="10">
        <v>62.32</v>
      </c>
      <c r="AB4" s="10">
        <v>62.48</v>
      </c>
      <c r="AC4" s="95">
        <v>3543600</v>
      </c>
      <c r="AD4" s="10">
        <v>62.48</v>
      </c>
      <c r="AE4" s="2">
        <f t="shared" si="0"/>
        <v>0.63000000000000256</v>
      </c>
      <c r="AF4" s="138">
        <f t="shared" si="1"/>
        <v>-1.9169329073482899E-3</v>
      </c>
    </row>
    <row r="5" spans="1:32" x14ac:dyDescent="0.25">
      <c r="B5" s="1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3136.5</v>
      </c>
      <c r="X5" s="133">
        <v>42765</v>
      </c>
      <c r="Y5" s="10">
        <v>62.56</v>
      </c>
      <c r="Z5" s="10">
        <v>62.94</v>
      </c>
      <c r="AA5" s="10">
        <v>62.33</v>
      </c>
      <c r="AB5" s="10">
        <v>62.6</v>
      </c>
      <c r="AC5" s="95">
        <v>1692300</v>
      </c>
      <c r="AD5" s="10">
        <v>62.6</v>
      </c>
      <c r="AE5" s="2">
        <f t="shared" si="0"/>
        <v>0.60999999999999943</v>
      </c>
      <c r="AF5" s="138">
        <f t="shared" si="1"/>
        <v>-1.913265306122458E-3</v>
      </c>
    </row>
    <row r="6" spans="1:32" x14ac:dyDescent="0.25">
      <c r="O6" s="11" t="s">
        <v>64</v>
      </c>
      <c r="Q6" s="2">
        <f>Q3*Q2</f>
        <v>3162.5</v>
      </c>
      <c r="X6" s="133">
        <v>42762</v>
      </c>
      <c r="Y6" s="10">
        <v>62.75</v>
      </c>
      <c r="Z6" s="10">
        <v>62.86</v>
      </c>
      <c r="AA6" s="10">
        <v>62.28</v>
      </c>
      <c r="AB6" s="10">
        <v>62.72</v>
      </c>
      <c r="AC6" s="95">
        <v>1845100</v>
      </c>
      <c r="AD6" s="10">
        <v>62.72</v>
      </c>
      <c r="AE6" s="2">
        <f t="shared" si="0"/>
        <v>0.57999999999999829</v>
      </c>
      <c r="AF6" s="138">
        <f t="shared" si="1"/>
        <v>3.1897926634760765E-4</v>
      </c>
    </row>
    <row r="7" spans="1:32" x14ac:dyDescent="0.25">
      <c r="O7" s="11" t="s">
        <v>181</v>
      </c>
      <c r="Q7" s="2">
        <f>Q10+Q8</f>
        <v>23.949999999999818</v>
      </c>
      <c r="R7">
        <v>50</v>
      </c>
      <c r="X7" s="133">
        <v>42761</v>
      </c>
      <c r="Y7" s="10">
        <v>62.89</v>
      </c>
      <c r="Z7" s="10">
        <v>63.04</v>
      </c>
      <c r="AA7" s="10">
        <v>62.42</v>
      </c>
      <c r="AB7" s="10">
        <v>62.7</v>
      </c>
      <c r="AC7" s="95">
        <v>1957100</v>
      </c>
      <c r="AD7" s="10">
        <v>62.7</v>
      </c>
      <c r="AE7" s="2">
        <f t="shared" si="0"/>
        <v>0.61999999999999744</v>
      </c>
      <c r="AF7" s="138">
        <f t="shared" si="1"/>
        <v>-4.9198539914298012E-3</v>
      </c>
    </row>
    <row r="8" spans="1:32" x14ac:dyDescent="0.25">
      <c r="O8" s="11" t="s">
        <v>184</v>
      </c>
      <c r="P8" s="34"/>
      <c r="Q8" s="2">
        <f>K18+M18-F18+Q2*Q4</f>
        <v>-26</v>
      </c>
      <c r="X8" s="133">
        <v>42760</v>
      </c>
      <c r="Y8" s="10">
        <v>62.84</v>
      </c>
      <c r="Z8" s="10">
        <v>63.11</v>
      </c>
      <c r="AA8" s="10">
        <v>62.42</v>
      </c>
      <c r="AB8" s="10">
        <v>63.01</v>
      </c>
      <c r="AC8" s="95">
        <v>2681400</v>
      </c>
      <c r="AD8" s="10">
        <v>63.01</v>
      </c>
      <c r="AE8" s="2">
        <f t="shared" si="0"/>
        <v>0.68999999999999773</v>
      </c>
      <c r="AF8" s="138">
        <f t="shared" si="1"/>
        <v>5.4252433381203335E-3</v>
      </c>
    </row>
    <row r="9" spans="1:32" x14ac:dyDescent="0.25">
      <c r="O9" s="11" t="s">
        <v>214</v>
      </c>
      <c r="Q9" s="138">
        <f>IF(Q2=0, 0, Q8/Q6)</f>
        <v>-8.2213438735177866E-3</v>
      </c>
      <c r="X9" s="133">
        <v>42759</v>
      </c>
      <c r="Y9" s="10">
        <v>62.07</v>
      </c>
      <c r="Z9" s="10">
        <v>62.89</v>
      </c>
      <c r="AA9" s="10">
        <v>62.06</v>
      </c>
      <c r="AB9" s="10">
        <v>62.67</v>
      </c>
      <c r="AC9" s="95">
        <v>2632500</v>
      </c>
      <c r="AD9" s="10">
        <v>62.67</v>
      </c>
      <c r="AE9" s="2">
        <f t="shared" si="0"/>
        <v>0.82999999999999829</v>
      </c>
      <c r="AF9" s="138">
        <f t="shared" si="1"/>
        <v>8.8538312942691988E-3</v>
      </c>
    </row>
    <row r="10" spans="1:32" x14ac:dyDescent="0.25">
      <c r="O10" s="11" t="s">
        <v>213</v>
      </c>
      <c r="P10" s="34"/>
      <c r="Q10" s="2">
        <f>M40</f>
        <v>49.949999999999818</v>
      </c>
      <c r="X10" s="133">
        <v>42758</v>
      </c>
      <c r="Y10" s="10">
        <v>62.19</v>
      </c>
      <c r="Z10" s="10">
        <v>62.35</v>
      </c>
      <c r="AA10" s="10">
        <v>61.55</v>
      </c>
      <c r="AB10" s="10">
        <v>62.12</v>
      </c>
      <c r="AC10" s="95">
        <v>2837400</v>
      </c>
      <c r="AD10" s="10">
        <v>62.12</v>
      </c>
      <c r="AE10" s="2">
        <f t="shared" si="0"/>
        <v>0.80000000000000426</v>
      </c>
      <c r="AF10" s="138">
        <f t="shared" si="1"/>
        <v>-4.806151874399256E-3</v>
      </c>
    </row>
    <row r="11" spans="1:32" x14ac:dyDescent="0.25">
      <c r="O11" s="11" t="s">
        <v>178</v>
      </c>
      <c r="P11" s="34"/>
      <c r="Q11" s="138">
        <f>VALUE(TRIM(CLEAN(MID(U58, FIND("(", U58)+1, 5))))</f>
        <v>3.0700000000000002E-2</v>
      </c>
      <c r="X11" s="133">
        <v>42755</v>
      </c>
      <c r="Y11" s="10">
        <v>62</v>
      </c>
      <c r="Z11" s="10">
        <v>62.72</v>
      </c>
      <c r="AA11" s="10">
        <v>61.92</v>
      </c>
      <c r="AB11" s="10">
        <v>62.42</v>
      </c>
      <c r="AC11" s="95">
        <v>3104000</v>
      </c>
      <c r="AD11" s="10">
        <v>62.42</v>
      </c>
      <c r="AE11" s="2">
        <f t="shared" si="0"/>
        <v>0.79999999999999716</v>
      </c>
      <c r="AF11" s="138">
        <f t="shared" si="1"/>
        <v>1.2489862124898776E-2</v>
      </c>
    </row>
    <row r="12" spans="1:32" x14ac:dyDescent="0.25">
      <c r="X12" s="133">
        <v>42754</v>
      </c>
      <c r="Y12" s="10">
        <v>62.11</v>
      </c>
      <c r="Z12" s="10">
        <v>62.13</v>
      </c>
      <c r="AA12" s="10">
        <v>61.62</v>
      </c>
      <c r="AB12" s="10">
        <v>61.65</v>
      </c>
      <c r="AC12" s="95">
        <v>2421500</v>
      </c>
      <c r="AD12" s="10">
        <v>61.65</v>
      </c>
      <c r="AE12" s="2">
        <f t="shared" si="0"/>
        <v>0.51000000000000512</v>
      </c>
      <c r="AF12" s="138">
        <f t="shared" si="1"/>
        <v>-6.9265463917526082E-3</v>
      </c>
    </row>
    <row r="13" spans="1:32" x14ac:dyDescent="0.25">
      <c r="X13" s="133">
        <v>42753</v>
      </c>
      <c r="Y13" s="10">
        <v>61.88</v>
      </c>
      <c r="Z13" s="10">
        <v>62.28</v>
      </c>
      <c r="AA13" s="10">
        <v>61.82</v>
      </c>
      <c r="AB13" s="10">
        <v>62.08</v>
      </c>
      <c r="AC13" s="95">
        <v>2116400</v>
      </c>
      <c r="AD13" s="10">
        <v>62.08</v>
      </c>
      <c r="AE13" s="2">
        <f t="shared" si="0"/>
        <v>0.46000000000000085</v>
      </c>
      <c r="AF13" s="138">
        <f t="shared" si="1"/>
        <v>1.6134236850597894E-3</v>
      </c>
    </row>
    <row r="14" spans="1:32" x14ac:dyDescent="0.25">
      <c r="X14" s="133">
        <v>42752</v>
      </c>
      <c r="Y14" s="10">
        <v>60.96</v>
      </c>
      <c r="Z14" s="10">
        <v>62.06</v>
      </c>
      <c r="AA14" s="10">
        <v>60.96</v>
      </c>
      <c r="AB14" s="10">
        <v>61.98</v>
      </c>
      <c r="AC14" s="95">
        <v>2775100</v>
      </c>
      <c r="AD14" s="10">
        <v>61.98</v>
      </c>
      <c r="AE14" s="2">
        <f t="shared" si="0"/>
        <v>1.1000000000000014</v>
      </c>
      <c r="AF14" s="138">
        <f t="shared" si="1"/>
        <v>1.4734774066797574E-2</v>
      </c>
    </row>
    <row r="15" spans="1:32" x14ac:dyDescent="0.25">
      <c r="X15" s="133">
        <v>42748</v>
      </c>
      <c r="Y15" s="10">
        <v>61.21</v>
      </c>
      <c r="Z15" s="10">
        <v>61.47</v>
      </c>
      <c r="AA15" s="10">
        <v>60.93</v>
      </c>
      <c r="AB15" s="10">
        <v>61.08</v>
      </c>
      <c r="AC15" s="95">
        <v>1853800</v>
      </c>
      <c r="AD15" s="10">
        <v>61.08</v>
      </c>
      <c r="AE15" s="2">
        <f t="shared" si="0"/>
        <v>0.53999999999999915</v>
      </c>
      <c r="AF15" s="138">
        <f t="shared" si="1"/>
        <v>-3.1010282356782604E-3</v>
      </c>
    </row>
    <row r="16" spans="1:32" x14ac:dyDescent="0.25">
      <c r="X16" s="133">
        <v>42747</v>
      </c>
      <c r="Y16" s="10">
        <v>60.92</v>
      </c>
      <c r="Z16" s="10">
        <v>61.88</v>
      </c>
      <c r="AA16" s="10">
        <v>60.86</v>
      </c>
      <c r="AB16" s="10">
        <v>61.27</v>
      </c>
      <c r="AC16" s="95">
        <v>2961800</v>
      </c>
      <c r="AD16" s="10">
        <v>61.27</v>
      </c>
      <c r="AE16" s="2">
        <f t="shared" si="0"/>
        <v>1.0200000000000031</v>
      </c>
      <c r="AF16" s="138">
        <f t="shared" si="1"/>
        <v>4.7556575926535061E-3</v>
      </c>
    </row>
    <row r="17" spans="1:32" x14ac:dyDescent="0.25">
      <c r="X17" s="133">
        <v>42746</v>
      </c>
      <c r="Y17" s="10">
        <v>60.45</v>
      </c>
      <c r="Z17" s="10">
        <v>61.11</v>
      </c>
      <c r="AA17" s="10">
        <v>60.31</v>
      </c>
      <c r="AB17" s="10">
        <v>60.98</v>
      </c>
      <c r="AC17" s="95">
        <v>3374000</v>
      </c>
      <c r="AD17" s="10">
        <v>60.98</v>
      </c>
      <c r="AE17" s="2">
        <f t="shared" si="0"/>
        <v>0.79999999999999716</v>
      </c>
      <c r="AF17" s="138">
        <f t="shared" si="1"/>
        <v>8.7675765095118763E-3</v>
      </c>
    </row>
    <row r="18" spans="1:32" x14ac:dyDescent="0.25">
      <c r="A18" s="22" t="s">
        <v>81</v>
      </c>
      <c r="B18" s="12"/>
      <c r="C18" s="12">
        <f>SUM(C2:C17)</f>
        <v>50</v>
      </c>
      <c r="D18" s="13"/>
      <c r="E18" s="13"/>
      <c r="F18" s="13">
        <f>SUM(F2:F17)</f>
        <v>3198.5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36</v>
      </c>
      <c r="X18" s="133">
        <v>42745</v>
      </c>
      <c r="Y18" s="10">
        <v>60.6</v>
      </c>
      <c r="Z18" s="10">
        <v>60.73</v>
      </c>
      <c r="AA18" s="10">
        <v>60.27</v>
      </c>
      <c r="AB18" s="10">
        <v>60.45</v>
      </c>
      <c r="AC18" s="95">
        <v>3244300</v>
      </c>
      <c r="AD18" s="10">
        <v>60.45</v>
      </c>
      <c r="AE18" s="2">
        <f t="shared" si="0"/>
        <v>0.45999999999999375</v>
      </c>
      <c r="AF18" s="138">
        <f t="shared" si="1"/>
        <v>-1.8163804491413416E-3</v>
      </c>
    </row>
    <row r="19" spans="1:32" x14ac:dyDescent="0.25">
      <c r="X19" s="133">
        <v>42744</v>
      </c>
      <c r="Y19" s="10">
        <v>61.36</v>
      </c>
      <c r="Z19" s="10">
        <v>61.56</v>
      </c>
      <c r="AA19" s="10">
        <v>60.52</v>
      </c>
      <c r="AB19" s="10">
        <v>60.56</v>
      </c>
      <c r="AC19" s="95">
        <v>3306300</v>
      </c>
      <c r="AD19" s="10">
        <v>60.56</v>
      </c>
      <c r="AE19" s="2">
        <f t="shared" si="0"/>
        <v>1.0399999999999991</v>
      </c>
      <c r="AF19" s="138">
        <f t="shared" si="1"/>
        <v>-1.4803969415975171E-2</v>
      </c>
    </row>
    <row r="20" spans="1:32" x14ac:dyDescent="0.25">
      <c r="X20" s="133">
        <v>42741</v>
      </c>
      <c r="Y20" s="10">
        <v>61.72</v>
      </c>
      <c r="Z20" s="10">
        <v>61.82</v>
      </c>
      <c r="AA20" s="10">
        <v>61.36</v>
      </c>
      <c r="AB20" s="10">
        <v>61.47</v>
      </c>
      <c r="AC20" s="95">
        <v>2282000</v>
      </c>
      <c r="AD20" s="10">
        <v>61.47</v>
      </c>
      <c r="AE20" s="2">
        <f t="shared" si="0"/>
        <v>0.46000000000000085</v>
      </c>
      <c r="AF20" s="138" t="e">
        <f t="shared" si="1"/>
        <v>#DIV/0!</v>
      </c>
    </row>
    <row r="21" spans="1:32" x14ac:dyDescent="0.25">
      <c r="B21" s="191" t="s">
        <v>114</v>
      </c>
      <c r="C21" s="191" t="s">
        <v>147</v>
      </c>
      <c r="D21" s="192" t="s">
        <v>146</v>
      </c>
      <c r="E21" s="194" t="s">
        <v>148</v>
      </c>
      <c r="F21" s="194" t="s">
        <v>65</v>
      </c>
      <c r="G21" s="229" t="s">
        <v>152</v>
      </c>
      <c r="H21" s="229" t="s">
        <v>88</v>
      </c>
      <c r="I21" s="229" t="s">
        <v>155</v>
      </c>
      <c r="X21" s="133">
        <v>42741</v>
      </c>
      <c r="Y21" s="10" t="s">
        <v>240</v>
      </c>
      <c r="Z21" s="10"/>
      <c r="AA21" s="10"/>
      <c r="AB21" s="10"/>
      <c r="AC21" s="95"/>
      <c r="AD21" s="10"/>
      <c r="AE21" s="2">
        <f t="shared" si="0"/>
        <v>0</v>
      </c>
      <c r="AF21" s="138">
        <f t="shared" si="1"/>
        <v>-1</v>
      </c>
    </row>
    <row r="22" spans="1:32" x14ac:dyDescent="0.25">
      <c r="B22" s="193">
        <v>42622</v>
      </c>
      <c r="C22" s="10">
        <v>25</v>
      </c>
      <c r="D22" s="40">
        <v>66.959999999999994</v>
      </c>
      <c r="E22" s="40">
        <v>65.05</v>
      </c>
      <c r="F22" s="40">
        <f t="shared" ref="F22:F29" si="2">C22*(E22-D22)</f>
        <v>-47.749999999999915</v>
      </c>
      <c r="G22" s="40">
        <f t="shared" ref="G22:G29" si="3">D22*C22</f>
        <v>1673.9999999999998</v>
      </c>
      <c r="H22" s="231">
        <f t="shared" ref="H22:H29" si="4">(E22-D22)/D22</f>
        <v>-2.8524492234169606E-2</v>
      </c>
      <c r="I22" s="40"/>
      <c r="X22" s="133">
        <v>42740</v>
      </c>
      <c r="Y22" s="10">
        <v>62</v>
      </c>
      <c r="Z22" s="10">
        <v>62.47</v>
      </c>
      <c r="AA22" s="10">
        <v>61.71</v>
      </c>
      <c r="AB22" s="10">
        <v>62.25</v>
      </c>
      <c r="AC22" s="95">
        <v>2558500</v>
      </c>
      <c r="AD22" s="10">
        <v>61.77</v>
      </c>
      <c r="AE22" s="2">
        <f t="shared" si="0"/>
        <v>0.75999999999999801</v>
      </c>
      <c r="AF22" s="138">
        <f t="shared" si="1"/>
        <v>2.9225523623965799E-3</v>
      </c>
    </row>
    <row r="23" spans="1:32" x14ac:dyDescent="0.25">
      <c r="B23" s="193">
        <v>42634</v>
      </c>
      <c r="C23" s="10">
        <v>25</v>
      </c>
      <c r="D23" s="40">
        <v>66.959999999999994</v>
      </c>
      <c r="E23" s="40">
        <v>65.260000000000005</v>
      </c>
      <c r="F23" s="40">
        <f t="shared" si="2"/>
        <v>-42.499999999999716</v>
      </c>
      <c r="G23" s="40">
        <f t="shared" si="3"/>
        <v>1673.9999999999998</v>
      </c>
      <c r="H23" s="231">
        <f t="shared" si="4"/>
        <v>-2.5388291517323608E-2</v>
      </c>
      <c r="I23" s="40"/>
      <c r="X23" s="133">
        <v>42739</v>
      </c>
      <c r="Y23" s="10">
        <v>62.05</v>
      </c>
      <c r="Z23" s="10">
        <v>62.56</v>
      </c>
      <c r="AA23" s="10">
        <v>61.95</v>
      </c>
      <c r="AB23" s="10">
        <v>62.07</v>
      </c>
      <c r="AC23" s="95">
        <v>2137200</v>
      </c>
      <c r="AD23" s="10">
        <v>61.59</v>
      </c>
      <c r="AE23" s="2">
        <f t="shared" si="0"/>
        <v>0.60999999999999943</v>
      </c>
      <c r="AF23" s="138">
        <f t="shared" si="1"/>
        <v>-3.246226261970353E-4</v>
      </c>
    </row>
    <row r="24" spans="1:32" x14ac:dyDescent="0.25">
      <c r="B24" s="193">
        <v>42638</v>
      </c>
      <c r="C24" s="10">
        <v>25</v>
      </c>
      <c r="D24" s="40">
        <v>66.959999999999994</v>
      </c>
      <c r="E24" s="40">
        <v>64.650000000000006</v>
      </c>
      <c r="F24" s="40">
        <f t="shared" si="2"/>
        <v>-57.749999999999702</v>
      </c>
      <c r="G24" s="40">
        <f t="shared" si="3"/>
        <v>1673.9999999999998</v>
      </c>
      <c r="H24" s="231">
        <f t="shared" si="4"/>
        <v>-3.4498207885304485E-2</v>
      </c>
      <c r="I24" s="40"/>
      <c r="X24" s="133">
        <v>42738</v>
      </c>
      <c r="Y24" s="10">
        <v>62.09</v>
      </c>
      <c r="Z24" s="10">
        <v>62.24</v>
      </c>
      <c r="AA24" s="10">
        <v>61.36</v>
      </c>
      <c r="AB24" s="10">
        <v>62.09</v>
      </c>
      <c r="AC24" s="95">
        <v>2327900</v>
      </c>
      <c r="AD24" s="10">
        <v>61.61</v>
      </c>
      <c r="AE24" s="2">
        <f t="shared" si="0"/>
        <v>0.88000000000000256</v>
      </c>
      <c r="AF24" s="138">
        <f t="shared" si="1"/>
        <v>5.2210801109480176E-3</v>
      </c>
    </row>
    <row r="25" spans="1:32" x14ac:dyDescent="0.25">
      <c r="B25" s="193">
        <v>42639</v>
      </c>
      <c r="C25" s="10">
        <v>25</v>
      </c>
      <c r="D25" s="40">
        <v>66.959999999999994</v>
      </c>
      <c r="E25" s="40">
        <v>63.9</v>
      </c>
      <c r="F25" s="40">
        <f t="shared" si="2"/>
        <v>-76.499999999999886</v>
      </c>
      <c r="G25" s="40">
        <f t="shared" si="3"/>
        <v>1673.9999999999998</v>
      </c>
      <c r="H25" s="231">
        <f t="shared" si="4"/>
        <v>-4.5698924731182727E-2</v>
      </c>
      <c r="I25" s="40"/>
      <c r="X25" s="133">
        <v>42734</v>
      </c>
      <c r="Y25" s="10">
        <v>62.37</v>
      </c>
      <c r="Z25" s="10">
        <v>62.47</v>
      </c>
      <c r="AA25" s="10">
        <v>61.58</v>
      </c>
      <c r="AB25" s="10">
        <v>61.77</v>
      </c>
      <c r="AC25" s="95">
        <v>1937700</v>
      </c>
      <c r="AD25" s="10">
        <v>61.29</v>
      </c>
      <c r="AE25" s="2">
        <f t="shared" si="0"/>
        <v>0.89000000000000057</v>
      </c>
      <c r="AF25" s="138">
        <f t="shared" si="1"/>
        <v>-9.5345830639949058E-3</v>
      </c>
    </row>
    <row r="26" spans="1:32" x14ac:dyDescent="0.25">
      <c r="B26" s="193">
        <v>42647</v>
      </c>
      <c r="C26" s="10">
        <v>25</v>
      </c>
      <c r="D26" s="40">
        <v>66.959999999999994</v>
      </c>
      <c r="E26" s="40">
        <v>63.05</v>
      </c>
      <c r="F26" s="40">
        <f t="shared" si="2"/>
        <v>-97.749999999999915</v>
      </c>
      <c r="G26" s="40">
        <f t="shared" si="3"/>
        <v>1673.9999999999998</v>
      </c>
      <c r="H26" s="231">
        <f t="shared" si="4"/>
        <v>-5.8393070489844635E-2</v>
      </c>
      <c r="I26" s="40"/>
      <c r="X26" s="133">
        <v>42733</v>
      </c>
      <c r="Y26" s="10">
        <v>61.71</v>
      </c>
      <c r="Z26" s="10">
        <v>62.42</v>
      </c>
      <c r="AA26" s="10">
        <v>61.67</v>
      </c>
      <c r="AB26" s="10">
        <v>62.36</v>
      </c>
      <c r="AC26" s="95">
        <v>1483300</v>
      </c>
      <c r="AD26" s="10">
        <v>61.88</v>
      </c>
      <c r="AE26" s="2">
        <f t="shared" si="0"/>
        <v>0.75</v>
      </c>
      <c r="AF26" s="138">
        <f t="shared" si="1"/>
        <v>7.6534766324702908E-3</v>
      </c>
    </row>
    <row r="27" spans="1:32" x14ac:dyDescent="0.25">
      <c r="B27" s="193">
        <v>42648</v>
      </c>
      <c r="C27" s="10">
        <v>25</v>
      </c>
      <c r="D27" s="40">
        <v>66.959999999999994</v>
      </c>
      <c r="E27" s="40">
        <v>63.05</v>
      </c>
      <c r="F27" s="40">
        <f t="shared" si="2"/>
        <v>-97.749999999999915</v>
      </c>
      <c r="G27" s="40">
        <f t="shared" si="3"/>
        <v>1673.9999999999998</v>
      </c>
      <c r="H27" s="231">
        <f t="shared" si="4"/>
        <v>-5.8393070489844635E-2</v>
      </c>
      <c r="I27" s="40"/>
      <c r="X27" s="133">
        <v>42732</v>
      </c>
      <c r="Y27" s="10">
        <v>62.11</v>
      </c>
      <c r="Z27" s="10">
        <v>62.5</v>
      </c>
      <c r="AA27" s="10">
        <v>61.67</v>
      </c>
      <c r="AB27" s="10">
        <v>61.89</v>
      </c>
      <c r="AC27" s="95">
        <v>1701700</v>
      </c>
      <c r="AD27" s="10">
        <v>61.41</v>
      </c>
      <c r="AE27" s="2">
        <f t="shared" si="0"/>
        <v>0.82999999999999829</v>
      </c>
      <c r="AF27" s="138">
        <f t="shared" si="1"/>
        <v>-5.0226830848996151E-3</v>
      </c>
    </row>
    <row r="28" spans="1:32" x14ac:dyDescent="0.25">
      <c r="B28" s="193">
        <v>42651</v>
      </c>
      <c r="C28" s="10">
        <v>25</v>
      </c>
      <c r="D28" s="40">
        <v>66.959999999999994</v>
      </c>
      <c r="E28" s="40">
        <v>62.13</v>
      </c>
      <c r="F28" s="40">
        <f t="shared" si="2"/>
        <v>-120.74999999999977</v>
      </c>
      <c r="G28" s="40">
        <f t="shared" si="3"/>
        <v>1673.9999999999998</v>
      </c>
      <c r="H28" s="231">
        <f t="shared" si="4"/>
        <v>-7.2132616487455073E-2</v>
      </c>
      <c r="I28" s="40"/>
      <c r="X28" s="133">
        <v>42731</v>
      </c>
      <c r="Y28" s="10">
        <v>62.32</v>
      </c>
      <c r="Z28" s="10">
        <v>62.43</v>
      </c>
      <c r="AA28" s="10">
        <v>61.97</v>
      </c>
      <c r="AB28" s="10">
        <v>62.2</v>
      </c>
      <c r="AC28" s="95">
        <v>1599700</v>
      </c>
      <c r="AD28" s="10">
        <v>61.72</v>
      </c>
      <c r="AE28" s="2">
        <f t="shared" si="0"/>
        <v>0.46000000000000085</v>
      </c>
      <c r="AF28" s="138">
        <f t="shared" si="1"/>
        <v>6.4850843060959562E-4</v>
      </c>
    </row>
    <row r="29" spans="1:32" x14ac:dyDescent="0.25">
      <c r="B29" s="193">
        <v>42663</v>
      </c>
      <c r="C29" s="7">
        <v>50</v>
      </c>
      <c r="D29" s="44">
        <v>63.97</v>
      </c>
      <c r="E29" s="40">
        <v>61</v>
      </c>
      <c r="F29" s="40">
        <f t="shared" si="2"/>
        <v>-148.49999999999994</v>
      </c>
      <c r="G29" s="40">
        <f t="shared" si="3"/>
        <v>3198.5</v>
      </c>
      <c r="H29" s="231">
        <f t="shared" si="4"/>
        <v>-4.6428013131155209E-2</v>
      </c>
      <c r="I29" s="40"/>
      <c r="X29" s="133">
        <v>42727</v>
      </c>
      <c r="Y29" s="10">
        <v>62.46</v>
      </c>
      <c r="Z29" s="10">
        <v>62.47</v>
      </c>
      <c r="AA29" s="10">
        <v>61.87</v>
      </c>
      <c r="AB29" s="10">
        <v>62.16</v>
      </c>
      <c r="AC29" s="95">
        <v>1460100</v>
      </c>
      <c r="AD29" s="10">
        <v>61.68</v>
      </c>
      <c r="AE29" s="2">
        <f t="shared" si="0"/>
        <v>0.60000000000000142</v>
      </c>
      <c r="AF29" s="138">
        <f t="shared" si="1"/>
        <v>-4.8402710551790351E-3</v>
      </c>
    </row>
    <row r="30" spans="1:32" x14ac:dyDescent="0.25">
      <c r="B30" s="193">
        <v>42701</v>
      </c>
      <c r="C30" s="7">
        <v>50</v>
      </c>
      <c r="D30" s="44">
        <v>63.73</v>
      </c>
      <c r="E30" s="40">
        <v>62.3</v>
      </c>
      <c r="F30" s="40">
        <f t="shared" ref="F30" si="5">C30*(E30-D30)</f>
        <v>-71.499999999999986</v>
      </c>
      <c r="G30" s="40">
        <f t="shared" ref="G30" si="6">D30*C30</f>
        <v>3186.5</v>
      </c>
      <c r="H30" s="231">
        <f t="shared" ref="H30" si="7">(E30-D30)/D30</f>
        <v>-2.2438412050839476E-2</v>
      </c>
      <c r="I30" s="40"/>
      <c r="X30" s="133">
        <v>42726</v>
      </c>
      <c r="Y30" s="10">
        <v>62.28</v>
      </c>
      <c r="Z30" s="10">
        <v>62.52</v>
      </c>
      <c r="AA30" s="10">
        <v>62.02</v>
      </c>
      <c r="AB30" s="10">
        <v>62.46</v>
      </c>
      <c r="AC30" s="95">
        <v>2645300</v>
      </c>
      <c r="AD30" s="10">
        <v>61.98</v>
      </c>
      <c r="AE30" s="2">
        <f t="shared" si="0"/>
        <v>0.5</v>
      </c>
      <c r="AF30" s="138">
        <f t="shared" si="1"/>
        <v>1.1306735583911376E-3</v>
      </c>
    </row>
    <row r="31" spans="1:32" x14ac:dyDescent="0.25">
      <c r="B31" s="193">
        <v>42708</v>
      </c>
      <c r="C31" s="10">
        <v>50</v>
      </c>
      <c r="D31" s="40">
        <v>63.73</v>
      </c>
      <c r="E31" s="40">
        <v>60.94</v>
      </c>
      <c r="F31" s="40">
        <f t="shared" ref="F31" si="8">C31*(E31-D31)</f>
        <v>-139.49999999999994</v>
      </c>
      <c r="G31" s="40">
        <f t="shared" ref="G31" si="9">D31*C31</f>
        <v>3186.5</v>
      </c>
      <c r="H31" s="231">
        <f t="shared" ref="H31" si="10">(E31-D31)/D31</f>
        <v>-4.3778440294994496E-2</v>
      </c>
      <c r="I31" s="40"/>
      <c r="X31" s="133">
        <v>42725</v>
      </c>
      <c r="Y31" s="10">
        <v>61.42</v>
      </c>
      <c r="Z31" s="10">
        <v>62.95</v>
      </c>
      <c r="AA31" s="10">
        <v>61.4</v>
      </c>
      <c r="AB31" s="10">
        <v>62.39</v>
      </c>
      <c r="AC31" s="95">
        <v>4290200</v>
      </c>
      <c r="AD31" s="10">
        <v>61.91</v>
      </c>
      <c r="AE31" s="2">
        <f t="shared" si="0"/>
        <v>1.5500000000000043</v>
      </c>
      <c r="AF31" s="138">
        <f t="shared" si="1"/>
        <v>1.5250901935060623E-2</v>
      </c>
    </row>
    <row r="32" spans="1:32" x14ac:dyDescent="0.25">
      <c r="B32" s="193">
        <v>42731</v>
      </c>
      <c r="C32" s="10">
        <v>50</v>
      </c>
      <c r="D32" s="40">
        <v>63.73</v>
      </c>
      <c r="E32" s="40">
        <v>62.2</v>
      </c>
      <c r="F32" s="40">
        <f t="shared" ref="F32" si="11">C32*(E32-D32)</f>
        <v>-76.499999999999702</v>
      </c>
      <c r="G32" s="40">
        <f t="shared" ref="G32" si="12">D32*C32</f>
        <v>3186.5</v>
      </c>
      <c r="H32" s="231">
        <f t="shared" ref="H32" si="13">(E32-D32)/D32</f>
        <v>-2.4007531774674316E-2</v>
      </c>
      <c r="I32" s="40"/>
      <c r="X32" s="133">
        <v>42724</v>
      </c>
      <c r="Y32" s="10">
        <v>61.06</v>
      </c>
      <c r="Z32" s="10">
        <v>62.19</v>
      </c>
      <c r="AA32" s="10">
        <v>60.52</v>
      </c>
      <c r="AB32" s="10">
        <v>61.45</v>
      </c>
      <c r="AC32" s="95">
        <v>6168100</v>
      </c>
      <c r="AD32" s="10">
        <v>60.98</v>
      </c>
      <c r="AE32" s="2">
        <f t="shared" si="0"/>
        <v>1.6699999999999946</v>
      </c>
      <c r="AF32" s="138">
        <f t="shared" si="1"/>
        <v>-2.5411539076234724E-2</v>
      </c>
    </row>
    <row r="33" spans="1:32" x14ac:dyDescent="0.25">
      <c r="B33" s="193">
        <v>42760</v>
      </c>
      <c r="C33" s="10">
        <v>50</v>
      </c>
      <c r="D33" s="40">
        <v>63.73</v>
      </c>
      <c r="E33" s="40">
        <v>63.01</v>
      </c>
      <c r="F33" s="40">
        <f t="shared" ref="F33:F34" si="14">C33*(E33-D33)</f>
        <v>-35.999999999999943</v>
      </c>
      <c r="G33" s="40">
        <f t="shared" ref="G33:G34" si="15">D33*C33</f>
        <v>3186.5</v>
      </c>
      <c r="H33" s="231">
        <f t="shared" ref="H33:H34" si="16">(E33-D33)/D33</f>
        <v>-1.1297662011611469E-2</v>
      </c>
      <c r="I33" s="40"/>
      <c r="X33" s="133">
        <v>42723</v>
      </c>
      <c r="Y33" s="10">
        <v>63.74</v>
      </c>
      <c r="Z33" s="10">
        <v>63.74</v>
      </c>
      <c r="AA33" s="10">
        <v>62.91</v>
      </c>
      <c r="AB33" s="10">
        <v>63.06</v>
      </c>
      <c r="AC33" s="95">
        <v>2913300</v>
      </c>
      <c r="AD33" s="10">
        <v>62.57</v>
      </c>
      <c r="AE33" s="2">
        <f t="shared" si="0"/>
        <v>0.8300000000000054</v>
      </c>
      <c r="AF33" s="138">
        <f t="shared" si="1"/>
        <v>-6.9830185684811585E-3</v>
      </c>
    </row>
    <row r="34" spans="1:32" x14ac:dyDescent="0.25">
      <c r="A34" t="s">
        <v>434</v>
      </c>
      <c r="B34" s="193">
        <v>42768</v>
      </c>
      <c r="C34" s="10">
        <v>50</v>
      </c>
      <c r="D34" s="40">
        <v>63.25</v>
      </c>
      <c r="E34" s="40">
        <v>61.72</v>
      </c>
      <c r="F34" s="40">
        <f t="shared" si="14"/>
        <v>-76.500000000000057</v>
      </c>
      <c r="G34" s="40">
        <f t="shared" si="15"/>
        <v>3162.5</v>
      </c>
      <c r="H34" s="231">
        <f t="shared" si="16"/>
        <v>-2.4189723320158122E-2</v>
      </c>
      <c r="I34" s="40"/>
      <c r="X34" s="133">
        <v>42720</v>
      </c>
      <c r="Y34" s="10">
        <v>62.88</v>
      </c>
      <c r="Z34" s="10">
        <v>63.67</v>
      </c>
      <c r="AA34" s="10">
        <v>62.88</v>
      </c>
      <c r="AB34" s="10">
        <v>63.5</v>
      </c>
      <c r="AC34" s="95">
        <v>3883900</v>
      </c>
      <c r="AD34" s="10">
        <v>63.01</v>
      </c>
      <c r="AE34" s="2">
        <f t="shared" si="0"/>
        <v>0.78999999999999915</v>
      </c>
      <c r="AF34" s="138">
        <f t="shared" si="1"/>
        <v>1.0747513634905337E-2</v>
      </c>
    </row>
    <row r="35" spans="1:32" x14ac:dyDescent="0.25">
      <c r="B35" s="193"/>
      <c r="C35" s="10"/>
      <c r="D35" s="40"/>
      <c r="E35" s="40"/>
      <c r="F35" s="40"/>
      <c r="G35" s="40"/>
      <c r="H35" s="231"/>
      <c r="I35" s="40"/>
      <c r="X35" s="133">
        <v>42719</v>
      </c>
      <c r="Y35" s="10">
        <v>62.07</v>
      </c>
      <c r="Z35" s="10">
        <v>62.97</v>
      </c>
      <c r="AA35" s="10">
        <v>61.92</v>
      </c>
      <c r="AB35" s="10">
        <v>62.82</v>
      </c>
      <c r="AC35" s="95">
        <v>2963700</v>
      </c>
      <c r="AD35" s="10">
        <v>62.34</v>
      </c>
      <c r="AE35" s="2">
        <f t="shared" si="0"/>
        <v>1.0499999999999972</v>
      </c>
      <c r="AF35" s="138">
        <f t="shared" si="1"/>
        <v>-8.0141048244908308E-4</v>
      </c>
    </row>
    <row r="36" spans="1:32" x14ac:dyDescent="0.25">
      <c r="B36" s="193"/>
      <c r="C36" s="10"/>
      <c r="D36" s="40"/>
      <c r="E36" s="40"/>
      <c r="F36" s="40"/>
      <c r="G36" s="40"/>
      <c r="H36" s="231"/>
      <c r="I36" s="40"/>
      <c r="X36" s="133">
        <v>42718</v>
      </c>
      <c r="Y36" s="10">
        <v>63.9</v>
      </c>
      <c r="Z36" s="10">
        <v>64.06</v>
      </c>
      <c r="AA36" s="10">
        <v>62.67</v>
      </c>
      <c r="AB36" s="10">
        <v>62.87</v>
      </c>
      <c r="AC36" s="95">
        <v>2594100</v>
      </c>
      <c r="AD36" s="10">
        <v>62.39</v>
      </c>
      <c r="AE36" s="2">
        <f t="shared" si="0"/>
        <v>1.3900000000000006</v>
      </c>
      <c r="AF36" s="138">
        <f t="shared" si="1"/>
        <v>-1.3596837944664042E-2</v>
      </c>
    </row>
    <row r="37" spans="1:32" x14ac:dyDescent="0.25">
      <c r="B37" s="193"/>
      <c r="C37" s="10"/>
      <c r="D37" s="40"/>
      <c r="E37" s="40"/>
      <c r="F37" s="40"/>
      <c r="G37" s="40"/>
      <c r="H37" s="231"/>
      <c r="I37" s="40"/>
      <c r="X37" s="133">
        <v>42717</v>
      </c>
      <c r="Y37" s="10">
        <v>63.85</v>
      </c>
      <c r="Z37" s="10">
        <v>64.03</v>
      </c>
      <c r="AA37" s="10">
        <v>63.47</v>
      </c>
      <c r="AB37" s="10">
        <v>63.74</v>
      </c>
      <c r="AC37" s="95">
        <v>3113000</v>
      </c>
      <c r="AD37" s="10">
        <v>63.25</v>
      </c>
      <c r="AE37" s="2">
        <f t="shared" si="0"/>
        <v>0.56000000000000227</v>
      </c>
      <c r="AF37" s="138">
        <f t="shared" si="1"/>
        <v>-2.0511202272009976E-3</v>
      </c>
    </row>
    <row r="38" spans="1:32" x14ac:dyDescent="0.25">
      <c r="B38" s="193"/>
      <c r="C38" s="10"/>
      <c r="D38" s="40"/>
      <c r="E38" s="40"/>
      <c r="F38" s="40"/>
      <c r="G38" s="40"/>
      <c r="H38" s="231"/>
      <c r="I38" s="40"/>
      <c r="X38" s="133">
        <v>42716</v>
      </c>
      <c r="Y38" s="10">
        <v>63.05</v>
      </c>
      <c r="Z38" s="10">
        <v>63.92</v>
      </c>
      <c r="AA38" s="10">
        <v>63.05</v>
      </c>
      <c r="AB38" s="10">
        <v>63.87</v>
      </c>
      <c r="AC38" s="95">
        <v>1802600</v>
      </c>
      <c r="AD38" s="10">
        <v>63.38</v>
      </c>
      <c r="AE38" s="2">
        <f t="shared" si="0"/>
        <v>0.87000000000000455</v>
      </c>
      <c r="AF38" s="138">
        <f t="shared" si="1"/>
        <v>1.0684101419231373E-2</v>
      </c>
    </row>
    <row r="39" spans="1:32" x14ac:dyDescent="0.25">
      <c r="B39" s="193"/>
      <c r="C39" s="10"/>
      <c r="D39" s="40"/>
      <c r="E39" s="40"/>
      <c r="F39" s="40"/>
      <c r="G39" s="40"/>
      <c r="H39" s="231"/>
      <c r="I39" s="40"/>
      <c r="X39" s="133">
        <v>42713</v>
      </c>
      <c r="Y39" s="10">
        <v>62.56</v>
      </c>
      <c r="Z39" s="10">
        <v>63.22</v>
      </c>
      <c r="AA39" s="10">
        <v>62.36</v>
      </c>
      <c r="AB39" s="10">
        <v>63.2</v>
      </c>
      <c r="AC39" s="95">
        <v>1938500</v>
      </c>
      <c r="AD39" s="10">
        <v>62.71</v>
      </c>
      <c r="AE39" s="2">
        <f t="shared" si="0"/>
        <v>0.85999999999999943</v>
      </c>
      <c r="AF39" s="138">
        <f t="shared" si="1"/>
        <v>1.1451612903225827E-2</v>
      </c>
    </row>
    <row r="40" spans="1:32" x14ac:dyDescent="0.25">
      <c r="L40" t="s">
        <v>213</v>
      </c>
      <c r="M40" s="2">
        <f>M49+K49-F49</f>
        <v>49.949999999999818</v>
      </c>
      <c r="X40" s="133">
        <v>42712</v>
      </c>
      <c r="Y40" s="10">
        <v>62.7</v>
      </c>
      <c r="Z40" s="10">
        <v>62.77</v>
      </c>
      <c r="AA40" s="10">
        <v>62.13</v>
      </c>
      <c r="AB40" s="10">
        <v>62.48</v>
      </c>
      <c r="AC40" s="95">
        <v>2646200</v>
      </c>
      <c r="AD40" s="10">
        <v>62</v>
      </c>
      <c r="AE40" s="2">
        <f t="shared" si="0"/>
        <v>0.64000000000000057</v>
      </c>
      <c r="AF40" s="138">
        <f t="shared" si="1"/>
        <v>-8.0000000000000071E-3</v>
      </c>
    </row>
    <row r="41" spans="1:32" ht="20.25" thickBot="1" x14ac:dyDescent="0.35">
      <c r="A41" s="387" t="s">
        <v>1</v>
      </c>
      <c r="B41" s="387" t="s">
        <v>2</v>
      </c>
      <c r="C41" s="387" t="s">
        <v>4</v>
      </c>
      <c r="D41" s="389" t="s">
        <v>5</v>
      </c>
      <c r="E41" s="389" t="s">
        <v>94</v>
      </c>
      <c r="F41" s="389" t="s">
        <v>60</v>
      </c>
      <c r="G41" s="387" t="s">
        <v>3</v>
      </c>
      <c r="H41" s="387" t="s">
        <v>6</v>
      </c>
      <c r="I41" s="387" t="s">
        <v>7</v>
      </c>
      <c r="J41" s="387" t="s">
        <v>95</v>
      </c>
      <c r="K41" s="387" t="s">
        <v>61</v>
      </c>
      <c r="L41" s="387" t="s">
        <v>77</v>
      </c>
      <c r="M41" s="387" t="s">
        <v>38</v>
      </c>
      <c r="O41" s="638" t="s">
        <v>78</v>
      </c>
      <c r="P41" s="638"/>
      <c r="X41" s="133">
        <v>42711</v>
      </c>
      <c r="Y41" s="10">
        <v>61.24</v>
      </c>
      <c r="Z41" s="10">
        <v>63.27</v>
      </c>
      <c r="AA41" s="10">
        <v>61.24</v>
      </c>
      <c r="AB41" s="10">
        <v>62.99</v>
      </c>
      <c r="AC41" s="95">
        <v>3564600</v>
      </c>
      <c r="AD41" s="10">
        <v>62.5</v>
      </c>
      <c r="AE41" s="2">
        <f t="shared" si="0"/>
        <v>2.0300000000000011</v>
      </c>
      <c r="AF41" s="138">
        <f t="shared" si="1"/>
        <v>3.2034346103038347E-2</v>
      </c>
    </row>
    <row r="42" spans="1:32" ht="21" thickTop="1" thickBot="1" x14ac:dyDescent="0.35">
      <c r="A42" s="390" t="s">
        <v>173</v>
      </c>
      <c r="B42" s="392">
        <v>42376</v>
      </c>
      <c r="C42" s="381">
        <v>50</v>
      </c>
      <c r="D42" s="382">
        <v>55.15</v>
      </c>
      <c r="E42" s="382">
        <v>0</v>
      </c>
      <c r="F42" s="382">
        <f>C42*D42+E42</f>
        <v>2757.5</v>
      </c>
      <c r="G42" s="380">
        <v>42409</v>
      </c>
      <c r="H42" s="385">
        <v>50</v>
      </c>
      <c r="I42" s="382">
        <v>56.15</v>
      </c>
      <c r="J42" s="382">
        <v>0.05</v>
      </c>
      <c r="K42" s="381">
        <f>H42*I42-J42</f>
        <v>2807.45</v>
      </c>
      <c r="L42" s="380"/>
      <c r="M42" s="382"/>
      <c r="O42" s="83">
        <v>1.1000000000000001</v>
      </c>
      <c r="P42" s="83">
        <f>O42*$Q$4</f>
        <v>69.003</v>
      </c>
      <c r="Q42" s="2"/>
      <c r="T42" s="91"/>
      <c r="X42" s="133">
        <v>42710</v>
      </c>
      <c r="Y42" s="10">
        <v>61.18</v>
      </c>
      <c r="Z42" s="10">
        <v>61.38</v>
      </c>
      <c r="AA42" s="10">
        <v>60.8</v>
      </c>
      <c r="AB42" s="10">
        <v>61.03</v>
      </c>
      <c r="AC42" s="95">
        <v>1821400</v>
      </c>
      <c r="AD42" s="10">
        <v>60.56</v>
      </c>
      <c r="AE42" s="2">
        <f t="shared" si="0"/>
        <v>0.5800000000000054</v>
      </c>
      <c r="AF42" s="138">
        <f t="shared" si="1"/>
        <v>-1.6485328058027937E-3</v>
      </c>
    </row>
    <row r="43" spans="1:32" ht="15.75" thickTop="1" x14ac:dyDescent="0.25">
      <c r="A43" s="391" t="s">
        <v>71</v>
      </c>
      <c r="B43" s="392"/>
      <c r="C43" s="381"/>
      <c r="D43" s="382"/>
      <c r="E43" s="382"/>
      <c r="F43" s="382"/>
      <c r="G43" s="380"/>
      <c r="H43" s="381"/>
      <c r="I43" s="381"/>
      <c r="J43" s="381"/>
      <c r="K43" s="381"/>
      <c r="L43" s="381"/>
      <c r="M43" s="381"/>
      <c r="O43" s="83">
        <v>1.0900000000000001</v>
      </c>
      <c r="P43" s="83">
        <f t="shared" ref="P43:P62" si="17">O43*$Q$4</f>
        <v>68.375699999999995</v>
      </c>
      <c r="Q43" s="2"/>
      <c r="T43" s="128" t="s">
        <v>98</v>
      </c>
      <c r="U43" s="129">
        <v>61.37</v>
      </c>
      <c r="X43" s="133">
        <v>42709</v>
      </c>
      <c r="Y43" s="10">
        <v>61</v>
      </c>
      <c r="Z43" s="10">
        <v>61.16</v>
      </c>
      <c r="AA43" s="10">
        <v>60.83</v>
      </c>
      <c r="AB43" s="10">
        <v>61.13</v>
      </c>
      <c r="AC43" s="95">
        <v>2133000</v>
      </c>
      <c r="AD43" s="10">
        <v>60.66</v>
      </c>
      <c r="AE43" s="2">
        <f t="shared" si="0"/>
        <v>0.32999999999999829</v>
      </c>
      <c r="AF43" s="138">
        <f t="shared" si="1"/>
        <v>3.1420539110302848E-3</v>
      </c>
    </row>
    <row r="44" spans="1:32" x14ac:dyDescent="0.25">
      <c r="A44" s="381"/>
      <c r="B44" s="380"/>
      <c r="C44" s="381"/>
      <c r="D44" s="382"/>
      <c r="E44" s="382"/>
      <c r="F44" s="382"/>
      <c r="G44" s="381"/>
      <c r="H44" s="381"/>
      <c r="I44" s="381"/>
      <c r="J44" s="381"/>
      <c r="K44" s="381"/>
      <c r="L44" s="381"/>
      <c r="M44" s="381"/>
      <c r="O44" s="83">
        <v>1.08</v>
      </c>
      <c r="P44" s="83">
        <f t="shared" si="17"/>
        <v>67.748400000000004</v>
      </c>
      <c r="Q44" s="2"/>
      <c r="T44" s="93" t="s">
        <v>99</v>
      </c>
      <c r="U44" s="130">
        <v>61.64</v>
      </c>
      <c r="X44" s="133">
        <v>42706</v>
      </c>
      <c r="Y44" s="10">
        <v>60.79</v>
      </c>
      <c r="Z44" s="10">
        <v>61.19</v>
      </c>
      <c r="AA44" s="10">
        <v>60.58</v>
      </c>
      <c r="AB44" s="10">
        <v>60.94</v>
      </c>
      <c r="AC44" s="95">
        <v>2349200</v>
      </c>
      <c r="AD44" s="10">
        <v>60.47</v>
      </c>
      <c r="AE44" s="2">
        <f t="shared" si="0"/>
        <v>0.60999999999999943</v>
      </c>
      <c r="AF44" s="138">
        <f t="shared" si="1"/>
        <v>5.8216899534264677E-3</v>
      </c>
    </row>
    <row r="45" spans="1:32" x14ac:dyDescent="0.25">
      <c r="A45" s="381"/>
      <c r="B45" s="380"/>
      <c r="C45" s="381"/>
      <c r="D45" s="382"/>
      <c r="E45" s="382"/>
      <c r="F45" s="382"/>
      <c r="G45" s="381"/>
      <c r="H45" s="381"/>
      <c r="I45" s="381"/>
      <c r="J45" s="381"/>
      <c r="K45" s="381"/>
      <c r="L45" s="381"/>
      <c r="M45" s="381"/>
      <c r="O45" s="83">
        <v>1.07</v>
      </c>
      <c r="P45" s="83">
        <f t="shared" si="17"/>
        <v>67.121099999999998</v>
      </c>
      <c r="Q45" s="2"/>
      <c r="T45" s="93" t="s">
        <v>100</v>
      </c>
      <c r="U45" s="130" t="s">
        <v>129</v>
      </c>
      <c r="X45" s="133">
        <v>42705</v>
      </c>
      <c r="Y45" s="10">
        <v>60.92</v>
      </c>
      <c r="Z45" s="10">
        <v>60.92</v>
      </c>
      <c r="AA45" s="10">
        <v>60.37</v>
      </c>
      <c r="AB45" s="10">
        <v>60.59</v>
      </c>
      <c r="AC45" s="95">
        <v>3215100</v>
      </c>
      <c r="AD45" s="10">
        <v>60.12</v>
      </c>
      <c r="AE45" s="2">
        <f t="shared" si="0"/>
        <v>0.55000000000000426</v>
      </c>
      <c r="AF45" s="138">
        <f t="shared" si="1"/>
        <v>-5.7879940466347701E-3</v>
      </c>
    </row>
    <row r="46" spans="1:32" x14ac:dyDescent="0.25">
      <c r="A46" s="381"/>
      <c r="B46" s="381"/>
      <c r="C46" s="381"/>
      <c r="D46" s="382"/>
      <c r="E46" s="382"/>
      <c r="F46" s="382"/>
      <c r="G46" s="381"/>
      <c r="H46" s="381"/>
      <c r="I46" s="381"/>
      <c r="J46" s="381"/>
      <c r="K46" s="381"/>
      <c r="L46" s="381"/>
      <c r="M46" s="381"/>
      <c r="O46" s="83">
        <v>1.06</v>
      </c>
      <c r="P46" s="83">
        <f t="shared" si="17"/>
        <v>66.493799999999993</v>
      </c>
      <c r="Q46" s="2"/>
      <c r="T46" s="93" t="s">
        <v>101</v>
      </c>
      <c r="U46" s="130" t="s">
        <v>129</v>
      </c>
      <c r="X46" s="133">
        <v>42704</v>
      </c>
      <c r="Y46" s="10">
        <v>62.33</v>
      </c>
      <c r="Z46" s="10">
        <v>62.4</v>
      </c>
      <c r="AA46" s="10">
        <v>60.91</v>
      </c>
      <c r="AB46" s="10">
        <v>60.94</v>
      </c>
      <c r="AC46" s="95">
        <v>5940000</v>
      </c>
      <c r="AD46" s="10">
        <v>60.47</v>
      </c>
      <c r="AE46" s="2">
        <f t="shared" si="0"/>
        <v>1.490000000000002</v>
      </c>
      <c r="AF46" s="138">
        <f t="shared" si="1"/>
        <v>-2.7500804117079447E-2</v>
      </c>
    </row>
    <row r="47" spans="1:32" x14ac:dyDescent="0.25">
      <c r="A47" s="381"/>
      <c r="B47" s="381"/>
      <c r="C47" s="381"/>
      <c r="D47" s="382"/>
      <c r="E47" s="382"/>
      <c r="F47" s="382"/>
      <c r="G47" s="381"/>
      <c r="H47" s="381"/>
      <c r="I47" s="381"/>
      <c r="J47" s="381"/>
      <c r="K47" s="381"/>
      <c r="L47" s="381"/>
      <c r="M47" s="381"/>
      <c r="O47" s="83">
        <v>1.05</v>
      </c>
      <c r="P47" s="83">
        <f t="shared" si="17"/>
        <v>65.866500000000002</v>
      </c>
      <c r="Q47" s="2"/>
      <c r="T47" s="93" t="s">
        <v>102</v>
      </c>
      <c r="U47" s="130">
        <v>63.87</v>
      </c>
      <c r="X47" s="133">
        <v>42703</v>
      </c>
      <c r="Y47" s="10">
        <v>62.25</v>
      </c>
      <c r="Z47" s="10">
        <v>62.81</v>
      </c>
      <c r="AA47" s="10">
        <v>61.79</v>
      </c>
      <c r="AB47" s="10">
        <v>62.66</v>
      </c>
      <c r="AC47" s="95">
        <v>3143600</v>
      </c>
      <c r="AD47" s="10">
        <v>62.18</v>
      </c>
      <c r="AE47" s="2">
        <f t="shared" si="0"/>
        <v>1.0200000000000031</v>
      </c>
      <c r="AF47" s="138">
        <f t="shared" si="1"/>
        <v>9.4155844155843216E-3</v>
      </c>
    </row>
    <row r="48" spans="1:32" x14ac:dyDescent="0.25">
      <c r="A48" s="381"/>
      <c r="B48" s="381"/>
      <c r="C48" s="381"/>
      <c r="D48" s="382"/>
      <c r="E48" s="382"/>
      <c r="F48" s="382"/>
      <c r="G48" s="381"/>
      <c r="H48" s="381"/>
      <c r="I48" s="381"/>
      <c r="J48" s="381"/>
      <c r="K48" s="381"/>
      <c r="L48" s="381"/>
      <c r="M48" s="381"/>
      <c r="O48" s="83">
        <v>1.04</v>
      </c>
      <c r="P48" s="83">
        <f t="shared" si="17"/>
        <v>65.239199999999997</v>
      </c>
      <c r="Q48" s="2"/>
      <c r="T48" s="93" t="s">
        <v>103</v>
      </c>
      <c r="U48" s="130">
        <v>0.61385100000000004</v>
      </c>
      <c r="X48" s="133">
        <v>42702</v>
      </c>
      <c r="Y48" s="10">
        <v>62.12</v>
      </c>
      <c r="Z48" s="10">
        <v>62.38</v>
      </c>
      <c r="AA48" s="10">
        <v>61.88</v>
      </c>
      <c r="AB48" s="10">
        <v>62.08</v>
      </c>
      <c r="AC48" s="95">
        <v>2206300</v>
      </c>
      <c r="AD48" s="10">
        <v>61.6</v>
      </c>
      <c r="AE48" s="2">
        <f t="shared" si="0"/>
        <v>0.5</v>
      </c>
      <c r="AF48" s="138">
        <f t="shared" si="1"/>
        <v>-3.558718861209953E-3</v>
      </c>
    </row>
    <row r="49" spans="1:32" x14ac:dyDescent="0.25">
      <c r="A49" s="22" t="s">
        <v>81</v>
      </c>
      <c r="B49" s="12"/>
      <c r="C49" s="12">
        <f>SUM(C42:C48)</f>
        <v>50</v>
      </c>
      <c r="D49" s="13"/>
      <c r="E49" s="13"/>
      <c r="F49" s="13">
        <f>SUM(F42:F48)</f>
        <v>2757.5</v>
      </c>
      <c r="G49" s="12"/>
      <c r="H49" s="12">
        <f>SUM(H42:H45)</f>
        <v>50</v>
      </c>
      <c r="I49" s="12"/>
      <c r="J49" s="12"/>
      <c r="K49" s="12">
        <f>SUM(K42:K45)</f>
        <v>2807.45</v>
      </c>
      <c r="L49" s="12"/>
      <c r="M49" s="13">
        <f>SUM(M42:M45)</f>
        <v>0</v>
      </c>
      <c r="O49" s="83">
        <v>1.03</v>
      </c>
      <c r="P49" s="83">
        <f t="shared" si="17"/>
        <v>64.611899999999991</v>
      </c>
      <c r="Q49" s="2"/>
      <c r="T49" s="93" t="s">
        <v>122</v>
      </c>
      <c r="U49" s="130" t="s">
        <v>373</v>
      </c>
      <c r="X49" s="133">
        <v>42699</v>
      </c>
      <c r="Y49" s="10">
        <v>61.74</v>
      </c>
      <c r="Z49" s="10">
        <v>62.3</v>
      </c>
      <c r="AA49" s="10">
        <v>61.74</v>
      </c>
      <c r="AB49" s="10">
        <v>62.3</v>
      </c>
      <c r="AC49" s="95">
        <v>1069500</v>
      </c>
      <c r="AD49" s="10">
        <v>61.82</v>
      </c>
      <c r="AE49" s="2">
        <f t="shared" si="0"/>
        <v>0.55999999999999517</v>
      </c>
      <c r="AF49" s="138">
        <f t="shared" si="1"/>
        <v>1.3276512047205369E-2</v>
      </c>
    </row>
    <row r="50" spans="1:32" x14ac:dyDescent="0.25">
      <c r="A50" s="381"/>
      <c r="B50" s="381"/>
      <c r="C50" s="381"/>
      <c r="D50" s="382"/>
      <c r="E50" s="382"/>
      <c r="F50" s="382"/>
      <c r="G50" s="381"/>
      <c r="H50" s="381"/>
      <c r="I50" s="381"/>
      <c r="J50" s="381"/>
      <c r="K50" s="381"/>
      <c r="L50" s="381"/>
      <c r="M50" s="381"/>
      <c r="O50" s="83">
        <v>1.02</v>
      </c>
      <c r="P50" s="83">
        <f t="shared" si="17"/>
        <v>63.9846</v>
      </c>
      <c r="Q50" s="2"/>
      <c r="T50" s="93"/>
      <c r="U50" s="130"/>
      <c r="X50" s="133">
        <v>42697</v>
      </c>
      <c r="Y50" s="10">
        <v>62.42</v>
      </c>
      <c r="Z50" s="10">
        <v>62.75</v>
      </c>
      <c r="AA50" s="10">
        <v>61.39</v>
      </c>
      <c r="AB50" s="10">
        <v>61.48</v>
      </c>
      <c r="AC50" s="95">
        <v>2557400</v>
      </c>
      <c r="AD50" s="10">
        <v>61.01</v>
      </c>
      <c r="AE50" s="2">
        <f t="shared" si="0"/>
        <v>1.3599999999999994</v>
      </c>
      <c r="AF50" s="138">
        <f t="shared" si="1"/>
        <v>-1.9131832797427695E-2</v>
      </c>
    </row>
    <row r="51" spans="1:32" x14ac:dyDescent="0.25">
      <c r="O51" s="83">
        <v>1.01</v>
      </c>
      <c r="P51" s="83">
        <f t="shared" si="17"/>
        <v>63.357299999999995</v>
      </c>
      <c r="Q51" s="2"/>
      <c r="T51" s="93" t="s">
        <v>105</v>
      </c>
      <c r="U51" s="130" t="s">
        <v>669</v>
      </c>
      <c r="X51" s="133">
        <v>42696</v>
      </c>
      <c r="Y51" s="10">
        <v>61.93</v>
      </c>
      <c r="Z51" s="10">
        <v>62.8</v>
      </c>
      <c r="AA51" s="10">
        <v>61.92</v>
      </c>
      <c r="AB51" s="10">
        <v>62.68</v>
      </c>
      <c r="AC51" s="95">
        <v>2739500</v>
      </c>
      <c r="AD51" s="10">
        <v>62.2</v>
      </c>
      <c r="AE51" s="2">
        <f t="shared" si="0"/>
        <v>0.87999999999999545</v>
      </c>
      <c r="AF51" s="138">
        <f t="shared" si="1"/>
        <v>1.7170891251022224E-2</v>
      </c>
    </row>
    <row r="52" spans="1:32" x14ac:dyDescent="0.25">
      <c r="O52" s="83">
        <v>1</v>
      </c>
      <c r="P52" s="83">
        <f t="shared" si="17"/>
        <v>62.73</v>
      </c>
      <c r="Q52" s="2"/>
      <c r="T52" s="93" t="s">
        <v>106</v>
      </c>
      <c r="U52" s="130" t="s">
        <v>468</v>
      </c>
      <c r="X52" s="133">
        <v>42695</v>
      </c>
      <c r="Y52" s="10">
        <v>61.26</v>
      </c>
      <c r="Z52" s="10">
        <v>61.78</v>
      </c>
      <c r="AA52" s="10">
        <v>60.95</v>
      </c>
      <c r="AB52" s="10">
        <v>61.63</v>
      </c>
      <c r="AC52" s="95">
        <v>2392800</v>
      </c>
      <c r="AD52" s="10">
        <v>61.15</v>
      </c>
      <c r="AE52" s="2">
        <f t="shared" si="0"/>
        <v>0.82999999999999829</v>
      </c>
      <c r="AF52" s="138">
        <f t="shared" si="1"/>
        <v>5.9220266491200046E-3</v>
      </c>
    </row>
    <row r="53" spans="1:32" x14ac:dyDescent="0.25">
      <c r="O53" s="83">
        <v>0.99</v>
      </c>
      <c r="P53" s="83">
        <f t="shared" si="17"/>
        <v>62.102699999999999</v>
      </c>
      <c r="Q53" s="2"/>
      <c r="T53" s="514" t="s">
        <v>107</v>
      </c>
      <c r="U53" s="131">
        <v>2167891</v>
      </c>
      <c r="X53" s="133">
        <v>42692</v>
      </c>
      <c r="Y53" s="10">
        <v>61.36</v>
      </c>
      <c r="Z53" s="10">
        <v>61.63</v>
      </c>
      <c r="AA53" s="10">
        <v>60.98</v>
      </c>
      <c r="AB53" s="10">
        <v>61.26</v>
      </c>
      <c r="AC53" s="95">
        <v>2227900</v>
      </c>
      <c r="AD53" s="10">
        <v>60.79</v>
      </c>
      <c r="AE53" s="2">
        <f t="shared" si="0"/>
        <v>0.65000000000000568</v>
      </c>
      <c r="AF53" s="138">
        <f t="shared" si="1"/>
        <v>-1.6423057973394828E-3</v>
      </c>
    </row>
    <row r="54" spans="1:32" x14ac:dyDescent="0.25">
      <c r="O54" s="83">
        <v>0.98</v>
      </c>
      <c r="P54" s="83">
        <f t="shared" si="17"/>
        <v>61.475399999999993</v>
      </c>
      <c r="Q54" s="2"/>
      <c r="T54" s="514" t="s">
        <v>110</v>
      </c>
      <c r="U54" s="131">
        <v>2833740</v>
      </c>
      <c r="X54" s="133">
        <v>42691</v>
      </c>
      <c r="Y54" s="10">
        <v>61.32</v>
      </c>
      <c r="Z54" s="10">
        <v>61.69</v>
      </c>
      <c r="AA54" s="10">
        <v>60.97</v>
      </c>
      <c r="AB54" s="10">
        <v>61.36</v>
      </c>
      <c r="AC54" s="95">
        <v>2902900</v>
      </c>
      <c r="AD54" s="10">
        <v>60.89</v>
      </c>
      <c r="AE54" s="2">
        <f t="shared" si="0"/>
        <v>0.71999999999999886</v>
      </c>
      <c r="AF54" s="138">
        <f t="shared" si="1"/>
        <v>1.6450074025333716E-3</v>
      </c>
    </row>
    <row r="55" spans="1:32" x14ac:dyDescent="0.25">
      <c r="O55" s="83">
        <v>0.97</v>
      </c>
      <c r="P55" s="83">
        <f t="shared" si="17"/>
        <v>60.848099999999995</v>
      </c>
      <c r="T55" s="93" t="s">
        <v>108</v>
      </c>
      <c r="U55" s="130" t="s">
        <v>670</v>
      </c>
      <c r="X55" s="133">
        <v>42690</v>
      </c>
      <c r="Y55" s="10">
        <v>61.33</v>
      </c>
      <c r="Z55" s="10">
        <v>61.72</v>
      </c>
      <c r="AA55" s="10">
        <v>61.06</v>
      </c>
      <c r="AB55" s="10">
        <v>61.26</v>
      </c>
      <c r="AC55" s="95">
        <v>3284300</v>
      </c>
      <c r="AD55" s="10">
        <v>60.79</v>
      </c>
      <c r="AE55" s="2">
        <f t="shared" si="0"/>
        <v>0.65999999999999659</v>
      </c>
      <c r="AF55" s="138">
        <f t="shared" si="1"/>
        <v>-6.5757027782342714E-4</v>
      </c>
    </row>
    <row r="56" spans="1:32" x14ac:dyDescent="0.25">
      <c r="O56" s="83">
        <v>0.96</v>
      </c>
      <c r="P56" s="83">
        <f t="shared" si="17"/>
        <v>60.220799999999997</v>
      </c>
      <c r="T56" s="93" t="s">
        <v>111</v>
      </c>
      <c r="U56" s="130">
        <v>23.05</v>
      </c>
      <c r="X56" s="133">
        <v>42689</v>
      </c>
      <c r="Y56" s="10">
        <v>61.47</v>
      </c>
      <c r="Z56" s="10">
        <v>61.62</v>
      </c>
      <c r="AA56" s="10">
        <v>61</v>
      </c>
      <c r="AB56" s="10">
        <v>61.3</v>
      </c>
      <c r="AC56" s="95">
        <v>3852400</v>
      </c>
      <c r="AD56" s="10">
        <v>60.83</v>
      </c>
      <c r="AE56" s="2">
        <f t="shared" si="0"/>
        <v>0.61999999999999744</v>
      </c>
      <c r="AF56" s="138">
        <f t="shared" si="1"/>
        <v>1.6466326362589712E-3</v>
      </c>
    </row>
    <row r="57" spans="1:32" x14ac:dyDescent="0.25">
      <c r="O57" s="83">
        <v>0.95</v>
      </c>
      <c r="P57" s="83">
        <f t="shared" si="17"/>
        <v>59.593499999999992</v>
      </c>
      <c r="T57" s="93" t="s">
        <v>112</v>
      </c>
      <c r="U57" s="130">
        <v>2.68</v>
      </c>
      <c r="X57" s="133">
        <v>42688</v>
      </c>
      <c r="Y57" s="10">
        <v>60.93</v>
      </c>
      <c r="Z57" s="10">
        <v>61.47</v>
      </c>
      <c r="AA57" s="10">
        <v>60.66</v>
      </c>
      <c r="AB57" s="10">
        <v>61.2</v>
      </c>
      <c r="AC57" s="95">
        <v>3466500</v>
      </c>
      <c r="AD57" s="10">
        <v>60.73</v>
      </c>
      <c r="AE57" s="2">
        <f t="shared" si="0"/>
        <v>0.81000000000000227</v>
      </c>
      <c r="AF57" s="138">
        <f t="shared" si="1"/>
        <v>2.6415717351824242E-3</v>
      </c>
    </row>
    <row r="58" spans="1:32" x14ac:dyDescent="0.25">
      <c r="O58" s="83">
        <v>0.94</v>
      </c>
      <c r="P58" s="83">
        <f t="shared" si="17"/>
        <v>58.966199999999994</v>
      </c>
      <c r="T58" s="93" t="s">
        <v>109</v>
      </c>
      <c r="U58" s="130" t="s">
        <v>522</v>
      </c>
      <c r="X58" s="133">
        <v>42685</v>
      </c>
      <c r="Y58" s="10">
        <v>61.09</v>
      </c>
      <c r="Z58" s="10">
        <v>61.65</v>
      </c>
      <c r="AA58" s="10">
        <v>60.55</v>
      </c>
      <c r="AB58" s="10">
        <v>61.04</v>
      </c>
      <c r="AC58" s="95">
        <v>3328300</v>
      </c>
      <c r="AD58" s="10">
        <v>60.57</v>
      </c>
      <c r="AE58" s="2">
        <f t="shared" si="0"/>
        <v>1.1000000000000014</v>
      </c>
      <c r="AF58" s="138">
        <f t="shared" si="1"/>
        <v>-4.9504950495049549E-4</v>
      </c>
    </row>
    <row r="59" spans="1:32" x14ac:dyDescent="0.25">
      <c r="O59" s="83">
        <v>0.93</v>
      </c>
      <c r="P59" s="83">
        <f t="shared" si="17"/>
        <v>58.338900000000002</v>
      </c>
      <c r="X59" s="133">
        <v>42684</v>
      </c>
      <c r="Y59" s="10">
        <v>62.42</v>
      </c>
      <c r="Z59" s="10">
        <v>62.51</v>
      </c>
      <c r="AA59" s="10">
        <v>60.81</v>
      </c>
      <c r="AB59" s="10">
        <v>61.07</v>
      </c>
      <c r="AC59" s="95">
        <v>6338200</v>
      </c>
      <c r="AD59" s="10">
        <v>60.6</v>
      </c>
      <c r="AE59" s="2">
        <f t="shared" si="0"/>
        <v>1.6999999999999957</v>
      </c>
      <c r="AF59" s="138">
        <f t="shared" si="1"/>
        <v>-2.6662383552842894E-2</v>
      </c>
    </row>
    <row r="60" spans="1:32" x14ac:dyDescent="0.25">
      <c r="O60" s="83">
        <v>0.92</v>
      </c>
      <c r="P60" s="83">
        <f t="shared" si="17"/>
        <v>57.711599999999997</v>
      </c>
      <c r="X60" s="133">
        <v>42683</v>
      </c>
      <c r="Y60" s="10">
        <v>62.42</v>
      </c>
      <c r="Z60" s="10">
        <v>62.95</v>
      </c>
      <c r="AA60" s="10">
        <v>61.17</v>
      </c>
      <c r="AB60" s="10">
        <v>62.74</v>
      </c>
      <c r="AC60" s="95">
        <v>4893200</v>
      </c>
      <c r="AD60" s="10">
        <v>62.26</v>
      </c>
      <c r="AE60" s="2">
        <f t="shared" si="0"/>
        <v>1.7800000000000011</v>
      </c>
      <c r="AF60" s="138">
        <f t="shared" si="1"/>
        <v>-1.5185068016450476E-2</v>
      </c>
    </row>
    <row r="61" spans="1:32" x14ac:dyDescent="0.25">
      <c r="O61" s="83">
        <v>0.91</v>
      </c>
      <c r="P61" s="83">
        <f t="shared" si="17"/>
        <v>57.084299999999999</v>
      </c>
      <c r="X61" s="133">
        <v>42682</v>
      </c>
      <c r="Y61" s="10">
        <v>61.86</v>
      </c>
      <c r="Z61" s="10">
        <v>63.93</v>
      </c>
      <c r="AA61" s="10">
        <v>61.84</v>
      </c>
      <c r="AB61" s="10">
        <v>63.71</v>
      </c>
      <c r="AC61" s="95">
        <v>4596800</v>
      </c>
      <c r="AD61" s="10">
        <v>63.22</v>
      </c>
      <c r="AE61" s="2">
        <f t="shared" si="0"/>
        <v>2.0899999999999963</v>
      </c>
      <c r="AF61" s="138">
        <f t="shared" si="1"/>
        <v>3.0480847595762084E-2</v>
      </c>
    </row>
    <row r="62" spans="1:32" x14ac:dyDescent="0.25">
      <c r="O62" s="83">
        <v>0.9</v>
      </c>
      <c r="P62" s="83">
        <f t="shared" si="17"/>
        <v>56.457000000000001</v>
      </c>
      <c r="X62" s="133">
        <v>42681</v>
      </c>
      <c r="Y62" s="10">
        <v>61.03</v>
      </c>
      <c r="Z62" s="10">
        <v>61.94</v>
      </c>
      <c r="AA62" s="10">
        <v>60.91</v>
      </c>
      <c r="AB62" s="10">
        <v>61.83</v>
      </c>
      <c r="AC62" s="95">
        <v>3173900</v>
      </c>
      <c r="AD62" s="10">
        <v>61.35</v>
      </c>
      <c r="AE62" s="2">
        <f t="shared" si="0"/>
        <v>1.0300000000000011</v>
      </c>
      <c r="AF62" s="138">
        <f t="shared" si="1"/>
        <v>1.9441674975074763E-2</v>
      </c>
    </row>
    <row r="63" spans="1:32" x14ac:dyDescent="0.25">
      <c r="X63" s="133">
        <v>42678</v>
      </c>
      <c r="Y63" s="10">
        <v>61.05</v>
      </c>
      <c r="Z63" s="10">
        <v>61.21</v>
      </c>
      <c r="AA63" s="10">
        <v>60.65</v>
      </c>
      <c r="AB63" s="10">
        <v>60.65</v>
      </c>
      <c r="AC63" s="95">
        <v>2578300</v>
      </c>
      <c r="AD63" s="10">
        <v>60.18</v>
      </c>
      <c r="AE63" s="2">
        <f t="shared" si="0"/>
        <v>0.56000000000000227</v>
      </c>
      <c r="AF63" s="138">
        <f t="shared" si="1"/>
        <v>-7.7493816982687758E-3</v>
      </c>
    </row>
    <row r="64" spans="1:32" x14ac:dyDescent="0.25">
      <c r="X64" s="133">
        <v>42677</v>
      </c>
      <c r="Y64" s="10">
        <v>61.36</v>
      </c>
      <c r="Z64" s="10">
        <v>61.67</v>
      </c>
      <c r="AA64" s="10">
        <v>61.05</v>
      </c>
      <c r="AB64" s="10">
        <v>61.12</v>
      </c>
      <c r="AC64" s="95">
        <v>2317100</v>
      </c>
      <c r="AD64" s="10">
        <v>60.65</v>
      </c>
      <c r="AE64" s="2">
        <f t="shared" si="0"/>
        <v>0.62000000000000455</v>
      </c>
      <c r="AF64" s="138">
        <f t="shared" si="1"/>
        <v>-4.268593006074517E-3</v>
      </c>
    </row>
    <row r="65" spans="24:32" x14ac:dyDescent="0.25">
      <c r="X65" s="133">
        <v>42676</v>
      </c>
      <c r="Y65" s="10">
        <v>61.62</v>
      </c>
      <c r="Z65" s="10">
        <v>61.91</v>
      </c>
      <c r="AA65" s="10">
        <v>61.36</v>
      </c>
      <c r="AB65" s="10">
        <v>61.38</v>
      </c>
      <c r="AC65" s="95">
        <v>2889600</v>
      </c>
      <c r="AD65" s="10">
        <v>60.91</v>
      </c>
      <c r="AE65" s="2">
        <f t="shared" si="0"/>
        <v>0.54999999999999716</v>
      </c>
      <c r="AF65" s="138">
        <f t="shared" si="1"/>
        <v>-3.9247751430907529E-3</v>
      </c>
    </row>
    <row r="66" spans="24:32" x14ac:dyDescent="0.25">
      <c r="X66" s="133">
        <v>42675</v>
      </c>
      <c r="Y66" s="10">
        <v>62.16</v>
      </c>
      <c r="Z66" s="10">
        <v>62.19</v>
      </c>
      <c r="AA66" s="10">
        <v>61.39</v>
      </c>
      <c r="AB66" s="10">
        <v>61.63</v>
      </c>
      <c r="AC66" s="95">
        <v>3449700</v>
      </c>
      <c r="AD66" s="10">
        <v>61.15</v>
      </c>
      <c r="AE66" s="2">
        <f t="shared" si="0"/>
        <v>0.79999999999999716</v>
      </c>
      <c r="AF66" s="138">
        <f t="shared" si="1"/>
        <v>-5.6910569105691478E-3</v>
      </c>
    </row>
    <row r="67" spans="24:32" x14ac:dyDescent="0.25">
      <c r="X67" s="133">
        <v>42674</v>
      </c>
      <c r="Y67" s="10">
        <v>61.7</v>
      </c>
      <c r="Z67" s="10">
        <v>62.02</v>
      </c>
      <c r="AA67" s="10">
        <v>61.5</v>
      </c>
      <c r="AB67" s="10">
        <v>61.98</v>
      </c>
      <c r="AC67" s="95">
        <v>2745300</v>
      </c>
      <c r="AD67" s="10">
        <v>61.5</v>
      </c>
      <c r="AE67" s="2">
        <f>Z67-AA67</f>
        <v>0.52000000000000313</v>
      </c>
      <c r="AF67" s="138">
        <f>AD67/AD68-1</f>
        <v>5.2304674730303535E-3</v>
      </c>
    </row>
    <row r="68" spans="24:32" x14ac:dyDescent="0.25">
      <c r="X68" s="133">
        <v>42671</v>
      </c>
      <c r="Y68" s="10">
        <v>60.84</v>
      </c>
      <c r="Z68" s="10">
        <v>61.85</v>
      </c>
      <c r="AA68" s="10">
        <v>60.79</v>
      </c>
      <c r="AB68" s="10">
        <v>61.66</v>
      </c>
      <c r="AC68" s="95">
        <v>2750100</v>
      </c>
      <c r="AD68" s="10">
        <v>61.18</v>
      </c>
      <c r="AE68" s="2">
        <f>Z68-AA68</f>
        <v>1.0600000000000023</v>
      </c>
      <c r="AF68" s="138" t="e">
        <f>AD68/AD69-1</f>
        <v>#DIV/0!</v>
      </c>
    </row>
    <row r="69" spans="24:32" x14ac:dyDescent="0.25">
      <c r="X69" s="133" t="s">
        <v>121</v>
      </c>
      <c r="Y69" s="10"/>
      <c r="Z69" s="10"/>
      <c r="AA69" s="10"/>
      <c r="AB69" s="10"/>
      <c r="AC69" s="95"/>
      <c r="AD69" s="10"/>
      <c r="AE69" s="2">
        <f>Z69-AA69</f>
        <v>0</v>
      </c>
      <c r="AF69" s="138" t="e">
        <f>AD69/AD70-1</f>
        <v>#DIV/0!</v>
      </c>
    </row>
  </sheetData>
  <mergeCells count="1">
    <mergeCell ref="O41:P41"/>
  </mergeCells>
  <conditionalFormatting sqref="O42:O62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{EB3FDA66-E8E9-4957-9B0B-20BAE69D3B4F}</x14:id>
        </ext>
      </extLst>
    </cfRule>
  </conditionalFormatting>
  <conditionalFormatting sqref="AF1:AF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22:F39">
    <cfRule type="expression" dxfId="59" priority="9">
      <formula>F22&gt;0</formula>
    </cfRule>
    <cfRule type="expression" dxfId="58" priority="10">
      <formula>F22&lt;0</formula>
    </cfRule>
  </conditionalFormatting>
  <conditionalFormatting sqref="H22:H39">
    <cfRule type="expression" dxfId="57" priority="7">
      <formula>H22&gt;0</formula>
    </cfRule>
    <cfRule type="expression" dxfId="56" priority="8">
      <formula>H22&lt;0</formula>
    </cfRule>
  </conditionalFormatting>
  <conditionalFormatting sqref="Q8">
    <cfRule type="expression" dxfId="55" priority="3">
      <formula>Q8&gt;0</formula>
    </cfRule>
    <cfRule type="expression" dxfId="54" priority="4">
      <formula>Q8&lt;0</formula>
    </cfRule>
  </conditionalFormatting>
  <conditionalFormatting sqref="Q7">
    <cfRule type="expression" dxfId="53" priority="5">
      <formula>Q7&gt;0</formula>
    </cfRule>
    <cfRule type="expression" dxfId="52" priority="6">
      <formula>Q7&lt;0</formula>
    </cfRule>
  </conditionalFormatting>
  <conditionalFormatting sqref="M40">
    <cfRule type="expression" dxfId="51" priority="1">
      <formula>M40&gt;0</formula>
    </cfRule>
    <cfRule type="expression" dxfId="50" priority="2">
      <formula>M40&lt;0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B3FDA66-E8E9-4957-9B0B-20BAE69D3B4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customWidth="1"/>
    <col min="21" max="21" width="34.2851562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/>
      <c r="F1" s="21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56</v>
      </c>
      <c r="B2" s="164"/>
      <c r="C2" s="4"/>
      <c r="D2" s="3"/>
      <c r="E2" s="3"/>
      <c r="F2" s="3"/>
      <c r="G2" s="74"/>
      <c r="H2" s="4"/>
      <c r="I2" s="3"/>
      <c r="J2" s="4"/>
      <c r="K2" s="4"/>
      <c r="L2" s="74"/>
      <c r="M2" s="3"/>
      <c r="O2" s="11" t="s">
        <v>57</v>
      </c>
      <c r="Q2">
        <f>C18-H18</f>
        <v>0</v>
      </c>
      <c r="T2" s="163"/>
      <c r="W2" s="133">
        <v>42768</v>
      </c>
      <c r="X2" s="10">
        <v>36.08</v>
      </c>
      <c r="Y2" s="10">
        <v>36.14</v>
      </c>
      <c r="Z2" s="10">
        <v>35.47</v>
      </c>
      <c r="AA2" s="10">
        <v>35.729999999999997</v>
      </c>
      <c r="AB2" s="95">
        <v>11628000</v>
      </c>
      <c r="AC2" s="10">
        <v>35.729999999999997</v>
      </c>
      <c r="AD2" s="2">
        <f>Y2-Z2</f>
        <v>0.67000000000000171</v>
      </c>
      <c r="AE2" s="138">
        <f>AC2/AC3-1</f>
        <v>-1.1344770337576193E-2</v>
      </c>
    </row>
    <row r="3" spans="1:31" x14ac:dyDescent="0.25">
      <c r="A3" s="23" t="s">
        <v>71</v>
      </c>
      <c r="B3" s="164"/>
      <c r="C3" s="4"/>
      <c r="D3" s="3"/>
      <c r="E3" s="3"/>
      <c r="F3" s="3"/>
      <c r="G3" s="74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36.33</v>
      </c>
      <c r="W3" s="133">
        <v>42767</v>
      </c>
      <c r="X3" s="10">
        <v>36.68</v>
      </c>
      <c r="Y3" s="10">
        <v>37.11</v>
      </c>
      <c r="Z3" s="10">
        <v>35.86</v>
      </c>
      <c r="AA3" s="10">
        <v>36.14</v>
      </c>
      <c r="AB3" s="95">
        <v>13715000</v>
      </c>
      <c r="AC3" s="10">
        <v>36.14</v>
      </c>
      <c r="AD3" s="2">
        <f t="shared" ref="AD3:AD66" si="0">Y3-Z3</f>
        <v>1.25</v>
      </c>
      <c r="AE3" s="138">
        <f t="shared" ref="AE3:AE66" si="1">AC3/AC4-1</f>
        <v>-1.2838022398251825E-2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36.33</v>
      </c>
      <c r="R4" s="505">
        <v>1.6799999999999999E-2</v>
      </c>
      <c r="W4" s="133">
        <v>42766</v>
      </c>
      <c r="X4" s="10">
        <v>36.25</v>
      </c>
      <c r="Y4" s="10">
        <v>36.65</v>
      </c>
      <c r="Z4" s="10">
        <v>36.119999999999997</v>
      </c>
      <c r="AA4" s="10">
        <v>36.61</v>
      </c>
      <c r="AB4" s="95">
        <v>10647800</v>
      </c>
      <c r="AC4" s="10">
        <v>36.61</v>
      </c>
      <c r="AD4" s="2">
        <f t="shared" si="0"/>
        <v>0.53000000000000114</v>
      </c>
      <c r="AE4" s="138">
        <f t="shared" si="1"/>
        <v>7.7071290944124016E-3</v>
      </c>
    </row>
    <row r="5" spans="1:31" x14ac:dyDescent="0.25">
      <c r="B5" s="7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42765</v>
      </c>
      <c r="X5" s="10">
        <v>36.840000000000003</v>
      </c>
      <c r="Y5" s="10">
        <v>36.9</v>
      </c>
      <c r="Z5" s="10">
        <v>36.130000000000003</v>
      </c>
      <c r="AA5" s="10">
        <v>36.33</v>
      </c>
      <c r="AB5" s="95">
        <v>11721500</v>
      </c>
      <c r="AC5" s="10">
        <v>36.33</v>
      </c>
      <c r="AD5" s="2">
        <f t="shared" si="0"/>
        <v>0.76999999999999602</v>
      </c>
      <c r="AE5" s="138">
        <f t="shared" si="1"/>
        <v>-1.8373412591191518E-2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42762</v>
      </c>
      <c r="X6" s="10">
        <v>37.520000000000003</v>
      </c>
      <c r="Y6" s="10">
        <v>37.590000000000003</v>
      </c>
      <c r="Z6" s="10">
        <v>36.880000000000003</v>
      </c>
      <c r="AA6" s="10">
        <v>37.01</v>
      </c>
      <c r="AB6" s="95">
        <v>10177100</v>
      </c>
      <c r="AC6" s="10">
        <v>37.01</v>
      </c>
      <c r="AD6" s="2">
        <f t="shared" si="0"/>
        <v>0.71000000000000085</v>
      </c>
      <c r="AE6" s="138">
        <f t="shared" si="1"/>
        <v>-1.3592750533049203E-2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181</v>
      </c>
      <c r="Q7" s="2">
        <f>Q10+Q8</f>
        <v>36.819999999999709</v>
      </c>
      <c r="R7">
        <v>0</v>
      </c>
      <c r="W7" s="133">
        <v>42761</v>
      </c>
      <c r="X7" s="10">
        <v>38.1</v>
      </c>
      <c r="Y7" s="10">
        <v>38.25</v>
      </c>
      <c r="Z7" s="10">
        <v>37.369999999999997</v>
      </c>
      <c r="AA7" s="10">
        <v>37.520000000000003</v>
      </c>
      <c r="AB7" s="95">
        <v>10740800</v>
      </c>
      <c r="AC7" s="10">
        <v>37.520000000000003</v>
      </c>
      <c r="AD7" s="2">
        <f t="shared" si="0"/>
        <v>0.88000000000000256</v>
      </c>
      <c r="AE7" s="138">
        <f t="shared" si="1"/>
        <v>-1.9853709508881878E-2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184</v>
      </c>
      <c r="P8" s="34"/>
      <c r="Q8" s="2">
        <f>K18+M18-F18+Q2*Q4</f>
        <v>0</v>
      </c>
      <c r="W8" s="133">
        <v>42760</v>
      </c>
      <c r="X8" s="10">
        <v>37.71</v>
      </c>
      <c r="Y8" s="10">
        <v>38.380000000000003</v>
      </c>
      <c r="Z8" s="10">
        <v>37.6</v>
      </c>
      <c r="AA8" s="10">
        <v>38.28</v>
      </c>
      <c r="AB8" s="95">
        <v>20584600</v>
      </c>
      <c r="AC8" s="10">
        <v>38.28</v>
      </c>
      <c r="AD8" s="2">
        <f t="shared" si="0"/>
        <v>0.78000000000000114</v>
      </c>
      <c r="AE8" s="138">
        <f t="shared" si="1"/>
        <v>3.4594594594594685E-2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214</v>
      </c>
      <c r="Q9" s="138">
        <f>IF(Q2=0, 0, Q8/Q6)</f>
        <v>0</v>
      </c>
      <c r="W9" s="133">
        <v>42759</v>
      </c>
      <c r="X9" s="10">
        <v>36.700000000000003</v>
      </c>
      <c r="Y9" s="10">
        <v>37.24</v>
      </c>
      <c r="Z9" s="10">
        <v>36.68</v>
      </c>
      <c r="AA9" s="10">
        <v>37</v>
      </c>
      <c r="AB9" s="95">
        <v>11579600</v>
      </c>
      <c r="AC9" s="10">
        <v>37</v>
      </c>
      <c r="AD9" s="2">
        <f t="shared" si="0"/>
        <v>0.56000000000000227</v>
      </c>
      <c r="AE9" s="138">
        <f t="shared" si="1"/>
        <v>9.5497953615280018E-3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213</v>
      </c>
      <c r="P10" s="34"/>
      <c r="Q10" s="2">
        <f>M29</f>
        <v>36.819999999999709</v>
      </c>
      <c r="W10" s="133">
        <v>42758</v>
      </c>
      <c r="X10" s="10">
        <v>37.01</v>
      </c>
      <c r="Y10" s="10">
        <v>37.130000000000003</v>
      </c>
      <c r="Z10" s="10">
        <v>36.380000000000003</v>
      </c>
      <c r="AA10" s="10">
        <v>36.65</v>
      </c>
      <c r="AB10" s="95">
        <v>11469600</v>
      </c>
      <c r="AC10" s="10">
        <v>36.65</v>
      </c>
      <c r="AD10" s="2">
        <f t="shared" si="0"/>
        <v>0.75</v>
      </c>
      <c r="AE10" s="138">
        <f t="shared" si="1"/>
        <v>-9.7271007835719736E-3</v>
      </c>
    </row>
    <row r="11" spans="1:31" x14ac:dyDescent="0.25">
      <c r="O11" s="11" t="s">
        <v>178</v>
      </c>
      <c r="P11" s="34"/>
      <c r="Q11" s="138">
        <f>VALUE(TRIM(CLEAN(MID(U58, FIND("(", U58)+1, 5))))</f>
        <v>4.1500000000000002E-2</v>
      </c>
      <c r="W11" s="133">
        <v>42755</v>
      </c>
      <c r="X11" s="10">
        <v>37.42</v>
      </c>
      <c r="Y11" s="10">
        <v>37.42</v>
      </c>
      <c r="Z11" s="10">
        <v>36.76</v>
      </c>
      <c r="AA11" s="10">
        <v>37.01</v>
      </c>
      <c r="AB11" s="95">
        <v>13631600</v>
      </c>
      <c r="AC11" s="10">
        <v>37.01</v>
      </c>
      <c r="AD11" s="2">
        <f t="shared" si="0"/>
        <v>0.66000000000000369</v>
      </c>
      <c r="AE11" s="138">
        <f t="shared" si="1"/>
        <v>-7.7747989276139018E-3</v>
      </c>
    </row>
    <row r="12" spans="1:31" x14ac:dyDescent="0.25">
      <c r="W12" s="133">
        <v>42754</v>
      </c>
      <c r="X12" s="10">
        <v>37.630000000000003</v>
      </c>
      <c r="Y12" s="10">
        <v>37.840000000000003</v>
      </c>
      <c r="Z12" s="10">
        <v>37.159999999999997</v>
      </c>
      <c r="AA12" s="10">
        <v>37.299999999999997</v>
      </c>
      <c r="AB12" s="95">
        <v>8181700</v>
      </c>
      <c r="AC12" s="10">
        <v>37.299999999999997</v>
      </c>
      <c r="AD12" s="2">
        <f t="shared" si="0"/>
        <v>0.68000000000000682</v>
      </c>
      <c r="AE12" s="138">
        <f t="shared" si="1"/>
        <v>-4.5369629036563497E-3</v>
      </c>
    </row>
    <row r="13" spans="1:31" x14ac:dyDescent="0.25">
      <c r="W13" s="133">
        <v>42753</v>
      </c>
      <c r="X13" s="10">
        <v>37.450000000000003</v>
      </c>
      <c r="Y13" s="10">
        <v>37.58</v>
      </c>
      <c r="Z13" s="10">
        <v>37.119999999999997</v>
      </c>
      <c r="AA13" s="10">
        <v>37.47</v>
      </c>
      <c r="AB13" s="95">
        <v>10874200</v>
      </c>
      <c r="AC13" s="10">
        <v>37.47</v>
      </c>
      <c r="AD13" s="2">
        <f t="shared" si="0"/>
        <v>0.46000000000000085</v>
      </c>
      <c r="AE13" s="138">
        <f t="shared" si="1"/>
        <v>4.2883945322969019E-3</v>
      </c>
    </row>
    <row r="14" spans="1:31" x14ac:dyDescent="0.25">
      <c r="W14" s="133">
        <v>42752</v>
      </c>
      <c r="X14" s="10">
        <v>37.340000000000003</v>
      </c>
      <c r="Y14" s="10">
        <v>37.69</v>
      </c>
      <c r="Z14" s="10">
        <v>37.17</v>
      </c>
      <c r="AA14" s="10">
        <v>37.31</v>
      </c>
      <c r="AB14" s="95">
        <v>8219700</v>
      </c>
      <c r="AC14" s="10">
        <v>37.31</v>
      </c>
      <c r="AD14" s="2">
        <f t="shared" si="0"/>
        <v>0.51999999999999602</v>
      </c>
      <c r="AE14" s="138">
        <f t="shared" si="1"/>
        <v>-8.0342795929300159E-4</v>
      </c>
    </row>
    <row r="15" spans="1:31" x14ac:dyDescent="0.25">
      <c r="W15" s="133">
        <v>42748</v>
      </c>
      <c r="X15" s="10">
        <v>37.549999999999997</v>
      </c>
      <c r="Y15" s="10">
        <v>37.770000000000003</v>
      </c>
      <c r="Z15" s="10">
        <v>37.15</v>
      </c>
      <c r="AA15" s="10">
        <v>37.340000000000003</v>
      </c>
      <c r="AB15" s="95">
        <v>8711000</v>
      </c>
      <c r="AC15" s="10">
        <v>37.340000000000003</v>
      </c>
      <c r="AD15" s="2">
        <f t="shared" si="0"/>
        <v>0.62000000000000455</v>
      </c>
      <c r="AE15" s="138">
        <f t="shared" si="1"/>
        <v>-4.5321247667287068E-3</v>
      </c>
    </row>
    <row r="16" spans="1:31" x14ac:dyDescent="0.25">
      <c r="W16" s="133">
        <v>42747</v>
      </c>
      <c r="X16" s="10">
        <v>38</v>
      </c>
      <c r="Y16" s="10">
        <v>38.15</v>
      </c>
      <c r="Z16" s="10">
        <v>37.06</v>
      </c>
      <c r="AA16" s="10">
        <v>37.51</v>
      </c>
      <c r="AB16" s="95">
        <v>16825900</v>
      </c>
      <c r="AC16" s="10">
        <v>37.51</v>
      </c>
      <c r="AD16" s="2">
        <f t="shared" si="0"/>
        <v>1.0899999999999963</v>
      </c>
      <c r="AE16" s="138">
        <f t="shared" si="1"/>
        <v>-1.1594202898550843E-2</v>
      </c>
    </row>
    <row r="17" spans="1:31" x14ac:dyDescent="0.25">
      <c r="W17" s="133">
        <v>42746</v>
      </c>
      <c r="X17" s="10">
        <v>37.54</v>
      </c>
      <c r="Y17" s="10">
        <v>38.11</v>
      </c>
      <c r="Z17" s="10">
        <v>37.22</v>
      </c>
      <c r="AA17" s="10">
        <v>37.950000000000003</v>
      </c>
      <c r="AB17" s="95">
        <v>19483300</v>
      </c>
      <c r="AC17" s="10">
        <v>37.950000000000003</v>
      </c>
      <c r="AD17" s="2">
        <f t="shared" si="0"/>
        <v>0.89000000000000057</v>
      </c>
      <c r="AE17" s="138">
        <f t="shared" si="1"/>
        <v>1.6064257028112428E-2</v>
      </c>
    </row>
    <row r="18" spans="1:31" x14ac:dyDescent="0.25">
      <c r="A18" s="22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3">
        <v>42745</v>
      </c>
      <c r="X18" s="10">
        <v>36.19</v>
      </c>
      <c r="Y18" s="10">
        <v>38.159999999999997</v>
      </c>
      <c r="Z18" s="10">
        <v>36.049999999999997</v>
      </c>
      <c r="AA18" s="10">
        <v>37.35</v>
      </c>
      <c r="AB18" s="95">
        <v>34785800</v>
      </c>
      <c r="AC18" s="10">
        <v>37.35</v>
      </c>
      <c r="AD18" s="2">
        <f t="shared" si="0"/>
        <v>2.1099999999999994</v>
      </c>
      <c r="AE18" s="138">
        <f t="shared" si="1"/>
        <v>3.7211885587336901E-2</v>
      </c>
    </row>
    <row r="19" spans="1:31" x14ac:dyDescent="0.25">
      <c r="W19" s="133">
        <v>42744</v>
      </c>
      <c r="X19" s="10">
        <v>36.119999999999997</v>
      </c>
      <c r="Y19" s="10">
        <v>36.53</v>
      </c>
      <c r="Z19" s="10">
        <v>35.86</v>
      </c>
      <c r="AA19" s="10">
        <v>36.01</v>
      </c>
      <c r="AB19" s="95">
        <v>15201300</v>
      </c>
      <c r="AC19" s="10">
        <v>36.01</v>
      </c>
      <c r="AD19" s="2">
        <f t="shared" si="0"/>
        <v>0.67000000000000171</v>
      </c>
      <c r="AE19" s="138">
        <f t="shared" si="1"/>
        <v>5.5570991942199832E-4</v>
      </c>
    </row>
    <row r="20" spans="1:31" x14ac:dyDescent="0.25">
      <c r="W20" s="133">
        <v>42741</v>
      </c>
      <c r="X20" s="10">
        <v>36.409999999999997</v>
      </c>
      <c r="Y20" s="10">
        <v>36.549999999999997</v>
      </c>
      <c r="Z20" s="10">
        <v>35.93</v>
      </c>
      <c r="AA20" s="10">
        <v>35.99</v>
      </c>
      <c r="AB20" s="95">
        <v>13234800</v>
      </c>
      <c r="AC20" s="10">
        <v>35.99</v>
      </c>
      <c r="AD20" s="2">
        <f t="shared" si="0"/>
        <v>0.61999999999999744</v>
      </c>
      <c r="AE20" s="138">
        <f t="shared" si="1"/>
        <v>-1.0992030777686179E-2</v>
      </c>
    </row>
    <row r="21" spans="1:31" x14ac:dyDescent="0.25">
      <c r="B21" s="191" t="s">
        <v>114</v>
      </c>
      <c r="C21" s="191" t="s">
        <v>147</v>
      </c>
      <c r="D21" s="192" t="s">
        <v>146</v>
      </c>
      <c r="E21" s="194" t="s">
        <v>148</v>
      </c>
      <c r="F21" s="194" t="s">
        <v>65</v>
      </c>
      <c r="G21" s="229" t="s">
        <v>152</v>
      </c>
      <c r="H21" s="229" t="s">
        <v>88</v>
      </c>
      <c r="I21" s="229" t="s">
        <v>155</v>
      </c>
      <c r="W21" s="133">
        <v>42740</v>
      </c>
      <c r="X21" s="10">
        <v>37.01</v>
      </c>
      <c r="Y21" s="10">
        <v>37.049999999999997</v>
      </c>
      <c r="Z21" s="10">
        <v>36.07</v>
      </c>
      <c r="AA21" s="10">
        <v>36.39</v>
      </c>
      <c r="AB21" s="95">
        <v>15621900</v>
      </c>
      <c r="AC21" s="10">
        <v>36.39</v>
      </c>
      <c r="AD21" s="2">
        <f t="shared" si="0"/>
        <v>0.97999999999999687</v>
      </c>
      <c r="AE21" s="138">
        <f t="shared" si="1"/>
        <v>-1.8873011593421474E-2</v>
      </c>
    </row>
    <row r="22" spans="1:31" x14ac:dyDescent="0.25">
      <c r="B22" s="193"/>
      <c r="C22" s="10"/>
      <c r="D22" s="40"/>
      <c r="E22" s="40"/>
      <c r="F22" s="40"/>
      <c r="G22" s="40"/>
      <c r="H22" s="231"/>
      <c r="I22" s="40"/>
      <c r="W22" s="133">
        <v>42739</v>
      </c>
      <c r="X22" s="10">
        <v>35.6</v>
      </c>
      <c r="Y22" s="10">
        <v>37.24</v>
      </c>
      <c r="Z22" s="10">
        <v>35.47</v>
      </c>
      <c r="AA22" s="10">
        <v>37.090000000000003</v>
      </c>
      <c r="AB22" s="95">
        <v>23293100</v>
      </c>
      <c r="AC22" s="10">
        <v>37.090000000000003</v>
      </c>
      <c r="AD22" s="2">
        <f t="shared" si="0"/>
        <v>1.7700000000000031</v>
      </c>
      <c r="AE22" s="138">
        <f t="shared" si="1"/>
        <v>5.5192034139402768E-2</v>
      </c>
    </row>
    <row r="23" spans="1:31" x14ac:dyDescent="0.25">
      <c r="B23" s="193"/>
      <c r="C23" s="10"/>
      <c r="D23" s="40"/>
      <c r="E23" s="40"/>
      <c r="F23" s="40"/>
      <c r="G23" s="40"/>
      <c r="H23" s="231"/>
      <c r="I23" s="40"/>
      <c r="W23" s="133">
        <v>42738</v>
      </c>
      <c r="X23" s="10">
        <v>34.979999999999997</v>
      </c>
      <c r="Y23" s="10">
        <v>35.57</v>
      </c>
      <c r="Z23" s="10">
        <v>34.840000000000003</v>
      </c>
      <c r="AA23" s="10">
        <v>35.15</v>
      </c>
      <c r="AB23" s="95">
        <v>10901100</v>
      </c>
      <c r="AC23" s="10">
        <v>35.15</v>
      </c>
      <c r="AD23" s="2">
        <f t="shared" si="0"/>
        <v>0.72999999999999687</v>
      </c>
      <c r="AE23" s="138">
        <f t="shared" si="1"/>
        <v>8.897818599310936E-3</v>
      </c>
    </row>
    <row r="24" spans="1:31" x14ac:dyDescent="0.25">
      <c r="B24" s="193"/>
      <c r="C24" s="10"/>
      <c r="D24" s="40"/>
      <c r="E24" s="40"/>
      <c r="F24" s="40"/>
      <c r="G24" s="40"/>
      <c r="H24" s="231"/>
      <c r="I24" s="40"/>
      <c r="W24" s="133">
        <v>42734</v>
      </c>
      <c r="X24" s="10">
        <v>35.21</v>
      </c>
      <c r="Y24" s="10">
        <v>35.31</v>
      </c>
      <c r="Z24" s="10">
        <v>34.67</v>
      </c>
      <c r="AA24" s="10">
        <v>34.840000000000003</v>
      </c>
      <c r="AB24" s="95">
        <v>7644100</v>
      </c>
      <c r="AC24" s="10">
        <v>34.840000000000003</v>
      </c>
      <c r="AD24" s="2">
        <f t="shared" si="0"/>
        <v>0.64000000000000057</v>
      </c>
      <c r="AE24" s="138">
        <f t="shared" si="1"/>
        <v>-8.5372794536140439E-3</v>
      </c>
    </row>
    <row r="25" spans="1:31" x14ac:dyDescent="0.25">
      <c r="B25" s="193"/>
      <c r="C25" s="10"/>
      <c r="D25" s="40"/>
      <c r="E25" s="40"/>
      <c r="F25" s="40"/>
      <c r="G25" s="40"/>
      <c r="H25" s="231"/>
      <c r="I25" s="40"/>
      <c r="W25" s="133">
        <v>42733</v>
      </c>
      <c r="X25" s="10">
        <v>35.25</v>
      </c>
      <c r="Y25" s="10">
        <v>35.479999999999997</v>
      </c>
      <c r="Z25" s="10">
        <v>35.119999999999997</v>
      </c>
      <c r="AA25" s="10">
        <v>35.14</v>
      </c>
      <c r="AB25" s="95">
        <v>4415300</v>
      </c>
      <c r="AC25" s="10">
        <v>35.14</v>
      </c>
      <c r="AD25" s="2">
        <f t="shared" si="0"/>
        <v>0.35999999999999943</v>
      </c>
      <c r="AE25" s="138">
        <f t="shared" si="1"/>
        <v>-2.8449502133709448E-4</v>
      </c>
    </row>
    <row r="26" spans="1:31" x14ac:dyDescent="0.25">
      <c r="B26" s="193"/>
      <c r="C26" s="10"/>
      <c r="D26" s="40"/>
      <c r="E26" s="40"/>
      <c r="F26" s="40"/>
      <c r="G26" s="40"/>
      <c r="H26" s="231"/>
      <c r="I26" s="40"/>
      <c r="W26" s="133">
        <v>42732</v>
      </c>
      <c r="X26" s="10">
        <v>35.74</v>
      </c>
      <c r="Y26" s="10">
        <v>35.799999999999997</v>
      </c>
      <c r="Z26" s="10">
        <v>35.130000000000003</v>
      </c>
      <c r="AA26" s="10">
        <v>35.15</v>
      </c>
      <c r="AB26" s="95">
        <v>8395400</v>
      </c>
      <c r="AC26" s="10">
        <v>35.15</v>
      </c>
      <c r="AD26" s="2">
        <f t="shared" si="0"/>
        <v>0.6699999999999946</v>
      </c>
      <c r="AE26" s="138">
        <f t="shared" si="1"/>
        <v>-1.097355092853125E-2</v>
      </c>
    </row>
    <row r="27" spans="1:31" x14ac:dyDescent="0.25">
      <c r="W27" s="133">
        <v>42731</v>
      </c>
      <c r="X27" s="10">
        <v>35.799999999999997</v>
      </c>
      <c r="Y27" s="10">
        <v>35.93</v>
      </c>
      <c r="Z27" s="10">
        <v>35.5</v>
      </c>
      <c r="AA27" s="10">
        <v>35.54</v>
      </c>
      <c r="AB27" s="95">
        <v>5983700</v>
      </c>
      <c r="AC27" s="10">
        <v>35.54</v>
      </c>
      <c r="AD27" s="2">
        <f t="shared" si="0"/>
        <v>0.42999999999999972</v>
      </c>
      <c r="AE27" s="138">
        <f t="shared" si="1"/>
        <v>-4.2028579434014723E-3</v>
      </c>
    </row>
    <row r="28" spans="1:31" x14ac:dyDescent="0.25">
      <c r="W28" s="133">
        <v>42727</v>
      </c>
      <c r="X28" s="10">
        <v>35.83</v>
      </c>
      <c r="Y28" s="10">
        <v>35.869999999999997</v>
      </c>
      <c r="Z28" s="10">
        <v>35.54</v>
      </c>
      <c r="AA28" s="10">
        <v>35.69</v>
      </c>
      <c r="AB28" s="95">
        <v>9044300</v>
      </c>
      <c r="AC28" s="10">
        <v>35.69</v>
      </c>
      <c r="AD28" s="2">
        <f t="shared" si="0"/>
        <v>0.32999999999999829</v>
      </c>
      <c r="AE28" s="138">
        <f t="shared" si="1"/>
        <v>0</v>
      </c>
    </row>
    <row r="29" spans="1:31" x14ac:dyDescent="0.25">
      <c r="L29" t="s">
        <v>213</v>
      </c>
      <c r="M29" s="2">
        <f>M47+K47-F47</f>
        <v>36.819999999999709</v>
      </c>
      <c r="W29" s="133">
        <v>42726</v>
      </c>
      <c r="X29" s="10">
        <v>36.29</v>
      </c>
      <c r="Y29" s="10">
        <v>36.4</v>
      </c>
      <c r="Z29" s="10">
        <v>35.630000000000003</v>
      </c>
      <c r="AA29" s="10">
        <v>35.69</v>
      </c>
      <c r="AB29" s="95">
        <v>9851400</v>
      </c>
      <c r="AC29" s="10">
        <v>35.69</v>
      </c>
      <c r="AD29" s="2">
        <f t="shared" si="0"/>
        <v>0.76999999999999602</v>
      </c>
      <c r="AE29" s="138">
        <f t="shared" si="1"/>
        <v>-2.0043931905546541E-2</v>
      </c>
    </row>
    <row r="30" spans="1:31" x14ac:dyDescent="0.25">
      <c r="A30" s="387" t="s">
        <v>1</v>
      </c>
      <c r="B30" s="387" t="s">
        <v>2</v>
      </c>
      <c r="C30" s="387" t="s">
        <v>4</v>
      </c>
      <c r="D30" s="389" t="s">
        <v>5</v>
      </c>
      <c r="E30" s="389"/>
      <c r="F30" s="389" t="s">
        <v>60</v>
      </c>
      <c r="G30" s="387" t="s">
        <v>3</v>
      </c>
      <c r="H30" s="387" t="s">
        <v>6</v>
      </c>
      <c r="I30" s="387" t="s">
        <v>7</v>
      </c>
      <c r="J30" s="387"/>
      <c r="K30" s="387" t="s">
        <v>61</v>
      </c>
      <c r="L30" s="387" t="s">
        <v>77</v>
      </c>
      <c r="M30" s="387" t="s">
        <v>38</v>
      </c>
      <c r="W30" s="133">
        <v>42725</v>
      </c>
      <c r="X30" s="10">
        <v>36.5</v>
      </c>
      <c r="Y30" s="10">
        <v>36.69</v>
      </c>
      <c r="Z30" s="10">
        <v>36.35</v>
      </c>
      <c r="AA30" s="10">
        <v>36.42</v>
      </c>
      <c r="AB30" s="95">
        <v>6667900</v>
      </c>
      <c r="AC30" s="10">
        <v>36.42</v>
      </c>
      <c r="AD30" s="2">
        <f t="shared" si="0"/>
        <v>0.33999999999999631</v>
      </c>
      <c r="AE30" s="138">
        <f t="shared" si="1"/>
        <v>-5.1898388418464281E-3</v>
      </c>
    </row>
    <row r="31" spans="1:31" x14ac:dyDescent="0.25">
      <c r="A31" s="390" t="s">
        <v>56</v>
      </c>
      <c r="B31" s="664">
        <v>42220</v>
      </c>
      <c r="C31" s="381">
        <v>40</v>
      </c>
      <c r="D31" s="382">
        <v>31.78</v>
      </c>
      <c r="E31" s="382"/>
      <c r="F31" s="382">
        <f>C31*D31</f>
        <v>1271.2</v>
      </c>
      <c r="G31" s="380">
        <v>42235</v>
      </c>
      <c r="H31" s="381">
        <v>100</v>
      </c>
      <c r="I31" s="382">
        <v>31.5</v>
      </c>
      <c r="J31" s="381">
        <v>0.06</v>
      </c>
      <c r="K31" s="381">
        <f>H31*I31-J31</f>
        <v>3149.94</v>
      </c>
      <c r="L31" s="380">
        <v>42276</v>
      </c>
      <c r="M31" s="382">
        <v>14.4</v>
      </c>
      <c r="W31" s="133">
        <v>42724</v>
      </c>
      <c r="X31" s="10">
        <v>36.4</v>
      </c>
      <c r="Y31" s="10">
        <v>36.729999999999997</v>
      </c>
      <c r="Z31" s="10">
        <v>36.229999999999997</v>
      </c>
      <c r="AA31" s="10">
        <v>36.61</v>
      </c>
      <c r="AB31" s="95">
        <v>8769100</v>
      </c>
      <c r="AC31" s="10">
        <v>36.61</v>
      </c>
      <c r="AD31" s="2">
        <f t="shared" si="0"/>
        <v>0.5</v>
      </c>
      <c r="AE31" s="138">
        <f t="shared" si="1"/>
        <v>5.7692307692307487E-3</v>
      </c>
    </row>
    <row r="32" spans="1:31" x14ac:dyDescent="0.25">
      <c r="A32" s="391" t="s">
        <v>71</v>
      </c>
      <c r="B32" s="664"/>
      <c r="C32" s="381">
        <v>60</v>
      </c>
      <c r="D32" s="382">
        <v>31.78</v>
      </c>
      <c r="E32" s="382"/>
      <c r="F32" s="382">
        <f>C32*D32</f>
        <v>1906.8000000000002</v>
      </c>
      <c r="G32" s="380">
        <v>42284</v>
      </c>
      <c r="H32" s="381">
        <v>40</v>
      </c>
      <c r="I32" s="381">
        <v>31.55</v>
      </c>
      <c r="J32" s="381">
        <v>0.02</v>
      </c>
      <c r="K32" s="381">
        <f>H32*I32-J32</f>
        <v>1261.98</v>
      </c>
      <c r="L32" s="381"/>
      <c r="M32" s="381"/>
      <c r="W32" s="133">
        <v>42723</v>
      </c>
      <c r="X32" s="10">
        <v>36.49</v>
      </c>
      <c r="Y32" s="10">
        <v>36.729999999999997</v>
      </c>
      <c r="Z32" s="10">
        <v>36.15</v>
      </c>
      <c r="AA32" s="10">
        <v>36.4</v>
      </c>
      <c r="AB32" s="95">
        <v>10404200</v>
      </c>
      <c r="AC32" s="10">
        <v>36.4</v>
      </c>
      <c r="AD32" s="2">
        <f t="shared" si="0"/>
        <v>0.57999999999999829</v>
      </c>
      <c r="AE32" s="138">
        <f t="shared" si="1"/>
        <v>8.2485565026124696E-4</v>
      </c>
    </row>
    <row r="33" spans="1:31" x14ac:dyDescent="0.25">
      <c r="A33" s="381"/>
      <c r="B33" s="380">
        <v>42221</v>
      </c>
      <c r="C33" s="381">
        <v>10</v>
      </c>
      <c r="D33" s="382">
        <v>31.45</v>
      </c>
      <c r="E33" s="382"/>
      <c r="F33" s="382">
        <f>C33*D33</f>
        <v>314.5</v>
      </c>
      <c r="G33" s="381"/>
      <c r="H33" s="381"/>
      <c r="I33" s="381"/>
      <c r="J33" s="381"/>
      <c r="K33" s="381"/>
      <c r="L33" s="381"/>
      <c r="M33" s="381"/>
      <c r="W33" s="133">
        <v>42720</v>
      </c>
      <c r="X33" s="10">
        <v>36.4</v>
      </c>
      <c r="Y33" s="10">
        <v>36.409999999999997</v>
      </c>
      <c r="Z33" s="10">
        <v>36.1</v>
      </c>
      <c r="AA33" s="10">
        <v>36.369999999999997</v>
      </c>
      <c r="AB33" s="95">
        <v>23566000</v>
      </c>
      <c r="AC33" s="10">
        <v>36.369999999999997</v>
      </c>
      <c r="AD33" s="2">
        <f t="shared" si="0"/>
        <v>0.30999999999999517</v>
      </c>
      <c r="AE33" s="138">
        <f t="shared" si="1"/>
        <v>3.587196467990994E-3</v>
      </c>
    </row>
    <row r="34" spans="1:31" x14ac:dyDescent="0.25">
      <c r="A34" s="381"/>
      <c r="B34" s="380">
        <v>42233</v>
      </c>
      <c r="C34" s="381">
        <v>30</v>
      </c>
      <c r="D34" s="382">
        <v>29.9</v>
      </c>
      <c r="E34" s="382"/>
      <c r="F34" s="382">
        <f>C34*D34</f>
        <v>897</v>
      </c>
      <c r="G34" s="381"/>
      <c r="H34" s="381"/>
      <c r="I34" s="381"/>
      <c r="J34" s="381"/>
      <c r="K34" s="381"/>
      <c r="L34" s="381"/>
      <c r="M34" s="381"/>
      <c r="W34" s="133">
        <v>42719</v>
      </c>
      <c r="X34" s="10">
        <v>35.869999999999997</v>
      </c>
      <c r="Y34" s="10">
        <v>36.39</v>
      </c>
      <c r="Z34" s="10">
        <v>35.78</v>
      </c>
      <c r="AA34" s="10">
        <v>36.24</v>
      </c>
      <c r="AB34" s="95">
        <v>18154500</v>
      </c>
      <c r="AC34" s="10">
        <v>36.24</v>
      </c>
      <c r="AD34" s="2">
        <f t="shared" si="0"/>
        <v>0.60999999999999943</v>
      </c>
      <c r="AE34" s="138">
        <f t="shared" si="1"/>
        <v>8.0667593880390243E-3</v>
      </c>
    </row>
    <row r="35" spans="1:31" x14ac:dyDescent="0.25">
      <c r="A35" s="381"/>
      <c r="B35" s="381"/>
      <c r="C35" s="381"/>
      <c r="D35" s="382"/>
      <c r="E35" s="382"/>
      <c r="F35" s="382"/>
      <c r="G35" s="381"/>
      <c r="H35" s="381"/>
      <c r="I35" s="381"/>
      <c r="J35" s="381"/>
      <c r="K35" s="381"/>
      <c r="L35" s="381"/>
      <c r="M35" s="381"/>
      <c r="W35" s="133">
        <v>42718</v>
      </c>
      <c r="X35" s="10">
        <v>36.299999999999997</v>
      </c>
      <c r="Y35" s="10">
        <v>36.78</v>
      </c>
      <c r="Z35" s="10">
        <v>35.93</v>
      </c>
      <c r="AA35" s="10">
        <v>35.950000000000003</v>
      </c>
      <c r="AB35" s="95">
        <v>19645800</v>
      </c>
      <c r="AC35" s="10">
        <v>35.950000000000003</v>
      </c>
      <c r="AD35" s="2">
        <f t="shared" si="0"/>
        <v>0.85000000000000142</v>
      </c>
      <c r="AE35" s="138">
        <f t="shared" si="1"/>
        <v>-3.7740899357601609E-2</v>
      </c>
    </row>
    <row r="36" spans="1:31" x14ac:dyDescent="0.25">
      <c r="A36" s="381"/>
      <c r="B36" s="381"/>
      <c r="C36" s="381"/>
      <c r="D36" s="382"/>
      <c r="E36" s="382"/>
      <c r="F36" s="382"/>
      <c r="G36" s="381"/>
      <c r="H36" s="381"/>
      <c r="I36" s="381"/>
      <c r="J36" s="381"/>
      <c r="K36" s="381"/>
      <c r="L36" s="381"/>
      <c r="M36" s="381"/>
      <c r="W36" s="133">
        <v>42717</v>
      </c>
      <c r="X36" s="10">
        <v>37.15</v>
      </c>
      <c r="Y36" s="10">
        <v>37.44</v>
      </c>
      <c r="Z36" s="10">
        <v>36.950000000000003</v>
      </c>
      <c r="AA36" s="10">
        <v>37.36</v>
      </c>
      <c r="AB36" s="95">
        <v>8930200</v>
      </c>
      <c r="AC36" s="10">
        <v>37.36</v>
      </c>
      <c r="AD36" s="2">
        <f t="shared" si="0"/>
        <v>0.48999999999999488</v>
      </c>
      <c r="AE36" s="138">
        <f t="shared" si="1"/>
        <v>7.008086253369239E-3</v>
      </c>
    </row>
    <row r="37" spans="1:31" x14ac:dyDescent="0.25">
      <c r="A37" s="381"/>
      <c r="B37" s="381"/>
      <c r="C37" s="381"/>
      <c r="D37" s="382"/>
      <c r="E37" s="382"/>
      <c r="F37" s="382"/>
      <c r="G37" s="381"/>
      <c r="H37" s="381"/>
      <c r="I37" s="381"/>
      <c r="J37" s="381"/>
      <c r="K37" s="381"/>
      <c r="L37" s="381"/>
      <c r="M37" s="381"/>
      <c r="W37" s="133">
        <v>42716</v>
      </c>
      <c r="X37" s="10">
        <v>37.51</v>
      </c>
      <c r="Y37" s="10">
        <v>37.74</v>
      </c>
      <c r="Z37" s="10">
        <v>37.01</v>
      </c>
      <c r="AA37" s="10">
        <v>37.1</v>
      </c>
      <c r="AB37" s="95">
        <v>15573400</v>
      </c>
      <c r="AC37" s="10">
        <v>37.1</v>
      </c>
      <c r="AD37" s="2">
        <f t="shared" si="0"/>
        <v>0.73000000000000398</v>
      </c>
      <c r="AE37" s="138">
        <f t="shared" si="1"/>
        <v>-1.4869888475836257E-2</v>
      </c>
    </row>
    <row r="38" spans="1:31" x14ac:dyDescent="0.25">
      <c r="A38" s="381"/>
      <c r="B38" s="381"/>
      <c r="C38" s="381"/>
      <c r="D38" s="382"/>
      <c r="E38" s="382"/>
      <c r="F38" s="382"/>
      <c r="G38" s="381"/>
      <c r="H38" s="381"/>
      <c r="I38" s="381"/>
      <c r="J38" s="381"/>
      <c r="K38" s="381"/>
      <c r="L38" s="381"/>
      <c r="M38" s="381"/>
      <c r="W38" s="133">
        <v>42713</v>
      </c>
      <c r="X38" s="10">
        <v>36.409999999999997</v>
      </c>
      <c r="Y38" s="10">
        <v>37.68</v>
      </c>
      <c r="Z38" s="10">
        <v>36.409999999999997</v>
      </c>
      <c r="AA38" s="10">
        <v>37.659999999999997</v>
      </c>
      <c r="AB38" s="95">
        <v>26427100</v>
      </c>
      <c r="AC38" s="10">
        <v>37.659999999999997</v>
      </c>
      <c r="AD38" s="2">
        <f t="shared" si="0"/>
        <v>1.2700000000000031</v>
      </c>
      <c r="AE38" s="138">
        <f t="shared" si="1"/>
        <v>3.4047226798462171E-2</v>
      </c>
    </row>
    <row r="39" spans="1:31" x14ac:dyDescent="0.25">
      <c r="A39" s="381"/>
      <c r="B39" s="381"/>
      <c r="C39" s="381"/>
      <c r="D39" s="382"/>
      <c r="E39" s="382"/>
      <c r="F39" s="382"/>
      <c r="G39" s="381"/>
      <c r="H39" s="381"/>
      <c r="I39" s="381"/>
      <c r="J39" s="381"/>
      <c r="K39" s="381"/>
      <c r="L39" s="381"/>
      <c r="M39" s="381"/>
      <c r="W39" s="133">
        <v>42712</v>
      </c>
      <c r="X39" s="10">
        <v>36.19</v>
      </c>
      <c r="Y39" s="10">
        <v>36.46</v>
      </c>
      <c r="Z39" s="10">
        <v>36.04</v>
      </c>
      <c r="AA39" s="10">
        <v>36.42</v>
      </c>
      <c r="AB39" s="95">
        <v>14442200</v>
      </c>
      <c r="AC39" s="10">
        <v>36.42</v>
      </c>
      <c r="AD39" s="2">
        <f t="shared" si="0"/>
        <v>0.42000000000000171</v>
      </c>
      <c r="AE39" s="138">
        <f t="shared" si="1"/>
        <v>3.3057851239670644E-3</v>
      </c>
    </row>
    <row r="40" spans="1:31" x14ac:dyDescent="0.25">
      <c r="A40" s="381"/>
      <c r="B40" s="381"/>
      <c r="C40" s="381"/>
      <c r="D40" s="382"/>
      <c r="E40" s="382"/>
      <c r="F40" s="382"/>
      <c r="G40" s="381"/>
      <c r="H40" s="381"/>
      <c r="I40" s="381"/>
      <c r="J40" s="381"/>
      <c r="K40" s="381"/>
      <c r="L40" s="381"/>
      <c r="M40" s="381"/>
      <c r="W40" s="133">
        <v>42711</v>
      </c>
      <c r="X40" s="10">
        <v>35.18</v>
      </c>
      <c r="Y40" s="10">
        <v>36.54</v>
      </c>
      <c r="Z40" s="10">
        <v>35.090000000000003</v>
      </c>
      <c r="AA40" s="10">
        <v>36.299999999999997</v>
      </c>
      <c r="AB40" s="95">
        <v>26600700</v>
      </c>
      <c r="AC40" s="10">
        <v>36.299999999999997</v>
      </c>
      <c r="AD40" s="2">
        <f t="shared" si="0"/>
        <v>1.4499999999999957</v>
      </c>
      <c r="AE40" s="138">
        <f t="shared" si="1"/>
        <v>3.5072711719418281E-2</v>
      </c>
    </row>
    <row r="41" spans="1:31" ht="20.25" thickBot="1" x14ac:dyDescent="0.35">
      <c r="A41" s="381"/>
      <c r="B41" s="381"/>
      <c r="C41" s="381"/>
      <c r="D41" s="382"/>
      <c r="E41" s="382"/>
      <c r="F41" s="382"/>
      <c r="G41" s="381"/>
      <c r="H41" s="381"/>
      <c r="I41" s="381"/>
      <c r="J41" s="381"/>
      <c r="K41" s="381"/>
      <c r="L41" s="381"/>
      <c r="M41" s="381"/>
      <c r="O41" s="638" t="s">
        <v>78</v>
      </c>
      <c r="P41" s="638"/>
      <c r="W41" s="133">
        <v>42710</v>
      </c>
      <c r="X41" s="10">
        <v>35.090000000000003</v>
      </c>
      <c r="Y41" s="10">
        <v>35.159999999999997</v>
      </c>
      <c r="Z41" s="10">
        <v>34.909999999999997</v>
      </c>
      <c r="AA41" s="10">
        <v>35.07</v>
      </c>
      <c r="AB41" s="95">
        <v>11786700</v>
      </c>
      <c r="AC41" s="10">
        <v>35.07</v>
      </c>
      <c r="AD41" s="2">
        <f t="shared" si="0"/>
        <v>0.25</v>
      </c>
      <c r="AE41" s="138">
        <f t="shared" si="1"/>
        <v>3.7206639954208143E-3</v>
      </c>
    </row>
    <row r="42" spans="1:31" ht="21" thickTop="1" thickBot="1" x14ac:dyDescent="0.35">
      <c r="A42" s="381"/>
      <c r="B42" s="381"/>
      <c r="C42" s="381"/>
      <c r="D42" s="382"/>
      <c r="E42" s="382"/>
      <c r="F42" s="382"/>
      <c r="G42" s="381"/>
      <c r="H42" s="381"/>
      <c r="I42" s="381"/>
      <c r="J42" s="381"/>
      <c r="K42" s="381"/>
      <c r="L42" s="381"/>
      <c r="M42" s="381"/>
      <c r="O42" s="83">
        <v>1.1000000000000001</v>
      </c>
      <c r="P42" s="83">
        <f>O42*$Q$4</f>
        <v>39.963000000000001</v>
      </c>
      <c r="Q42" s="2"/>
      <c r="T42" s="91" t="s">
        <v>113</v>
      </c>
      <c r="W42" s="133">
        <v>42709</v>
      </c>
      <c r="X42" s="10">
        <v>35.35</v>
      </c>
      <c r="Y42" s="10">
        <v>35.46</v>
      </c>
      <c r="Z42" s="10">
        <v>34.909999999999997</v>
      </c>
      <c r="AA42" s="10">
        <v>34.94</v>
      </c>
      <c r="AB42" s="95">
        <v>12440400</v>
      </c>
      <c r="AC42" s="10">
        <v>34.94</v>
      </c>
      <c r="AD42" s="2">
        <f t="shared" si="0"/>
        <v>0.55000000000000426</v>
      </c>
      <c r="AE42" s="138" t="e">
        <f t="shared" si="1"/>
        <v>#DIV/0!</v>
      </c>
    </row>
    <row r="43" spans="1:31" ht="15.75" thickTop="1" x14ac:dyDescent="0.25">
      <c r="A43" s="381"/>
      <c r="B43" s="381"/>
      <c r="C43" s="381"/>
      <c r="D43" s="382"/>
      <c r="E43" s="382"/>
      <c r="F43" s="382"/>
      <c r="G43" s="381"/>
      <c r="H43" s="381"/>
      <c r="I43" s="381"/>
      <c r="J43" s="381"/>
      <c r="K43" s="381"/>
      <c r="L43" s="381"/>
      <c r="M43" s="381"/>
      <c r="O43" s="83">
        <v>1.0900000000000001</v>
      </c>
      <c r="P43" s="83">
        <f t="shared" ref="P43:P62" si="2">O43*$Q$4</f>
        <v>39.599699999999999</v>
      </c>
      <c r="Q43" s="2"/>
      <c r="T43" s="161" t="s">
        <v>98</v>
      </c>
      <c r="U43" s="161">
        <v>36.14</v>
      </c>
      <c r="W43" s="133">
        <v>42709</v>
      </c>
      <c r="X43" s="10" t="s">
        <v>188</v>
      </c>
      <c r="Y43" s="10"/>
      <c r="Z43" s="10"/>
      <c r="AA43" s="10"/>
      <c r="AB43" s="95"/>
      <c r="AC43" s="10"/>
      <c r="AD43" s="2">
        <f t="shared" si="0"/>
        <v>0</v>
      </c>
      <c r="AE43" s="138">
        <f t="shared" si="1"/>
        <v>-1</v>
      </c>
    </row>
    <row r="44" spans="1:31" x14ac:dyDescent="0.25">
      <c r="A44" s="381"/>
      <c r="B44" s="381"/>
      <c r="C44" s="381"/>
      <c r="D44" s="382"/>
      <c r="E44" s="382"/>
      <c r="F44" s="382"/>
      <c r="G44" s="381"/>
      <c r="H44" s="381"/>
      <c r="I44" s="381"/>
      <c r="J44" s="381"/>
      <c r="K44" s="381"/>
      <c r="L44" s="381"/>
      <c r="M44" s="381"/>
      <c r="O44" s="83">
        <v>1.08</v>
      </c>
      <c r="P44" s="83">
        <f t="shared" si="2"/>
        <v>39.236400000000003</v>
      </c>
      <c r="Q44" s="2"/>
      <c r="T44" s="10" t="s">
        <v>99</v>
      </c>
      <c r="U44" s="10">
        <v>36.07</v>
      </c>
      <c r="W44" s="133">
        <v>42706</v>
      </c>
      <c r="X44" s="10">
        <v>36.25</v>
      </c>
      <c r="Y44" s="10">
        <v>36.299999999999997</v>
      </c>
      <c r="Z44" s="10">
        <v>35.299999999999997</v>
      </c>
      <c r="AA44" s="10">
        <v>35.409999999999997</v>
      </c>
      <c r="AB44" s="95">
        <v>22753400</v>
      </c>
      <c r="AC44" s="10">
        <v>35.03</v>
      </c>
      <c r="AD44" s="2">
        <f t="shared" si="0"/>
        <v>1</v>
      </c>
      <c r="AE44" s="138">
        <f t="shared" si="1"/>
        <v>-2.802441731409544E-2</v>
      </c>
    </row>
    <row r="45" spans="1:31" x14ac:dyDescent="0.25">
      <c r="A45" s="381"/>
      <c r="B45" s="381"/>
      <c r="C45" s="381"/>
      <c r="D45" s="382"/>
      <c r="E45" s="382"/>
      <c r="F45" s="382"/>
      <c r="G45" s="381"/>
      <c r="H45" s="381"/>
      <c r="I45" s="381"/>
      <c r="J45" s="381"/>
      <c r="K45" s="381"/>
      <c r="L45" s="381"/>
      <c r="M45" s="381"/>
      <c r="O45" s="83">
        <v>1.07</v>
      </c>
      <c r="P45" s="83">
        <f t="shared" si="2"/>
        <v>38.873100000000001</v>
      </c>
      <c r="Q45" s="2"/>
      <c r="T45" s="10" t="s">
        <v>100</v>
      </c>
      <c r="U45" s="10" t="s">
        <v>129</v>
      </c>
      <c r="W45" s="133">
        <v>42705</v>
      </c>
      <c r="X45" s="10">
        <v>34.81</v>
      </c>
      <c r="Y45" s="10">
        <v>36.659999999999997</v>
      </c>
      <c r="Z45" s="10">
        <v>34.79</v>
      </c>
      <c r="AA45" s="10">
        <v>36.43</v>
      </c>
      <c r="AB45" s="95">
        <v>37092300</v>
      </c>
      <c r="AC45" s="10">
        <v>36.04</v>
      </c>
      <c r="AD45" s="2">
        <f t="shared" si="0"/>
        <v>1.8699999999999974</v>
      </c>
      <c r="AE45" s="138">
        <f t="shared" si="1"/>
        <v>5.5035128805620781E-2</v>
      </c>
    </row>
    <row r="46" spans="1:31" x14ac:dyDescent="0.25">
      <c r="A46" s="381"/>
      <c r="B46" s="381"/>
      <c r="C46" s="381"/>
      <c r="D46" s="382"/>
      <c r="E46" s="382"/>
      <c r="F46" s="382"/>
      <c r="G46" s="381"/>
      <c r="H46" s="381"/>
      <c r="I46" s="381"/>
      <c r="J46" s="381"/>
      <c r="K46" s="381"/>
      <c r="L46" s="381"/>
      <c r="M46" s="381"/>
      <c r="O46" s="83">
        <v>1.06</v>
      </c>
      <c r="P46" s="83">
        <f t="shared" si="2"/>
        <v>38.509799999999998</v>
      </c>
      <c r="Q46" s="2"/>
      <c r="T46" s="10" t="s">
        <v>101</v>
      </c>
      <c r="U46" s="10" t="s">
        <v>129</v>
      </c>
      <c r="W46" s="133">
        <v>42704</v>
      </c>
      <c r="X46" s="10">
        <v>34.700000000000003</v>
      </c>
      <c r="Y46" s="10">
        <v>34.979999999999997</v>
      </c>
      <c r="Z46" s="10">
        <v>34.450000000000003</v>
      </c>
      <c r="AA46" s="10">
        <v>34.53</v>
      </c>
      <c r="AB46" s="95">
        <v>15681700</v>
      </c>
      <c r="AC46" s="10">
        <v>34.159999999999997</v>
      </c>
      <c r="AD46" s="2">
        <f t="shared" si="0"/>
        <v>0.52999999999999403</v>
      </c>
      <c r="AE46" s="138">
        <f t="shared" si="1"/>
        <v>-1.1695906432750425E-3</v>
      </c>
    </row>
    <row r="47" spans="1:31" x14ac:dyDescent="0.25">
      <c r="A47" s="22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3">
        <v>1.05</v>
      </c>
      <c r="P47" s="83">
        <f t="shared" si="2"/>
        <v>38.146500000000003</v>
      </c>
      <c r="Q47" s="2"/>
      <c r="T47" s="10" t="s">
        <v>102</v>
      </c>
      <c r="U47" s="10">
        <v>38.450000000000003</v>
      </c>
      <c r="W47" s="133">
        <v>42703</v>
      </c>
      <c r="X47" s="10">
        <v>34.03</v>
      </c>
      <c r="Y47" s="10">
        <v>34.58</v>
      </c>
      <c r="Z47" s="10">
        <v>33.86</v>
      </c>
      <c r="AA47" s="10">
        <v>34.57</v>
      </c>
      <c r="AB47" s="95">
        <v>12610000</v>
      </c>
      <c r="AC47" s="10">
        <v>34.200000000000003</v>
      </c>
      <c r="AD47" s="2">
        <f t="shared" si="0"/>
        <v>0.71999999999999886</v>
      </c>
      <c r="AE47" s="138">
        <f t="shared" si="1"/>
        <v>1.5439429928741255E-2</v>
      </c>
    </row>
    <row r="48" spans="1:31" x14ac:dyDescent="0.25">
      <c r="O48" s="83">
        <v>1.04</v>
      </c>
      <c r="P48" s="83">
        <f t="shared" si="2"/>
        <v>37.783200000000001</v>
      </c>
      <c r="Q48" s="2"/>
      <c r="T48" s="10" t="s">
        <v>103</v>
      </c>
      <c r="U48" s="10">
        <v>1.67605</v>
      </c>
      <c r="W48" s="133">
        <v>42702</v>
      </c>
      <c r="X48" s="10">
        <v>34.35</v>
      </c>
      <c r="Y48" s="10">
        <v>34.380000000000003</v>
      </c>
      <c r="Z48" s="10">
        <v>33.96</v>
      </c>
      <c r="AA48" s="10">
        <v>34.049999999999997</v>
      </c>
      <c r="AB48" s="95">
        <v>11516600</v>
      </c>
      <c r="AC48" s="10">
        <v>33.68</v>
      </c>
      <c r="AD48" s="2">
        <f t="shared" si="0"/>
        <v>0.42000000000000171</v>
      </c>
      <c r="AE48" s="138">
        <f t="shared" si="1"/>
        <v>-5.9031877213696626E-3</v>
      </c>
    </row>
    <row r="49" spans="15:31" x14ac:dyDescent="0.25">
      <c r="O49" s="83">
        <v>1.03</v>
      </c>
      <c r="P49" s="83">
        <f t="shared" si="2"/>
        <v>37.419899999999998</v>
      </c>
      <c r="Q49" s="2"/>
      <c r="T49" s="10" t="s">
        <v>104</v>
      </c>
      <c r="U49" s="10" t="s">
        <v>395</v>
      </c>
      <c r="W49" s="133">
        <v>42699</v>
      </c>
      <c r="X49" s="10">
        <v>34</v>
      </c>
      <c r="Y49" s="10">
        <v>34.32</v>
      </c>
      <c r="Z49" s="10">
        <v>33.93</v>
      </c>
      <c r="AA49" s="10">
        <v>34.25</v>
      </c>
      <c r="AB49" s="95">
        <v>5317700</v>
      </c>
      <c r="AC49" s="10">
        <v>33.880000000000003</v>
      </c>
      <c r="AD49" s="2">
        <f t="shared" si="0"/>
        <v>0.39000000000000057</v>
      </c>
      <c r="AE49" s="138">
        <f t="shared" si="1"/>
        <v>1.1343283582089692E-2</v>
      </c>
    </row>
    <row r="50" spans="15:31" x14ac:dyDescent="0.25">
      <c r="O50" s="83">
        <v>1.02</v>
      </c>
      <c r="P50" s="83">
        <f t="shared" si="2"/>
        <v>37.056599999999996</v>
      </c>
      <c r="Q50" s="2"/>
      <c r="T50" s="10"/>
      <c r="U50" s="10"/>
      <c r="W50" s="133">
        <v>42697</v>
      </c>
      <c r="X50" s="10">
        <v>33.74</v>
      </c>
      <c r="Y50" s="10">
        <v>33.99</v>
      </c>
      <c r="Z50" s="10">
        <v>33.69</v>
      </c>
      <c r="AA50" s="10">
        <v>33.86</v>
      </c>
      <c r="AB50" s="95">
        <v>8708800</v>
      </c>
      <c r="AC50" s="10">
        <v>33.5</v>
      </c>
      <c r="AD50" s="2">
        <f t="shared" si="0"/>
        <v>0.30000000000000426</v>
      </c>
      <c r="AE50" s="138">
        <f t="shared" si="1"/>
        <v>1.494768310911665E-3</v>
      </c>
    </row>
    <row r="51" spans="15:31" x14ac:dyDescent="0.25">
      <c r="O51" s="83">
        <v>1.01</v>
      </c>
      <c r="P51" s="83">
        <f t="shared" si="2"/>
        <v>36.693300000000001</v>
      </c>
      <c r="Q51" s="2"/>
      <c r="T51" s="10" t="s">
        <v>105</v>
      </c>
      <c r="U51" s="10" t="s">
        <v>671</v>
      </c>
      <c r="W51" s="133">
        <v>42696</v>
      </c>
      <c r="X51" s="10">
        <v>32.82</v>
      </c>
      <c r="Y51" s="10">
        <v>33.82</v>
      </c>
      <c r="Z51" s="10">
        <v>32.770000000000003</v>
      </c>
      <c r="AA51" s="10">
        <v>33.81</v>
      </c>
      <c r="AB51" s="95">
        <v>12283800</v>
      </c>
      <c r="AC51" s="10">
        <v>33.450000000000003</v>
      </c>
      <c r="AD51" s="2">
        <f t="shared" si="0"/>
        <v>1.0499999999999972</v>
      </c>
      <c r="AE51" s="138">
        <f t="shared" si="1"/>
        <v>2.4188609920392068E-2</v>
      </c>
    </row>
    <row r="52" spans="15:31" x14ac:dyDescent="0.25">
      <c r="O52" s="83">
        <v>1</v>
      </c>
      <c r="P52" s="83">
        <f t="shared" si="2"/>
        <v>36.33</v>
      </c>
      <c r="Q52" s="2"/>
      <c r="T52" s="10" t="s">
        <v>106</v>
      </c>
      <c r="U52" s="10" t="s">
        <v>455</v>
      </c>
      <c r="W52" s="133">
        <v>42695</v>
      </c>
      <c r="X52" s="10">
        <v>33.229999999999997</v>
      </c>
      <c r="Y52" s="10">
        <v>33.28</v>
      </c>
      <c r="Z52" s="10">
        <v>32.979999999999997</v>
      </c>
      <c r="AA52" s="10">
        <v>33.01</v>
      </c>
      <c r="AB52" s="95">
        <v>11667100</v>
      </c>
      <c r="AC52" s="10">
        <v>32.659999999999997</v>
      </c>
      <c r="AD52" s="2">
        <f t="shared" si="0"/>
        <v>0.30000000000000426</v>
      </c>
      <c r="AE52" s="138">
        <f t="shared" si="1"/>
        <v>3.0627871362942649E-4</v>
      </c>
    </row>
    <row r="53" spans="15:31" x14ac:dyDescent="0.25">
      <c r="O53" s="83">
        <v>0.99</v>
      </c>
      <c r="P53" s="83">
        <f t="shared" si="2"/>
        <v>35.966699999999996</v>
      </c>
      <c r="Q53" s="2"/>
      <c r="T53" s="10" t="s">
        <v>107</v>
      </c>
      <c r="U53" s="95">
        <v>11893731</v>
      </c>
      <c r="W53" s="133">
        <v>42692</v>
      </c>
      <c r="X53" s="10">
        <v>33.4</v>
      </c>
      <c r="Y53" s="10">
        <v>33.42</v>
      </c>
      <c r="Z53" s="10">
        <v>32.96</v>
      </c>
      <c r="AA53" s="10">
        <v>33</v>
      </c>
      <c r="AB53" s="95">
        <v>8617200</v>
      </c>
      <c r="AC53" s="10">
        <v>32.65</v>
      </c>
      <c r="AD53" s="2">
        <f t="shared" si="0"/>
        <v>0.46000000000000085</v>
      </c>
      <c r="AE53" s="138">
        <f t="shared" si="1"/>
        <v>-1.2401693889897314E-2</v>
      </c>
    </row>
    <row r="54" spans="15:31" x14ac:dyDescent="0.25">
      <c r="O54" s="83">
        <v>0.98</v>
      </c>
      <c r="P54" s="83">
        <f t="shared" si="2"/>
        <v>35.603400000000001</v>
      </c>
      <c r="Q54" s="2"/>
      <c r="T54" s="10" t="s">
        <v>110</v>
      </c>
      <c r="U54" s="95">
        <v>14696200</v>
      </c>
      <c r="W54" s="133">
        <v>42691</v>
      </c>
      <c r="X54" s="10">
        <v>32.97</v>
      </c>
      <c r="Y54" s="10">
        <v>33.44</v>
      </c>
      <c r="Z54" s="10">
        <v>32.75</v>
      </c>
      <c r="AA54" s="10">
        <v>33.42</v>
      </c>
      <c r="AB54" s="95">
        <v>11728600</v>
      </c>
      <c r="AC54" s="10">
        <v>33.06</v>
      </c>
      <c r="AD54" s="2">
        <f t="shared" si="0"/>
        <v>0.68999999999999773</v>
      </c>
      <c r="AE54" s="138">
        <f t="shared" si="1"/>
        <v>5.7803468208093012E-3</v>
      </c>
    </row>
    <row r="55" spans="15:31" x14ac:dyDescent="0.25">
      <c r="O55" s="83">
        <v>0.97</v>
      </c>
      <c r="P55" s="83">
        <f t="shared" si="2"/>
        <v>35.240099999999998</v>
      </c>
      <c r="T55" s="10" t="s">
        <v>108</v>
      </c>
      <c r="U55" s="10" t="s">
        <v>672</v>
      </c>
      <c r="W55" s="133">
        <v>42690</v>
      </c>
      <c r="X55" s="10">
        <v>33.36</v>
      </c>
      <c r="Y55" s="10">
        <v>33.36</v>
      </c>
      <c r="Z55" s="10">
        <v>33.07</v>
      </c>
      <c r="AA55" s="10">
        <v>33.229999999999997</v>
      </c>
      <c r="AB55" s="95">
        <v>8821300</v>
      </c>
      <c r="AC55" s="10">
        <v>32.869999999999997</v>
      </c>
      <c r="AD55" s="2">
        <f t="shared" si="0"/>
        <v>0.28999999999999915</v>
      </c>
      <c r="AE55" s="138">
        <f t="shared" si="1"/>
        <v>-6.0477774417901919E-3</v>
      </c>
    </row>
    <row r="56" spans="15:31" x14ac:dyDescent="0.25">
      <c r="O56" s="83">
        <v>0.96</v>
      </c>
      <c r="P56" s="83">
        <f t="shared" si="2"/>
        <v>34.876799999999996</v>
      </c>
      <c r="T56" s="10" t="s">
        <v>111</v>
      </c>
      <c r="U56" s="10">
        <v>4.08</v>
      </c>
      <c r="W56" s="133">
        <v>42689</v>
      </c>
      <c r="X56" s="10">
        <v>33.299999999999997</v>
      </c>
      <c r="Y56" s="10">
        <v>33.6</v>
      </c>
      <c r="Z56" s="10">
        <v>33.1</v>
      </c>
      <c r="AA56" s="10">
        <v>33.43</v>
      </c>
      <c r="AB56" s="95">
        <v>10906600</v>
      </c>
      <c r="AC56" s="10">
        <v>33.07</v>
      </c>
      <c r="AD56" s="2">
        <f t="shared" si="0"/>
        <v>0.5</v>
      </c>
      <c r="AE56" s="138">
        <f t="shared" si="1"/>
        <v>4.5565006075334313E-3</v>
      </c>
    </row>
    <row r="57" spans="15:31" x14ac:dyDescent="0.25">
      <c r="O57" s="83">
        <v>0.95</v>
      </c>
      <c r="P57" s="83">
        <f t="shared" si="2"/>
        <v>34.513499999999993</v>
      </c>
      <c r="T57" s="10" t="s">
        <v>112</v>
      </c>
      <c r="U57" s="10">
        <v>8.76</v>
      </c>
      <c r="W57" s="133">
        <v>42688</v>
      </c>
      <c r="X57" s="10">
        <v>33.9</v>
      </c>
      <c r="Y57" s="10">
        <v>34.42</v>
      </c>
      <c r="Z57" s="10">
        <v>33.049999999999997</v>
      </c>
      <c r="AA57" s="10">
        <v>33.28</v>
      </c>
      <c r="AB57" s="95">
        <v>20214700</v>
      </c>
      <c r="AC57" s="10">
        <v>32.92</v>
      </c>
      <c r="AD57" s="2">
        <f t="shared" si="0"/>
        <v>1.3700000000000045</v>
      </c>
      <c r="AE57" s="138">
        <f t="shared" si="1"/>
        <v>-2.1693907875185658E-2</v>
      </c>
    </row>
    <row r="58" spans="15:31" x14ac:dyDescent="0.25">
      <c r="O58" s="83">
        <v>0.94</v>
      </c>
      <c r="P58" s="83">
        <f t="shared" si="2"/>
        <v>34.150199999999998</v>
      </c>
      <c r="T58" s="10" t="s">
        <v>109</v>
      </c>
      <c r="U58" s="10" t="s">
        <v>673</v>
      </c>
      <c r="W58" s="133">
        <v>42685</v>
      </c>
      <c r="X58" s="10">
        <v>32.49</v>
      </c>
      <c r="Y58" s="10">
        <v>34.28</v>
      </c>
      <c r="Z58" s="10">
        <v>32.380000000000003</v>
      </c>
      <c r="AA58" s="10">
        <v>34.020000000000003</v>
      </c>
      <c r="AB58" s="95">
        <v>32896900</v>
      </c>
      <c r="AC58" s="10">
        <v>33.65</v>
      </c>
      <c r="AD58" s="2">
        <f t="shared" si="0"/>
        <v>1.8999999999999986</v>
      </c>
      <c r="AE58" s="138">
        <f t="shared" si="1"/>
        <v>3.922174181593574E-2</v>
      </c>
    </row>
    <row r="59" spans="15:31" x14ac:dyDescent="0.25">
      <c r="O59" s="83">
        <v>0.93</v>
      </c>
      <c r="P59" s="83">
        <f t="shared" si="2"/>
        <v>33.786900000000003</v>
      </c>
      <c r="W59" s="133">
        <v>42684</v>
      </c>
      <c r="X59" s="10">
        <v>30.93</v>
      </c>
      <c r="Y59" s="10">
        <v>32.83</v>
      </c>
      <c r="Z59" s="10">
        <v>30.91</v>
      </c>
      <c r="AA59" s="10">
        <v>32.729999999999997</v>
      </c>
      <c r="AB59" s="95">
        <v>27811100</v>
      </c>
      <c r="AC59" s="10">
        <v>32.380000000000003</v>
      </c>
      <c r="AD59" s="2">
        <f t="shared" si="0"/>
        <v>1.9199999999999982</v>
      </c>
      <c r="AE59" s="138">
        <f t="shared" si="1"/>
        <v>5.7133529219719259E-2</v>
      </c>
    </row>
    <row r="60" spans="15:31" x14ac:dyDescent="0.25">
      <c r="O60" s="83">
        <v>0.92</v>
      </c>
      <c r="P60" s="83">
        <f t="shared" si="2"/>
        <v>33.4236</v>
      </c>
      <c r="W60" s="133">
        <v>42683</v>
      </c>
      <c r="X60" s="10">
        <v>30.91</v>
      </c>
      <c r="Y60" s="10">
        <v>31.15</v>
      </c>
      <c r="Z60" s="10">
        <v>30.21</v>
      </c>
      <c r="AA60" s="10">
        <v>30.96</v>
      </c>
      <c r="AB60" s="95">
        <v>38594400</v>
      </c>
      <c r="AC60" s="10">
        <v>30.63</v>
      </c>
      <c r="AD60" s="2">
        <f t="shared" si="0"/>
        <v>0.93999999999999773</v>
      </c>
      <c r="AE60" s="138">
        <f t="shared" si="1"/>
        <v>-2.4211532335138619E-2</v>
      </c>
    </row>
    <row r="61" spans="15:31" x14ac:dyDescent="0.25">
      <c r="O61" s="83">
        <v>0.91</v>
      </c>
      <c r="P61" s="83">
        <f t="shared" si="2"/>
        <v>33.060299999999998</v>
      </c>
      <c r="W61" s="133">
        <v>42682</v>
      </c>
      <c r="X61" s="10">
        <v>31.9</v>
      </c>
      <c r="Y61" s="10">
        <v>31.97</v>
      </c>
      <c r="Z61" s="10">
        <v>31.41</v>
      </c>
      <c r="AA61" s="10">
        <v>31.73</v>
      </c>
      <c r="AB61" s="95">
        <v>10357100</v>
      </c>
      <c r="AC61" s="10">
        <v>31.39</v>
      </c>
      <c r="AD61" s="2">
        <f t="shared" si="0"/>
        <v>0.55999999999999872</v>
      </c>
      <c r="AE61" s="138">
        <f t="shared" si="1"/>
        <v>-9.1540404040403311E-3</v>
      </c>
    </row>
    <row r="62" spans="15:31" x14ac:dyDescent="0.25">
      <c r="O62" s="83">
        <v>0.9</v>
      </c>
      <c r="P62" s="83">
        <f t="shared" si="2"/>
        <v>32.697000000000003</v>
      </c>
      <c r="W62" s="133">
        <v>42681</v>
      </c>
      <c r="X62" s="10">
        <v>31.58</v>
      </c>
      <c r="Y62" s="10">
        <v>32.15</v>
      </c>
      <c r="Z62" s="10">
        <v>31.54</v>
      </c>
      <c r="AA62" s="10">
        <v>32.020000000000003</v>
      </c>
      <c r="AB62" s="95">
        <v>13560200</v>
      </c>
      <c r="AC62" s="10">
        <v>31.68</v>
      </c>
      <c r="AD62" s="2">
        <f t="shared" si="0"/>
        <v>0.60999999999999943</v>
      </c>
      <c r="AE62" s="138">
        <f t="shared" si="1"/>
        <v>2.7570548167369591E-2</v>
      </c>
    </row>
    <row r="63" spans="15:31" x14ac:dyDescent="0.25">
      <c r="W63" s="133">
        <v>42678</v>
      </c>
      <c r="X63" s="10">
        <v>31</v>
      </c>
      <c r="Y63" s="10">
        <v>31.54</v>
      </c>
      <c r="Z63" s="10">
        <v>30.94</v>
      </c>
      <c r="AA63" s="10">
        <v>31.16</v>
      </c>
      <c r="AB63" s="95">
        <v>12770800</v>
      </c>
      <c r="AC63" s="10">
        <v>30.83</v>
      </c>
      <c r="AD63" s="2">
        <f t="shared" si="0"/>
        <v>0.59999999999999787</v>
      </c>
      <c r="AE63" s="138">
        <f t="shared" si="1"/>
        <v>2.927781392322748E-3</v>
      </c>
    </row>
    <row r="64" spans="15:31" x14ac:dyDescent="0.25">
      <c r="W64" s="133">
        <v>42677</v>
      </c>
      <c r="X64" s="10">
        <v>31.45</v>
      </c>
      <c r="Y64" s="10">
        <v>31.64</v>
      </c>
      <c r="Z64" s="10">
        <v>30.95</v>
      </c>
      <c r="AA64" s="10">
        <v>31.07</v>
      </c>
      <c r="AB64" s="95">
        <v>13720100</v>
      </c>
      <c r="AC64" s="10">
        <v>30.74</v>
      </c>
      <c r="AD64" s="2">
        <f t="shared" si="0"/>
        <v>0.69000000000000128</v>
      </c>
      <c r="AE64" s="138">
        <f t="shared" si="1"/>
        <v>-1.1893281902925157E-2</v>
      </c>
    </row>
    <row r="65" spans="23:31" x14ac:dyDescent="0.25">
      <c r="W65" s="133">
        <v>42676</v>
      </c>
      <c r="X65" s="10">
        <v>31.33</v>
      </c>
      <c r="Y65" s="10">
        <v>31.72</v>
      </c>
      <c r="Z65" s="10">
        <v>31.31</v>
      </c>
      <c r="AA65" s="10">
        <v>31.45</v>
      </c>
      <c r="AB65" s="95">
        <v>11763100</v>
      </c>
      <c r="AC65" s="10">
        <v>31.11</v>
      </c>
      <c r="AD65" s="2">
        <f t="shared" si="0"/>
        <v>0.41000000000000014</v>
      </c>
      <c r="AE65" s="138">
        <f t="shared" si="1"/>
        <v>-9.633911368015502E-4</v>
      </c>
    </row>
    <row r="66" spans="23:31" x14ac:dyDescent="0.25">
      <c r="W66" s="133">
        <v>42675</v>
      </c>
      <c r="X66" s="10">
        <v>31.7</v>
      </c>
      <c r="Y66" s="10">
        <v>32.08</v>
      </c>
      <c r="Z66" s="10">
        <v>31.19</v>
      </c>
      <c r="AA66" s="10">
        <v>31.48</v>
      </c>
      <c r="AB66" s="95">
        <v>14668300</v>
      </c>
      <c r="AC66" s="10">
        <v>31.14</v>
      </c>
      <c r="AD66" s="2">
        <f t="shared" si="0"/>
        <v>0.88999999999999702</v>
      </c>
      <c r="AE66" s="138">
        <f t="shared" si="1"/>
        <v>-3.8387715930902067E-3</v>
      </c>
    </row>
    <row r="67" spans="23:31" x14ac:dyDescent="0.25">
      <c r="W67" s="133">
        <v>42674</v>
      </c>
      <c r="X67" s="10">
        <v>31.42</v>
      </c>
      <c r="Y67" s="10">
        <v>31.65</v>
      </c>
      <c r="Z67" s="10">
        <v>31.35</v>
      </c>
      <c r="AA67" s="10">
        <v>31.6</v>
      </c>
      <c r="AB67" s="95">
        <v>7954100</v>
      </c>
      <c r="AC67" s="10">
        <v>31.26</v>
      </c>
      <c r="AD67" s="2">
        <f>Y67-Z67</f>
        <v>0.29999999999999716</v>
      </c>
      <c r="AE67" s="138">
        <f>AC67/AC68-1</f>
        <v>9.0380890897352462E-3</v>
      </c>
    </row>
    <row r="68" spans="23:31" x14ac:dyDescent="0.25">
      <c r="W68" s="133">
        <v>42671</v>
      </c>
      <c r="X68" s="10">
        <v>31.33</v>
      </c>
      <c r="Y68" s="10">
        <v>31.76</v>
      </c>
      <c r="Z68" s="10">
        <v>31.22</v>
      </c>
      <c r="AA68" s="10">
        <v>31.32</v>
      </c>
      <c r="AB68" s="95">
        <v>10571600</v>
      </c>
      <c r="AC68" s="10">
        <v>30.98</v>
      </c>
      <c r="AD68" s="2">
        <f>Y68-Z68</f>
        <v>0.5400000000000027</v>
      </c>
      <c r="AE68" s="138" t="e">
        <f>AC68/AC69-1</f>
        <v>#DIV/0!</v>
      </c>
    </row>
    <row r="69" spans="23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49" priority="7">
      <formula>F22&gt;0</formula>
    </cfRule>
    <cfRule type="expression" dxfId="48" priority="8">
      <formula>F22&lt;0</formula>
    </cfRule>
  </conditionalFormatting>
  <conditionalFormatting sqref="H22:H26">
    <cfRule type="expression" dxfId="47" priority="5">
      <formula>H22&gt;0</formula>
    </cfRule>
    <cfRule type="expression" dxfId="46" priority="6">
      <formula>H22&lt;0</formula>
    </cfRule>
  </conditionalFormatting>
  <conditionalFormatting sqref="Q8">
    <cfRule type="expression" dxfId="45" priority="1">
      <formula>Q8&gt;0</formula>
    </cfRule>
    <cfRule type="expression" dxfId="44" priority="2">
      <formula>Q8&lt;0</formula>
    </cfRule>
  </conditionalFormatting>
  <conditionalFormatting sqref="Q7">
    <cfRule type="expression" dxfId="43" priority="3">
      <formula>Q7&gt;0</formula>
    </cfRule>
    <cfRule type="expression" dxfId="42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18" max="18" width="10.7109375" bestFit="1" customWidth="1"/>
    <col min="20" max="20" width="18.5703125" bestFit="1" customWidth="1"/>
    <col min="21" max="21" width="36" style="86" bestFit="1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1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4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  <c r="AI1" s="11" t="s">
        <v>156</v>
      </c>
      <c r="AJ1" s="11" t="s">
        <v>157</v>
      </c>
      <c r="AK1" s="11" t="s">
        <v>158</v>
      </c>
      <c r="AL1" s="11" t="s">
        <v>159</v>
      </c>
      <c r="AO1" s="11" t="s">
        <v>160</v>
      </c>
      <c r="AP1" s="11" t="s">
        <v>59</v>
      </c>
      <c r="AQ1" s="11" t="s">
        <v>162</v>
      </c>
    </row>
    <row r="2" spans="1:43" x14ac:dyDescent="0.25">
      <c r="A2" s="6" t="s">
        <v>0</v>
      </c>
      <c r="B2" s="459">
        <v>42702</v>
      </c>
      <c r="C2" s="7">
        <v>20</v>
      </c>
      <c r="D2" s="44">
        <v>139.88</v>
      </c>
      <c r="E2" s="44">
        <v>0</v>
      </c>
      <c r="F2" s="44">
        <f>C2*D2 + E2</f>
        <v>2797.6</v>
      </c>
      <c r="G2" s="459">
        <v>42766</v>
      </c>
      <c r="H2" s="7">
        <v>10</v>
      </c>
      <c r="I2" s="44">
        <v>149.08000000000001</v>
      </c>
      <c r="J2" s="44">
        <v>0.03</v>
      </c>
      <c r="K2" s="44">
        <f>H2*I2 - J2</f>
        <v>1490.7700000000002</v>
      </c>
      <c r="L2" s="74">
        <v>42753</v>
      </c>
      <c r="M2" s="2">
        <v>3</v>
      </c>
      <c r="O2" s="11" t="s">
        <v>57</v>
      </c>
      <c r="Q2">
        <f>C18-H18</f>
        <v>10</v>
      </c>
      <c r="T2" s="1">
        <v>42305</v>
      </c>
      <c r="U2" s="86" t="s">
        <v>142</v>
      </c>
      <c r="W2" s="133">
        <v>42768</v>
      </c>
      <c r="X2" s="10">
        <v>152.41</v>
      </c>
      <c r="Y2" s="10">
        <v>152.41</v>
      </c>
      <c r="Z2" s="10">
        <v>150.22999999999999</v>
      </c>
      <c r="AA2" s="10">
        <v>151.66999999999999</v>
      </c>
      <c r="AB2" s="95">
        <v>1751200</v>
      </c>
      <c r="AC2" s="10">
        <v>151.66999999999999</v>
      </c>
      <c r="AD2" s="2"/>
      <c r="AE2" s="138"/>
      <c r="AP2" t="s">
        <v>161</v>
      </c>
    </row>
    <row r="3" spans="1:43" x14ac:dyDescent="0.25">
      <c r="A3" s="23" t="s">
        <v>71</v>
      </c>
      <c r="B3" s="503">
        <v>42767</v>
      </c>
      <c r="C3" s="4">
        <v>10</v>
      </c>
      <c r="D3" s="3">
        <v>152.69999999999999</v>
      </c>
      <c r="E3" s="3">
        <v>0</v>
      </c>
      <c r="F3" s="3">
        <f>C3*D3 + E3</f>
        <v>1527</v>
      </c>
      <c r="G3" s="459">
        <v>42767</v>
      </c>
      <c r="H3" s="82">
        <v>10</v>
      </c>
      <c r="I3" s="44">
        <v>154.6</v>
      </c>
      <c r="J3" s="44">
        <v>0.03</v>
      </c>
      <c r="K3" s="44">
        <f>H3*I3 - J3</f>
        <v>1545.97</v>
      </c>
      <c r="L3" s="74"/>
      <c r="M3" s="2"/>
      <c r="O3" s="11" t="s">
        <v>58</v>
      </c>
      <c r="Q3" s="230">
        <f>IF(Q2=0, Q4, (F18-K18-M18)/Q2)</f>
        <v>128.48600000000002</v>
      </c>
      <c r="W3" s="133">
        <v>42767</v>
      </c>
      <c r="X3" s="10">
        <v>152.27000000000001</v>
      </c>
      <c r="Y3" s="10">
        <v>155.1</v>
      </c>
      <c r="Z3" s="10">
        <v>151.47999999999999</v>
      </c>
      <c r="AA3" s="10">
        <v>152.94</v>
      </c>
      <c r="AB3" s="95">
        <v>3601900</v>
      </c>
      <c r="AC3" s="10">
        <v>152.94</v>
      </c>
      <c r="AD3" s="2"/>
      <c r="AE3" s="138"/>
      <c r="AI3" t="s">
        <v>169</v>
      </c>
      <c r="AJ3">
        <v>90</v>
      </c>
      <c r="AK3">
        <v>28.4</v>
      </c>
      <c r="AL3" s="234">
        <v>2556</v>
      </c>
      <c r="AO3" s="234">
        <v>2894.4</v>
      </c>
      <c r="AP3">
        <v>338.4</v>
      </c>
      <c r="AQ3">
        <v>13.24</v>
      </c>
    </row>
    <row r="4" spans="1:43" x14ac:dyDescent="0.25">
      <c r="B4" s="74"/>
      <c r="C4" s="4"/>
      <c r="D4" s="3"/>
      <c r="E4" s="3"/>
      <c r="F4" s="3"/>
      <c r="G4" s="74"/>
      <c r="H4" s="185"/>
      <c r="I4" s="4"/>
      <c r="J4" s="3"/>
      <c r="K4" s="4"/>
      <c r="L4" s="4"/>
      <c r="O4" s="11" t="s">
        <v>66</v>
      </c>
      <c r="Q4" s="55">
        <v>151.43</v>
      </c>
      <c r="R4" s="505">
        <v>-1.6000000000000001E-3</v>
      </c>
      <c r="W4" s="133">
        <v>42766</v>
      </c>
      <c r="X4" s="10">
        <v>146.65</v>
      </c>
      <c r="Y4" s="10">
        <v>152.5</v>
      </c>
      <c r="Z4" s="10">
        <v>146.08000000000001</v>
      </c>
      <c r="AA4" s="10">
        <v>152.38999999999999</v>
      </c>
      <c r="AB4" s="95">
        <v>5329200</v>
      </c>
      <c r="AC4" s="10">
        <v>152.38999999999999</v>
      </c>
      <c r="AD4" s="2"/>
      <c r="AE4" s="138"/>
    </row>
    <row r="5" spans="1:43" x14ac:dyDescent="0.25">
      <c r="B5" s="74"/>
      <c r="C5" s="4"/>
      <c r="D5" s="3"/>
      <c r="E5" s="3"/>
      <c r="F5" s="3"/>
      <c r="G5" s="4"/>
      <c r="H5" s="185"/>
      <c r="I5" s="3"/>
      <c r="J5" s="3"/>
      <c r="K5" s="4"/>
      <c r="L5" s="4"/>
      <c r="O5" s="11" t="s">
        <v>67</v>
      </c>
      <c r="Q5" s="3">
        <f>Q4*Q2</f>
        <v>1514.3000000000002</v>
      </c>
      <c r="W5" s="133">
        <v>42765</v>
      </c>
      <c r="X5" s="10">
        <v>145.53</v>
      </c>
      <c r="Y5" s="10">
        <v>145.56</v>
      </c>
      <c r="Z5" s="10">
        <v>142.66</v>
      </c>
      <c r="AA5" s="10">
        <v>143.29</v>
      </c>
      <c r="AB5" s="95">
        <v>3153400</v>
      </c>
      <c r="AC5" s="10">
        <v>143.29</v>
      </c>
      <c r="AD5" s="2"/>
      <c r="AE5" s="138"/>
    </row>
    <row r="6" spans="1:43" x14ac:dyDescent="0.25">
      <c r="B6" s="74"/>
      <c r="C6" s="4"/>
      <c r="D6" s="3"/>
      <c r="E6" s="3"/>
      <c r="F6" s="3"/>
      <c r="G6" s="4"/>
      <c r="H6" s="4"/>
      <c r="I6" s="4"/>
      <c r="J6" s="4"/>
      <c r="K6" s="4"/>
      <c r="O6" s="11" t="s">
        <v>64</v>
      </c>
      <c r="Q6" s="2">
        <f>Q3*Q2</f>
        <v>1284.8600000000001</v>
      </c>
      <c r="W6" s="133">
        <v>42762</v>
      </c>
      <c r="X6" s="10">
        <v>144.01</v>
      </c>
      <c r="Y6" s="10">
        <v>145.86000000000001</v>
      </c>
      <c r="Z6" s="10">
        <v>143.76</v>
      </c>
      <c r="AA6" s="10">
        <v>145.44999999999999</v>
      </c>
      <c r="AB6" s="95">
        <v>2051800</v>
      </c>
      <c r="AC6" s="10">
        <v>145.44999999999999</v>
      </c>
      <c r="AD6" s="2"/>
      <c r="AE6" s="138"/>
    </row>
    <row r="7" spans="1:43" x14ac:dyDescent="0.25">
      <c r="B7" s="74"/>
      <c r="C7" s="4"/>
      <c r="D7" s="3"/>
      <c r="E7" s="3"/>
      <c r="F7" s="3"/>
      <c r="G7" s="4"/>
      <c r="H7" s="4"/>
      <c r="I7" s="4"/>
      <c r="J7" s="4"/>
      <c r="K7" s="4"/>
      <c r="O7" s="11" t="s">
        <v>181</v>
      </c>
      <c r="Q7" s="2">
        <f>Q10+Q8</f>
        <v>400.91000000000008</v>
      </c>
      <c r="R7" s="30">
        <v>42800</v>
      </c>
      <c r="W7" s="133">
        <v>42761</v>
      </c>
      <c r="X7" s="10">
        <v>142.52000000000001</v>
      </c>
      <c r="Y7" s="10">
        <v>143.47</v>
      </c>
      <c r="Z7" s="10">
        <v>141.97</v>
      </c>
      <c r="AA7" s="10">
        <v>143.1</v>
      </c>
      <c r="AB7" s="95">
        <v>2934000</v>
      </c>
      <c r="AC7" s="10">
        <v>143.1</v>
      </c>
      <c r="AD7" s="2"/>
      <c r="AE7" s="138"/>
    </row>
    <row r="8" spans="1:43" x14ac:dyDescent="0.25">
      <c r="B8" s="74"/>
      <c r="C8" s="4"/>
      <c r="D8" s="3"/>
      <c r="E8" s="3"/>
      <c r="F8" s="3"/>
      <c r="G8" s="4"/>
      <c r="H8" s="4"/>
      <c r="I8" s="4"/>
      <c r="J8" s="4"/>
      <c r="K8" s="4"/>
      <c r="O8" s="11" t="s">
        <v>184</v>
      </c>
      <c r="P8" s="34"/>
      <c r="Q8" s="2">
        <f>K18+M18-F18+Q2*Q4</f>
        <v>229.44000000000005</v>
      </c>
      <c r="W8" s="133">
        <v>42760</v>
      </c>
      <c r="X8" s="10">
        <v>141.5</v>
      </c>
      <c r="Y8" s="10">
        <v>143.02000000000001</v>
      </c>
      <c r="Z8" s="10">
        <v>140.77000000000001</v>
      </c>
      <c r="AA8" s="10">
        <v>142.43</v>
      </c>
      <c r="AB8" s="95">
        <v>2223700</v>
      </c>
      <c r="AC8" s="10">
        <v>142.43</v>
      </c>
      <c r="AD8" s="2"/>
      <c r="AE8" s="138"/>
    </row>
    <row r="9" spans="1:43" x14ac:dyDescent="0.25">
      <c r="B9" s="74"/>
      <c r="C9" s="4"/>
      <c r="D9" s="3"/>
      <c r="E9" s="3"/>
      <c r="F9" s="3"/>
      <c r="G9" s="4"/>
      <c r="H9" s="4"/>
      <c r="I9" s="4"/>
      <c r="J9" s="4"/>
      <c r="K9" s="4"/>
      <c r="O9" s="11" t="s">
        <v>214</v>
      </c>
      <c r="Q9" s="138">
        <f>IF(Q2=0, 0, Q8/Q6)</f>
        <v>0.17857198449636538</v>
      </c>
      <c r="W9" s="133">
        <v>42759</v>
      </c>
      <c r="X9" s="10">
        <v>143.22999999999999</v>
      </c>
      <c r="Y9" s="10">
        <v>143.66</v>
      </c>
      <c r="Z9" s="10">
        <v>140</v>
      </c>
      <c r="AA9" s="10">
        <v>140.97999999999999</v>
      </c>
      <c r="AB9" s="95">
        <v>2983000</v>
      </c>
      <c r="AC9" s="10">
        <v>140.97999999999999</v>
      </c>
      <c r="AD9" s="2"/>
      <c r="AE9" s="138"/>
    </row>
    <row r="10" spans="1:43" x14ac:dyDescent="0.25">
      <c r="O10" s="11" t="s">
        <v>213</v>
      </c>
      <c r="P10" s="34"/>
      <c r="Q10" s="2">
        <f>M43</f>
        <v>171.47000000000003</v>
      </c>
      <c r="W10" s="133">
        <v>42758</v>
      </c>
      <c r="X10" s="10">
        <v>143.16</v>
      </c>
      <c r="Y10" s="10">
        <v>144.41999999999999</v>
      </c>
      <c r="Z10" s="10">
        <v>142.57</v>
      </c>
      <c r="AA10" s="10">
        <v>142.79</v>
      </c>
      <c r="AB10" s="95">
        <v>1496100</v>
      </c>
      <c r="AC10" s="10">
        <v>142.79</v>
      </c>
      <c r="AD10" s="2"/>
      <c r="AE10" s="138"/>
    </row>
    <row r="11" spans="1:43" x14ac:dyDescent="0.25">
      <c r="O11" s="11" t="s">
        <v>178</v>
      </c>
      <c r="P11" s="34"/>
      <c r="Q11" s="138">
        <f>IF(U58="N/A (N/A)", 0, VALUE(TRIM(CLEAN(MID(U58, FIND("(", U58)+1, 5)))))</f>
        <v>3.8999999999999998E-3</v>
      </c>
      <c r="W11" s="133">
        <v>42755</v>
      </c>
      <c r="X11" s="10">
        <v>144.91</v>
      </c>
      <c r="Y11" s="10">
        <v>145.13999999999999</v>
      </c>
      <c r="Z11" s="10">
        <v>143.32</v>
      </c>
      <c r="AA11" s="10">
        <v>143.51</v>
      </c>
      <c r="AB11" s="95">
        <v>1710000</v>
      </c>
      <c r="AC11" s="10">
        <v>143.51</v>
      </c>
      <c r="AD11" s="2"/>
      <c r="AE11" s="138"/>
    </row>
    <row r="12" spans="1:43" x14ac:dyDescent="0.25">
      <c r="W12" s="133">
        <v>42754</v>
      </c>
      <c r="X12" s="10">
        <v>144.38</v>
      </c>
      <c r="Y12" s="10">
        <v>144.72</v>
      </c>
      <c r="Z12" s="10">
        <v>143.44</v>
      </c>
      <c r="AA12" s="10">
        <v>144.32</v>
      </c>
      <c r="AB12" s="95">
        <v>1435900</v>
      </c>
      <c r="AC12" s="10">
        <v>144.32</v>
      </c>
      <c r="AD12" s="2"/>
      <c r="AE12" s="138"/>
    </row>
    <row r="13" spans="1:43" x14ac:dyDescent="0.25">
      <c r="W13" s="133">
        <v>42753</v>
      </c>
      <c r="X13" s="10">
        <v>145.84</v>
      </c>
      <c r="Y13" s="10">
        <v>146</v>
      </c>
      <c r="Z13" s="10">
        <v>143.56</v>
      </c>
      <c r="AA13" s="10">
        <v>144.66</v>
      </c>
      <c r="AB13" s="95">
        <v>1358400</v>
      </c>
      <c r="AC13" s="10">
        <v>144.66</v>
      </c>
      <c r="AD13" s="2"/>
      <c r="AE13" s="138"/>
    </row>
    <row r="14" spans="1:43" x14ac:dyDescent="0.25">
      <c r="W14" s="133">
        <v>42752</v>
      </c>
      <c r="X14" s="10">
        <v>145.66999999999999</v>
      </c>
      <c r="Y14" s="10">
        <v>145.87</v>
      </c>
      <c r="Z14" s="10">
        <v>144.55000000000001</v>
      </c>
      <c r="AA14" s="10">
        <v>145.05000000000001</v>
      </c>
      <c r="AB14" s="95">
        <v>1649300</v>
      </c>
      <c r="AC14" s="10">
        <v>145.05000000000001</v>
      </c>
      <c r="AD14" s="2"/>
      <c r="AE14" s="138"/>
    </row>
    <row r="15" spans="1:43" x14ac:dyDescent="0.25">
      <c r="W15" s="133">
        <v>42748</v>
      </c>
      <c r="X15" s="10">
        <v>146.09</v>
      </c>
      <c r="Y15" s="10">
        <v>147.03</v>
      </c>
      <c r="Z15" s="10">
        <v>145.52000000000001</v>
      </c>
      <c r="AA15" s="10">
        <v>146.29</v>
      </c>
      <c r="AB15" s="95">
        <v>1839600</v>
      </c>
      <c r="AC15" s="10">
        <v>146.29</v>
      </c>
      <c r="AD15" s="2"/>
      <c r="AE15" s="138"/>
    </row>
    <row r="16" spans="1:43" x14ac:dyDescent="0.25">
      <c r="W16" s="133">
        <v>42747</v>
      </c>
      <c r="X16" s="10">
        <v>146.18</v>
      </c>
      <c r="Y16" s="10">
        <v>146.99</v>
      </c>
      <c r="Z16" s="10">
        <v>145.13</v>
      </c>
      <c r="AA16" s="10">
        <v>145.97</v>
      </c>
      <c r="AB16" s="95">
        <v>2237300</v>
      </c>
      <c r="AC16" s="10">
        <v>145.97</v>
      </c>
      <c r="AD16" s="2"/>
      <c r="AE16" s="138"/>
    </row>
    <row r="17" spans="1:31" x14ac:dyDescent="0.25">
      <c r="W17" s="133">
        <v>42746</v>
      </c>
      <c r="X17" s="10">
        <v>147.79</v>
      </c>
      <c r="Y17" s="10">
        <v>148.33000000000001</v>
      </c>
      <c r="Z17" s="10">
        <v>143.87</v>
      </c>
      <c r="AA17" s="10">
        <v>146.22</v>
      </c>
      <c r="AB17" s="95">
        <v>2760300</v>
      </c>
      <c r="AC17" s="10">
        <v>146.22</v>
      </c>
      <c r="AD17" s="2"/>
      <c r="AE17" s="138"/>
    </row>
    <row r="18" spans="1:31" x14ac:dyDescent="0.25">
      <c r="A18" s="32" t="s">
        <v>81</v>
      </c>
      <c r="B18" s="14"/>
      <c r="C18" s="14">
        <f>SUM(C2:C9)</f>
        <v>30</v>
      </c>
      <c r="D18" s="14"/>
      <c r="E18" s="18"/>
      <c r="F18" s="14">
        <f>SUM(F2:F9)</f>
        <v>4324.6000000000004</v>
      </c>
      <c r="G18" s="14"/>
      <c r="H18" s="73">
        <f>SUM(H2:H9)</f>
        <v>20</v>
      </c>
      <c r="I18" s="14"/>
      <c r="J18" s="14"/>
      <c r="K18" s="14">
        <f>SUM(K2:K17)</f>
        <v>3036.7400000000002</v>
      </c>
      <c r="L18" s="14"/>
      <c r="M18" s="18">
        <f>SUM(M2:M4)</f>
        <v>3</v>
      </c>
      <c r="W18" s="133">
        <v>42745</v>
      </c>
      <c r="X18" s="10">
        <v>147.80000000000001</v>
      </c>
      <c r="Y18" s="10">
        <v>149.32</v>
      </c>
      <c r="Z18" s="10">
        <v>147.30000000000001</v>
      </c>
      <c r="AA18" s="10">
        <v>147.78</v>
      </c>
      <c r="AB18" s="95">
        <v>1804700</v>
      </c>
      <c r="AC18" s="10">
        <v>147.78</v>
      </c>
      <c r="AD18" s="2"/>
      <c r="AE18" s="138"/>
    </row>
    <row r="19" spans="1:31" x14ac:dyDescent="0.25">
      <c r="W19" s="133">
        <v>42744</v>
      </c>
      <c r="X19" s="10">
        <v>147.01</v>
      </c>
      <c r="Y19" s="10">
        <v>148.63999999999999</v>
      </c>
      <c r="Z19" s="10">
        <v>147.01</v>
      </c>
      <c r="AA19" s="10">
        <v>147.49</v>
      </c>
      <c r="AB19" s="95">
        <v>1966300</v>
      </c>
      <c r="AC19" s="10">
        <v>147.49</v>
      </c>
      <c r="AD19" s="2"/>
      <c r="AE19" s="138"/>
    </row>
    <row r="20" spans="1:31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5" t="s">
        <v>65</v>
      </c>
      <c r="G20" s="229" t="s">
        <v>152</v>
      </c>
      <c r="H20" s="195" t="s">
        <v>88</v>
      </c>
      <c r="I20" s="194" t="s">
        <v>155</v>
      </c>
      <c r="W20" s="133">
        <v>42741</v>
      </c>
      <c r="X20" s="10">
        <v>145.28</v>
      </c>
      <c r="Y20" s="10">
        <v>147.49</v>
      </c>
      <c r="Z20" s="10">
        <v>145.13999999999999</v>
      </c>
      <c r="AA20" s="10">
        <v>147.27000000000001</v>
      </c>
      <c r="AB20" s="95">
        <v>1968500</v>
      </c>
      <c r="AC20" s="10">
        <v>147.27000000000001</v>
      </c>
      <c r="AD20" s="2"/>
      <c r="AE20" s="138"/>
    </row>
    <row r="21" spans="1:31" x14ac:dyDescent="0.25">
      <c r="B21" s="537">
        <v>42403</v>
      </c>
      <c r="C21" s="538">
        <v>10</v>
      </c>
      <c r="D21" s="540">
        <v>123.5</v>
      </c>
      <c r="E21" s="540">
        <v>126.05</v>
      </c>
      <c r="F21" s="540">
        <f>C21*(E21-D21)</f>
        <v>25.499999999999972</v>
      </c>
      <c r="G21" s="540">
        <f>D21*C21</f>
        <v>1235</v>
      </c>
      <c r="H21" s="585">
        <f>(E21-D21)/D21</f>
        <v>2.0647773279352202E-2</v>
      </c>
      <c r="I21" s="540"/>
      <c r="W21" s="133">
        <v>42740</v>
      </c>
      <c r="X21" s="10">
        <v>145.38</v>
      </c>
      <c r="Y21" s="10">
        <v>145.77000000000001</v>
      </c>
      <c r="Z21" s="10">
        <v>144.78</v>
      </c>
      <c r="AA21" s="10">
        <v>145.38</v>
      </c>
      <c r="AB21" s="95">
        <v>1683500</v>
      </c>
      <c r="AC21" s="10">
        <v>145.38</v>
      </c>
      <c r="AD21" s="2"/>
      <c r="AE21" s="138"/>
    </row>
    <row r="22" spans="1:31" x14ac:dyDescent="0.25">
      <c r="B22" s="537">
        <v>42422</v>
      </c>
      <c r="C22" s="538">
        <v>10</v>
      </c>
      <c r="D22" s="540">
        <v>123.5</v>
      </c>
      <c r="E22" s="540">
        <v>131.44</v>
      </c>
      <c r="F22" s="540">
        <f>C22*(E22-D22)</f>
        <v>79.399999999999977</v>
      </c>
      <c r="G22" s="540">
        <f>D22*C22</f>
        <v>1235</v>
      </c>
      <c r="H22" s="585">
        <f>(E22-D22)/D22</f>
        <v>6.4291497975708489E-2</v>
      </c>
      <c r="I22" s="540"/>
      <c r="W22" s="133">
        <v>42739</v>
      </c>
      <c r="X22" s="10">
        <v>143.94999999999999</v>
      </c>
      <c r="Y22" s="10">
        <v>146.06</v>
      </c>
      <c r="Z22" s="10">
        <v>143.29</v>
      </c>
      <c r="AA22" s="10">
        <v>145.16</v>
      </c>
      <c r="AB22" s="95">
        <v>2160500</v>
      </c>
      <c r="AC22" s="10">
        <v>145.16</v>
      </c>
      <c r="AD22" s="2"/>
      <c r="AE22" s="138"/>
    </row>
    <row r="23" spans="1:31" x14ac:dyDescent="0.25">
      <c r="B23" s="537">
        <v>42430</v>
      </c>
      <c r="C23" s="538">
        <v>10</v>
      </c>
      <c r="D23" s="540">
        <v>123.5</v>
      </c>
      <c r="E23" s="540">
        <v>135.28</v>
      </c>
      <c r="F23" s="540">
        <f>C23*(E23-D23)</f>
        <v>117.80000000000001</v>
      </c>
      <c r="G23" s="540">
        <f>D23*C23</f>
        <v>1235</v>
      </c>
      <c r="H23" s="585">
        <f>(E23-D23)/D23</f>
        <v>9.5384615384615387E-2</v>
      </c>
      <c r="I23" s="540"/>
      <c r="W23" s="133">
        <v>42738</v>
      </c>
      <c r="X23" s="10">
        <v>142.38999999999999</v>
      </c>
      <c r="Y23" s="10">
        <v>143.83000000000001</v>
      </c>
      <c r="Z23" s="10">
        <v>142.22999999999999</v>
      </c>
      <c r="AA23" s="10">
        <v>143.66999999999999</v>
      </c>
      <c r="AB23" s="95">
        <v>1966400</v>
      </c>
      <c r="AC23" s="10">
        <v>143.66999999999999</v>
      </c>
      <c r="AD23" s="2"/>
      <c r="AE23" s="138"/>
    </row>
    <row r="24" spans="1:31" x14ac:dyDescent="0.25">
      <c r="B24" s="537">
        <v>42431</v>
      </c>
      <c r="C24" s="538">
        <v>10</v>
      </c>
      <c r="D24" s="540">
        <v>123.5</v>
      </c>
      <c r="E24" s="540">
        <v>138.12</v>
      </c>
      <c r="F24" s="540">
        <f>C24*(E24-D24)</f>
        <v>146.20000000000005</v>
      </c>
      <c r="G24" s="540">
        <f>D24*C24</f>
        <v>1235</v>
      </c>
      <c r="H24" s="585">
        <f>(E24-D24)/D24</f>
        <v>0.11838056680161947</v>
      </c>
      <c r="I24" s="540"/>
      <c r="W24" s="133">
        <v>42734</v>
      </c>
      <c r="X24" s="10">
        <v>142.16</v>
      </c>
      <c r="Y24" s="10">
        <v>142.34</v>
      </c>
      <c r="Z24" s="10">
        <v>140.44999999999999</v>
      </c>
      <c r="AA24" s="10">
        <v>141.1</v>
      </c>
      <c r="AB24" s="95">
        <v>1063200</v>
      </c>
      <c r="AC24" s="10">
        <v>141.1</v>
      </c>
      <c r="AD24" s="2"/>
      <c r="AE24" s="138"/>
    </row>
    <row r="25" spans="1:31" x14ac:dyDescent="0.25">
      <c r="B25" s="537">
        <v>42436</v>
      </c>
      <c r="C25" s="538">
        <v>0</v>
      </c>
      <c r="D25" s="540"/>
      <c r="E25" s="540"/>
      <c r="F25" s="540">
        <v>171.47</v>
      </c>
      <c r="G25" s="540"/>
      <c r="H25" s="541"/>
      <c r="I25" s="540"/>
      <c r="W25" s="133">
        <v>42733</v>
      </c>
      <c r="X25" s="10">
        <v>141.01</v>
      </c>
      <c r="Y25" s="10">
        <v>142.38</v>
      </c>
      <c r="Z25" s="10">
        <v>141</v>
      </c>
      <c r="AA25" s="10">
        <v>141.47999999999999</v>
      </c>
      <c r="AB25" s="95">
        <v>767400</v>
      </c>
      <c r="AC25" s="10">
        <v>141.47999999999999</v>
      </c>
      <c r="AD25" s="2"/>
      <c r="AE25" s="138"/>
    </row>
    <row r="26" spans="1:31" x14ac:dyDescent="0.25">
      <c r="B26" s="193"/>
      <c r="C26" s="10"/>
      <c r="D26" s="40"/>
      <c r="E26" s="40"/>
      <c r="F26" s="40"/>
      <c r="G26" s="40"/>
      <c r="H26" s="232"/>
      <c r="I26" s="40"/>
      <c r="W26" s="133">
        <v>42732</v>
      </c>
      <c r="X26" s="10">
        <v>142.56</v>
      </c>
      <c r="Y26" s="10">
        <v>142.78</v>
      </c>
      <c r="Z26" s="10">
        <v>141.11000000000001</v>
      </c>
      <c r="AA26" s="10">
        <v>141.22</v>
      </c>
      <c r="AB26" s="95">
        <v>999700</v>
      </c>
      <c r="AC26" s="10">
        <v>141.22</v>
      </c>
      <c r="AD26" s="2"/>
      <c r="AE26" s="138"/>
    </row>
    <row r="27" spans="1:31" x14ac:dyDescent="0.25">
      <c r="B27" s="193">
        <v>42702</v>
      </c>
      <c r="C27" s="10">
        <v>20</v>
      </c>
      <c r="D27" s="40">
        <v>139.88</v>
      </c>
      <c r="E27" s="40">
        <v>140.32</v>
      </c>
      <c r="F27" s="40">
        <f t="shared" ref="F27:F32" si="0">C27*(E27-D27)</f>
        <v>8.7999999999999545</v>
      </c>
      <c r="G27" s="40">
        <f t="shared" ref="G27:G32" si="1">D27*C27</f>
        <v>2797.6</v>
      </c>
      <c r="H27" s="231">
        <f t="shared" ref="H27:H32" si="2">(E27-D27)/D27</f>
        <v>3.1455533314269212E-3</v>
      </c>
      <c r="I27" s="40"/>
      <c r="W27" s="133">
        <v>42731</v>
      </c>
      <c r="X27" s="10">
        <v>142.16999999999999</v>
      </c>
      <c r="Y27" s="10">
        <v>143.19</v>
      </c>
      <c r="Z27" s="10">
        <v>141.87</v>
      </c>
      <c r="AA27" s="10">
        <v>142.41</v>
      </c>
      <c r="AB27" s="95">
        <v>878000</v>
      </c>
      <c r="AC27" s="10">
        <v>142.41</v>
      </c>
      <c r="AD27" s="2"/>
      <c r="AE27" s="138"/>
    </row>
    <row r="28" spans="1:31" x14ac:dyDescent="0.25">
      <c r="B28" s="193">
        <v>42752</v>
      </c>
      <c r="C28" s="10">
        <v>20</v>
      </c>
      <c r="D28" s="40">
        <v>139.72999999999999</v>
      </c>
      <c r="E28" s="40">
        <v>140.32</v>
      </c>
      <c r="F28" s="40">
        <f t="shared" si="0"/>
        <v>11.800000000000068</v>
      </c>
      <c r="G28" s="40">
        <f t="shared" si="1"/>
        <v>2794.6</v>
      </c>
      <c r="H28" s="231">
        <f t="shared" si="2"/>
        <v>4.2224289701567556E-3</v>
      </c>
      <c r="I28" s="40"/>
      <c r="W28" s="133">
        <v>42727</v>
      </c>
      <c r="X28" s="10">
        <v>140.85</v>
      </c>
      <c r="Y28" s="10">
        <v>141.99</v>
      </c>
      <c r="Z28" s="10">
        <v>139.88</v>
      </c>
      <c r="AA28" s="10">
        <v>141.84</v>
      </c>
      <c r="AB28" s="95">
        <v>1044900</v>
      </c>
      <c r="AC28" s="10">
        <v>141.84</v>
      </c>
      <c r="AD28" s="2"/>
      <c r="AE28" s="138"/>
    </row>
    <row r="29" spans="1:31" x14ac:dyDescent="0.25">
      <c r="A29" t="s">
        <v>437</v>
      </c>
      <c r="B29" s="193">
        <v>42756</v>
      </c>
      <c r="C29" s="10">
        <v>20</v>
      </c>
      <c r="D29" s="40">
        <v>139.72999999999999</v>
      </c>
      <c r="E29" s="40">
        <v>143.51</v>
      </c>
      <c r="F29" s="40">
        <f t="shared" si="0"/>
        <v>75.600000000000023</v>
      </c>
      <c r="G29" s="40">
        <f t="shared" si="1"/>
        <v>2794.6</v>
      </c>
      <c r="H29" s="231">
        <f t="shared" si="2"/>
        <v>2.7052172046088896E-2</v>
      </c>
      <c r="I29" s="40"/>
      <c r="W29" s="133">
        <v>42726</v>
      </c>
      <c r="X29" s="10">
        <v>140.94999999999999</v>
      </c>
      <c r="Y29" s="10">
        <v>141.09</v>
      </c>
      <c r="Z29" s="10">
        <v>139.88</v>
      </c>
      <c r="AA29" s="10">
        <v>140.52000000000001</v>
      </c>
      <c r="AB29" s="95">
        <v>1191100</v>
      </c>
      <c r="AC29" s="10">
        <v>140.52000000000001</v>
      </c>
      <c r="AD29" s="2"/>
      <c r="AE29" s="138"/>
    </row>
    <row r="30" spans="1:31" x14ac:dyDescent="0.25">
      <c r="A30" t="s">
        <v>437</v>
      </c>
      <c r="B30" s="193">
        <v>42757</v>
      </c>
      <c r="C30" s="10">
        <v>20</v>
      </c>
      <c r="D30" s="40">
        <v>139.72999999999999</v>
      </c>
      <c r="E30" s="40">
        <v>142.43</v>
      </c>
      <c r="F30" s="40">
        <f t="shared" si="0"/>
        <v>54.000000000000341</v>
      </c>
      <c r="G30" s="40">
        <f t="shared" si="1"/>
        <v>2794.6</v>
      </c>
      <c r="H30" s="231">
        <f t="shared" si="2"/>
        <v>1.9322980032920756E-2</v>
      </c>
      <c r="I30" s="40"/>
      <c r="W30" s="133">
        <v>42725</v>
      </c>
      <c r="X30" s="10">
        <v>141.74</v>
      </c>
      <c r="Y30" s="10">
        <v>141.80000000000001</v>
      </c>
      <c r="Z30" s="10">
        <v>140.41999999999999</v>
      </c>
      <c r="AA30" s="10">
        <v>140.77000000000001</v>
      </c>
      <c r="AB30" s="95">
        <v>1502600</v>
      </c>
      <c r="AC30" s="10">
        <v>140.77000000000001</v>
      </c>
      <c r="AD30" s="2"/>
      <c r="AE30" s="138"/>
    </row>
    <row r="31" spans="1:31" x14ac:dyDescent="0.25">
      <c r="A31" t="s">
        <v>491</v>
      </c>
      <c r="B31" s="634">
        <v>42766</v>
      </c>
      <c r="C31" s="10">
        <v>10</v>
      </c>
      <c r="D31" s="40">
        <v>130.37700000000001</v>
      </c>
      <c r="E31" s="40">
        <v>152.38999999999999</v>
      </c>
      <c r="F31" s="40">
        <f t="shared" si="0"/>
        <v>220.12999999999977</v>
      </c>
      <c r="G31" s="40">
        <f t="shared" si="1"/>
        <v>1303.77</v>
      </c>
      <c r="H31" s="232">
        <f t="shared" si="2"/>
        <v>0.16884112995390271</v>
      </c>
      <c r="I31" s="40"/>
      <c r="W31" s="133">
        <v>42724</v>
      </c>
      <c r="X31" s="10">
        <v>141.58000000000001</v>
      </c>
      <c r="Y31" s="10">
        <v>142.59</v>
      </c>
      <c r="Z31" s="10">
        <v>140.71</v>
      </c>
      <c r="AA31" s="10">
        <v>141.80000000000001</v>
      </c>
      <c r="AB31" s="95">
        <v>1871300</v>
      </c>
      <c r="AC31" s="10">
        <v>141.80000000000001</v>
      </c>
      <c r="AD31" s="2"/>
      <c r="AE31" s="138"/>
    </row>
    <row r="32" spans="1:31" x14ac:dyDescent="0.25">
      <c r="A32" t="s">
        <v>497</v>
      </c>
      <c r="B32" s="193">
        <v>42767</v>
      </c>
      <c r="C32" s="10">
        <v>10</v>
      </c>
      <c r="D32" s="40">
        <v>128.48599999999999</v>
      </c>
      <c r="E32" s="40">
        <v>152.94</v>
      </c>
      <c r="F32" s="40">
        <f t="shared" si="0"/>
        <v>244.54000000000008</v>
      </c>
      <c r="G32" s="40">
        <f t="shared" si="1"/>
        <v>1284.8599999999999</v>
      </c>
      <c r="H32" s="232">
        <f t="shared" si="2"/>
        <v>0.19032423766013426</v>
      </c>
      <c r="I32" s="40"/>
      <c r="W32" s="133">
        <v>42723</v>
      </c>
      <c r="X32" s="10">
        <v>142.34</v>
      </c>
      <c r="Y32" s="10">
        <v>143.41</v>
      </c>
      <c r="Z32" s="10">
        <v>140.72</v>
      </c>
      <c r="AA32" s="10">
        <v>141.25</v>
      </c>
      <c r="AB32" s="95">
        <v>1591400</v>
      </c>
      <c r="AC32" s="10">
        <v>141.25</v>
      </c>
      <c r="AD32" s="2"/>
      <c r="AE32" s="138"/>
    </row>
    <row r="33" spans="1:31" x14ac:dyDescent="0.25">
      <c r="B33" s="10"/>
      <c r="C33" s="10"/>
      <c r="D33" s="40"/>
      <c r="E33" s="40"/>
      <c r="F33" s="40"/>
      <c r="G33" s="40"/>
      <c r="H33" s="232"/>
      <c r="I33" s="40"/>
      <c r="W33" s="133">
        <v>42720</v>
      </c>
      <c r="X33" s="10">
        <v>143.47999999999999</v>
      </c>
      <c r="Y33" s="10">
        <v>145.31</v>
      </c>
      <c r="Z33" s="10">
        <v>142.25</v>
      </c>
      <c r="AA33" s="10">
        <v>142.54</v>
      </c>
      <c r="AB33" s="95">
        <v>2710500</v>
      </c>
      <c r="AC33" s="10">
        <v>142.54</v>
      </c>
      <c r="AD33" s="2"/>
      <c r="AE33" s="138"/>
    </row>
    <row r="34" spans="1:31" x14ac:dyDescent="0.25">
      <c r="B34" s="10"/>
      <c r="C34" s="10"/>
      <c r="D34" s="40"/>
      <c r="E34" s="40"/>
      <c r="F34" s="40"/>
      <c r="G34" s="40"/>
      <c r="H34" s="232"/>
      <c r="I34" s="40"/>
      <c r="W34" s="133">
        <v>42719</v>
      </c>
      <c r="X34" s="10">
        <v>144</v>
      </c>
      <c r="Y34" s="10">
        <v>144.33000000000001</v>
      </c>
      <c r="Z34" s="10">
        <v>142.87</v>
      </c>
      <c r="AA34" s="10">
        <v>143.5</v>
      </c>
      <c r="AB34" s="95">
        <v>1849300</v>
      </c>
      <c r="AC34" s="10">
        <v>143.5</v>
      </c>
      <c r="AD34" s="2"/>
      <c r="AE34" s="138"/>
    </row>
    <row r="35" spans="1:31" x14ac:dyDescent="0.25">
      <c r="B35" s="10"/>
      <c r="C35" s="10"/>
      <c r="D35" s="40"/>
      <c r="E35" s="40"/>
      <c r="F35" s="40"/>
      <c r="G35" s="40"/>
      <c r="H35" s="232"/>
      <c r="I35" s="40"/>
      <c r="W35" s="133">
        <v>42718</v>
      </c>
      <c r="X35" s="10">
        <v>145.57</v>
      </c>
      <c r="Y35" s="10">
        <v>146.03</v>
      </c>
      <c r="Z35" s="10">
        <v>143.22999999999999</v>
      </c>
      <c r="AA35" s="10">
        <v>143.80000000000001</v>
      </c>
      <c r="AB35" s="95">
        <v>1657300</v>
      </c>
      <c r="AC35" s="10">
        <v>143.80000000000001</v>
      </c>
      <c r="AD35" s="2"/>
      <c r="AE35" s="138"/>
    </row>
    <row r="36" spans="1:31" x14ac:dyDescent="0.25">
      <c r="B36" s="10"/>
      <c r="C36" s="10"/>
      <c r="D36" s="40"/>
      <c r="E36" s="40"/>
      <c r="F36" s="40"/>
      <c r="G36" s="40"/>
      <c r="H36" s="232"/>
      <c r="I36" s="40"/>
      <c r="W36" s="133">
        <v>42717</v>
      </c>
      <c r="X36" s="10">
        <v>145.56</v>
      </c>
      <c r="Y36" s="10">
        <v>146.47999999999999</v>
      </c>
      <c r="Z36" s="10">
        <v>145.21</v>
      </c>
      <c r="AA36" s="10">
        <v>145.9</v>
      </c>
      <c r="AB36" s="95">
        <v>1254300</v>
      </c>
      <c r="AC36" s="10">
        <v>145.9</v>
      </c>
      <c r="AD36" s="2"/>
      <c r="AE36" s="138"/>
    </row>
    <row r="37" spans="1:31" x14ac:dyDescent="0.25">
      <c r="B37" s="10"/>
      <c r="C37" s="10"/>
      <c r="D37" s="40"/>
      <c r="E37" s="40"/>
      <c r="F37" s="40"/>
      <c r="G37" s="40"/>
      <c r="H37" s="232"/>
      <c r="I37" s="40"/>
      <c r="W37" s="133">
        <v>42717</v>
      </c>
      <c r="X37" s="10" t="s">
        <v>179</v>
      </c>
      <c r="Y37" s="10"/>
      <c r="Z37" s="10"/>
      <c r="AA37" s="10"/>
      <c r="AB37" s="95"/>
      <c r="AC37" s="10"/>
      <c r="AD37" s="2"/>
      <c r="AE37" s="138"/>
    </row>
    <row r="38" spans="1:31" x14ac:dyDescent="0.25">
      <c r="B38" s="10"/>
      <c r="C38" s="10"/>
      <c r="D38" s="40"/>
      <c r="E38" s="40"/>
      <c r="F38" s="40"/>
      <c r="G38" s="40"/>
      <c r="H38" s="232"/>
      <c r="I38" s="40"/>
      <c r="W38" s="133">
        <v>42716</v>
      </c>
      <c r="X38" s="10">
        <v>144.27000000000001</v>
      </c>
      <c r="Y38" s="10">
        <v>146.05000000000001</v>
      </c>
      <c r="Z38" s="10">
        <v>144.27000000000001</v>
      </c>
      <c r="AA38" s="10">
        <v>145.18</v>
      </c>
      <c r="AB38" s="95">
        <v>1390800</v>
      </c>
      <c r="AC38" s="10">
        <v>145.03</v>
      </c>
      <c r="AD38" s="2"/>
      <c r="AE38" s="138"/>
    </row>
    <row r="39" spans="1:31" x14ac:dyDescent="0.25">
      <c r="B39" s="10"/>
      <c r="C39" s="10"/>
      <c r="D39" s="40"/>
      <c r="E39" s="40"/>
      <c r="F39" s="40"/>
      <c r="G39" s="40"/>
      <c r="H39" s="232"/>
      <c r="I39" s="40"/>
      <c r="W39" s="133">
        <v>42713</v>
      </c>
      <c r="X39" s="10">
        <v>143.81</v>
      </c>
      <c r="Y39" s="10">
        <v>145.65</v>
      </c>
      <c r="Z39" s="10">
        <v>143.75</v>
      </c>
      <c r="AA39" s="10">
        <v>145.41</v>
      </c>
      <c r="AB39" s="95">
        <v>1620400</v>
      </c>
      <c r="AC39" s="10">
        <v>145.26</v>
      </c>
      <c r="AD39" s="2"/>
      <c r="AE39" s="138"/>
    </row>
    <row r="40" spans="1:31" x14ac:dyDescent="0.25">
      <c r="B40" s="10"/>
      <c r="C40" s="10"/>
      <c r="D40" s="40"/>
      <c r="E40" s="40"/>
      <c r="F40" s="40"/>
      <c r="G40" s="40"/>
      <c r="H40" s="232"/>
      <c r="I40" s="40"/>
      <c r="W40" s="133">
        <v>42712</v>
      </c>
      <c r="X40" s="10">
        <v>141.78</v>
      </c>
      <c r="Y40" s="10">
        <v>143.78</v>
      </c>
      <c r="Z40" s="10">
        <v>140.99</v>
      </c>
      <c r="AA40" s="10">
        <v>143.07</v>
      </c>
      <c r="AB40" s="95">
        <v>1819400</v>
      </c>
      <c r="AC40" s="10">
        <v>142.91999999999999</v>
      </c>
      <c r="AD40" s="2"/>
      <c r="AE40" s="138"/>
    </row>
    <row r="41" spans="1:31" x14ac:dyDescent="0.25">
      <c r="B41" s="10"/>
      <c r="C41" s="10"/>
      <c r="D41" s="40"/>
      <c r="E41" s="40"/>
      <c r="F41" s="40"/>
      <c r="G41" s="40"/>
      <c r="H41" s="232"/>
      <c r="I41" s="40"/>
      <c r="W41" s="133">
        <v>42711</v>
      </c>
      <c r="X41" s="10">
        <v>142.88</v>
      </c>
      <c r="Y41" s="10">
        <v>142.91999999999999</v>
      </c>
      <c r="Z41" s="10">
        <v>140.06</v>
      </c>
      <c r="AA41" s="10">
        <v>141.85</v>
      </c>
      <c r="AB41" s="95">
        <v>2413500</v>
      </c>
      <c r="AC41" s="10">
        <v>141.69999999999999</v>
      </c>
      <c r="AD41" s="2"/>
      <c r="AE41" s="138"/>
    </row>
    <row r="42" spans="1:31" ht="20.25" thickBot="1" x14ac:dyDescent="0.35">
      <c r="T42" s="91" t="s">
        <v>113</v>
      </c>
      <c r="W42" s="133">
        <v>42710</v>
      </c>
      <c r="X42" s="10">
        <v>141.57</v>
      </c>
      <c r="Y42" s="10">
        <v>144.41999999999999</v>
      </c>
      <c r="Z42" s="10">
        <v>141.28</v>
      </c>
      <c r="AA42" s="10">
        <v>143.59</v>
      </c>
      <c r="AB42" s="95">
        <v>3759200</v>
      </c>
      <c r="AC42" s="10">
        <v>143.44</v>
      </c>
      <c r="AD42" s="2"/>
      <c r="AE42" s="138"/>
    </row>
    <row r="43" spans="1:31" ht="15.75" thickTop="1" x14ac:dyDescent="0.25">
      <c r="L43" t="s">
        <v>213</v>
      </c>
      <c r="M43" s="2">
        <f>M54+K54-F54</f>
        <v>171.47000000000003</v>
      </c>
      <c r="T43" s="128" t="s">
        <v>98</v>
      </c>
      <c r="U43" s="587">
        <v>152.94</v>
      </c>
      <c r="W43" s="133">
        <v>42709</v>
      </c>
      <c r="X43" s="10">
        <v>143.05000000000001</v>
      </c>
      <c r="Y43" s="10">
        <v>144.85</v>
      </c>
      <c r="Z43" s="10">
        <v>141.13999999999999</v>
      </c>
      <c r="AA43" s="10">
        <v>141.38</v>
      </c>
      <c r="AB43" s="95">
        <v>2920800</v>
      </c>
      <c r="AC43" s="10">
        <v>141.22999999999999</v>
      </c>
      <c r="AD43" s="2"/>
      <c r="AE43" s="138"/>
    </row>
    <row r="44" spans="1:31" x14ac:dyDescent="0.25">
      <c r="A44" s="387" t="s">
        <v>1</v>
      </c>
      <c r="B44" s="387" t="s">
        <v>2</v>
      </c>
      <c r="C44" s="387" t="s">
        <v>4</v>
      </c>
      <c r="D44" s="387" t="s">
        <v>5</v>
      </c>
      <c r="E44" s="389" t="s">
        <v>94</v>
      </c>
      <c r="F44" s="387" t="s">
        <v>60</v>
      </c>
      <c r="G44" s="387" t="s">
        <v>3</v>
      </c>
      <c r="H44" s="387" t="s">
        <v>6</v>
      </c>
      <c r="I44" s="387" t="s">
        <v>7</v>
      </c>
      <c r="J44" s="387" t="s">
        <v>95</v>
      </c>
      <c r="K44" s="387" t="s">
        <v>61</v>
      </c>
      <c r="L44" s="387" t="s">
        <v>77</v>
      </c>
      <c r="M44" s="387" t="s">
        <v>38</v>
      </c>
      <c r="T44" s="93" t="s">
        <v>99</v>
      </c>
      <c r="U44" s="435">
        <v>152.41</v>
      </c>
      <c r="W44" s="133">
        <v>42706</v>
      </c>
      <c r="X44" s="10">
        <v>139.6</v>
      </c>
      <c r="Y44" s="10">
        <v>143.16</v>
      </c>
      <c r="Z44" s="10">
        <v>139.32</v>
      </c>
      <c r="AA44" s="10">
        <v>141.91</v>
      </c>
      <c r="AB44" s="95">
        <v>3166100</v>
      </c>
      <c r="AC44" s="10">
        <v>141.76</v>
      </c>
      <c r="AD44" s="2"/>
      <c r="AE44" s="138"/>
    </row>
    <row r="45" spans="1:31" ht="20.25" thickBot="1" x14ac:dyDescent="0.35">
      <c r="A45" s="390" t="s">
        <v>0</v>
      </c>
      <c r="B45" s="380">
        <v>42403</v>
      </c>
      <c r="C45" s="381">
        <v>10</v>
      </c>
      <c r="D45" s="382">
        <v>123.5</v>
      </c>
      <c r="E45" s="382">
        <v>0</v>
      </c>
      <c r="F45" s="382">
        <f>D45*C45+E45</f>
        <v>1235</v>
      </c>
      <c r="G45" s="380">
        <v>42436</v>
      </c>
      <c r="H45" s="385">
        <v>10</v>
      </c>
      <c r="I45" s="382">
        <v>140.65</v>
      </c>
      <c r="J45" s="382">
        <v>0.03</v>
      </c>
      <c r="K45" s="381">
        <f>I45*H45-J45</f>
        <v>1406.47</v>
      </c>
      <c r="L45" s="380"/>
      <c r="M45" s="382"/>
      <c r="O45" s="638" t="s">
        <v>78</v>
      </c>
      <c r="P45" s="638"/>
      <c r="T45" s="93" t="s">
        <v>100</v>
      </c>
      <c r="U45" s="435" t="s">
        <v>129</v>
      </c>
      <c r="W45" s="133">
        <v>42705</v>
      </c>
      <c r="X45" s="10">
        <v>140.47</v>
      </c>
      <c r="Y45" s="10">
        <v>140.66</v>
      </c>
      <c r="Z45" s="10">
        <v>139.07</v>
      </c>
      <c r="AA45" s="10">
        <v>139.63</v>
      </c>
      <c r="AB45" s="95">
        <v>2703400</v>
      </c>
      <c r="AC45" s="10">
        <v>139.49</v>
      </c>
      <c r="AD45" s="2"/>
      <c r="AE45" s="138"/>
    </row>
    <row r="46" spans="1:31" ht="15.75" thickTop="1" x14ac:dyDescent="0.25">
      <c r="A46" s="391" t="s">
        <v>71</v>
      </c>
      <c r="B46" s="380"/>
      <c r="C46" s="381"/>
      <c r="D46" s="382"/>
      <c r="E46" s="382"/>
      <c r="F46" s="382"/>
      <c r="G46" s="380"/>
      <c r="H46" s="385"/>
      <c r="I46" s="382"/>
      <c r="J46" s="382"/>
      <c r="K46" s="381"/>
      <c r="L46" s="380"/>
      <c r="M46" s="382"/>
      <c r="O46" s="83">
        <v>1.1000000000000001</v>
      </c>
      <c r="P46" s="83">
        <f>O46*$Q$4</f>
        <v>166.57300000000001</v>
      </c>
      <c r="Q46" s="2"/>
      <c r="T46" s="93" t="s">
        <v>101</v>
      </c>
      <c r="U46" s="435" t="s">
        <v>129</v>
      </c>
      <c r="W46" s="133">
        <v>42704</v>
      </c>
      <c r="X46" s="10">
        <v>142.03</v>
      </c>
      <c r="Y46" s="10">
        <v>142.41999999999999</v>
      </c>
      <c r="Z46" s="10">
        <v>139.94</v>
      </c>
      <c r="AA46" s="10">
        <v>140.11000000000001</v>
      </c>
      <c r="AB46" s="95">
        <v>2166600</v>
      </c>
      <c r="AC46" s="10">
        <v>139.97</v>
      </c>
      <c r="AD46" s="2"/>
      <c r="AE46" s="138"/>
    </row>
    <row r="47" spans="1:31" x14ac:dyDescent="0.25">
      <c r="A47" s="381"/>
      <c r="B47" s="380"/>
      <c r="C47" s="381"/>
      <c r="D47" s="382"/>
      <c r="E47" s="382"/>
      <c r="F47" s="382"/>
      <c r="G47" s="380"/>
      <c r="H47" s="385"/>
      <c r="I47" s="381"/>
      <c r="J47" s="382"/>
      <c r="K47" s="381"/>
      <c r="L47" s="381"/>
      <c r="M47" s="381"/>
      <c r="O47" s="83">
        <v>1.0900000000000001</v>
      </c>
      <c r="P47" s="83">
        <f t="shared" ref="P47:P66" si="3">O47*$Q$4</f>
        <v>165.05870000000002</v>
      </c>
      <c r="Q47" s="2"/>
      <c r="T47" s="93" t="s">
        <v>102</v>
      </c>
      <c r="U47" s="435">
        <v>172.53</v>
      </c>
      <c r="W47" s="133">
        <v>42703</v>
      </c>
      <c r="X47" s="10">
        <v>140.69999999999999</v>
      </c>
      <c r="Y47" s="10">
        <v>142</v>
      </c>
      <c r="Z47" s="10">
        <v>139.74</v>
      </c>
      <c r="AA47" s="10">
        <v>141.27000000000001</v>
      </c>
      <c r="AB47" s="95">
        <v>2576600</v>
      </c>
      <c r="AC47" s="10">
        <v>141.12</v>
      </c>
      <c r="AD47" s="2"/>
      <c r="AE47" s="138"/>
    </row>
    <row r="48" spans="1:31" x14ac:dyDescent="0.25">
      <c r="A48" s="381"/>
      <c r="B48" s="380"/>
      <c r="C48" s="381"/>
      <c r="D48" s="382"/>
      <c r="E48" s="382"/>
      <c r="F48" s="382"/>
      <c r="G48" s="381"/>
      <c r="H48" s="385"/>
      <c r="I48" s="382"/>
      <c r="J48" s="382"/>
      <c r="K48" s="381"/>
      <c r="L48" s="381"/>
      <c r="M48" s="381"/>
      <c r="O48" s="83">
        <v>1.08</v>
      </c>
      <c r="P48" s="83">
        <f t="shared" si="3"/>
        <v>163.54440000000002</v>
      </c>
      <c r="Q48" s="2"/>
      <c r="T48" s="93" t="s">
        <v>103</v>
      </c>
      <c r="U48" s="435">
        <v>0.90248300000000004</v>
      </c>
      <c r="W48" s="133">
        <v>42702</v>
      </c>
      <c r="X48" s="10">
        <v>142.94</v>
      </c>
      <c r="Y48" s="10">
        <v>143.38</v>
      </c>
      <c r="Z48" s="10">
        <v>139.53</v>
      </c>
      <c r="AA48" s="10">
        <v>140.32</v>
      </c>
      <c r="AB48" s="95">
        <v>3667300</v>
      </c>
      <c r="AC48" s="10">
        <v>140.18</v>
      </c>
      <c r="AD48" s="2"/>
      <c r="AE48" s="138"/>
    </row>
    <row r="49" spans="1:31" x14ac:dyDescent="0.25">
      <c r="A49" s="381"/>
      <c r="B49" s="380"/>
      <c r="C49" s="381"/>
      <c r="D49" s="382"/>
      <c r="E49" s="382"/>
      <c r="F49" s="382"/>
      <c r="G49" s="381"/>
      <c r="H49" s="381"/>
      <c r="I49" s="381"/>
      <c r="J49" s="381"/>
      <c r="K49" s="381"/>
      <c r="L49" s="381"/>
      <c r="M49" s="381"/>
      <c r="O49" s="83">
        <v>1.07</v>
      </c>
      <c r="P49" s="83">
        <f t="shared" si="3"/>
        <v>162.0301</v>
      </c>
      <c r="Q49" s="2"/>
      <c r="T49" s="93" t="s">
        <v>122</v>
      </c>
      <c r="U49" s="435" t="s">
        <v>476</v>
      </c>
      <c r="W49" s="133">
        <v>42699</v>
      </c>
      <c r="X49" s="10">
        <v>143.47</v>
      </c>
      <c r="Y49" s="10">
        <v>144.21</v>
      </c>
      <c r="Z49" s="10">
        <v>142.72</v>
      </c>
      <c r="AA49" s="10">
        <v>144.18</v>
      </c>
      <c r="AB49" s="95">
        <v>803900</v>
      </c>
      <c r="AC49" s="10">
        <v>144.03</v>
      </c>
      <c r="AD49" s="2"/>
      <c r="AE49" s="138"/>
    </row>
    <row r="50" spans="1:31" x14ac:dyDescent="0.25">
      <c r="A50" s="381"/>
      <c r="B50" s="380"/>
      <c r="C50" s="381"/>
      <c r="D50" s="382"/>
      <c r="E50" s="382"/>
      <c r="F50" s="382"/>
      <c r="G50" s="381"/>
      <c r="H50" s="381"/>
      <c r="I50" s="381"/>
      <c r="J50" s="381"/>
      <c r="K50" s="381"/>
      <c r="L50" s="381"/>
      <c r="M50" s="381"/>
      <c r="O50" s="83">
        <v>1.06</v>
      </c>
      <c r="P50" s="83">
        <f t="shared" si="3"/>
        <v>160.51580000000001</v>
      </c>
      <c r="Q50" s="2"/>
      <c r="T50" s="93"/>
      <c r="U50" s="435"/>
      <c r="W50" s="133">
        <v>42697</v>
      </c>
      <c r="X50" s="10">
        <v>142.1</v>
      </c>
      <c r="Y50" s="10">
        <v>143.61000000000001</v>
      </c>
      <c r="Z50" s="10">
        <v>141.46</v>
      </c>
      <c r="AA50" s="10">
        <v>143.51</v>
      </c>
      <c r="AB50" s="95">
        <v>2582700</v>
      </c>
      <c r="AC50" s="10">
        <v>143.36000000000001</v>
      </c>
      <c r="AD50" s="2"/>
      <c r="AE50" s="138"/>
    </row>
    <row r="51" spans="1:31" x14ac:dyDescent="0.25">
      <c r="A51" s="381"/>
      <c r="B51" s="380"/>
      <c r="C51" s="381"/>
      <c r="D51" s="382"/>
      <c r="E51" s="382"/>
      <c r="F51" s="382"/>
      <c r="G51" s="381"/>
      <c r="H51" s="381"/>
      <c r="I51" s="381"/>
      <c r="J51" s="381"/>
      <c r="K51" s="381"/>
      <c r="L51" s="381"/>
      <c r="M51" s="381"/>
      <c r="O51" s="83">
        <v>1.05</v>
      </c>
      <c r="P51" s="83">
        <f t="shared" si="3"/>
        <v>159.00150000000002</v>
      </c>
      <c r="Q51" s="2"/>
      <c r="T51" s="93" t="s">
        <v>105</v>
      </c>
      <c r="U51" s="435" t="s">
        <v>674</v>
      </c>
      <c r="W51" s="133">
        <v>42696</v>
      </c>
      <c r="X51" s="10">
        <v>146.55000000000001</v>
      </c>
      <c r="Y51" s="10">
        <v>146.55000000000001</v>
      </c>
      <c r="Z51" s="10">
        <v>141.75</v>
      </c>
      <c r="AA51" s="10">
        <v>143</v>
      </c>
      <c r="AB51" s="95">
        <v>3277500</v>
      </c>
      <c r="AC51" s="10">
        <v>142.85</v>
      </c>
      <c r="AD51" s="2"/>
      <c r="AE51" s="138"/>
    </row>
    <row r="52" spans="1:31" x14ac:dyDescent="0.25">
      <c r="A52" s="381"/>
      <c r="B52" s="380"/>
      <c r="C52" s="381"/>
      <c r="D52" s="382"/>
      <c r="E52" s="382"/>
      <c r="F52" s="382"/>
      <c r="G52" s="381"/>
      <c r="H52" s="381"/>
      <c r="I52" s="381"/>
      <c r="J52" s="381"/>
      <c r="K52" s="381"/>
      <c r="L52" s="381"/>
      <c r="M52" s="381"/>
      <c r="O52" s="83">
        <v>1.04</v>
      </c>
      <c r="P52" s="83">
        <f t="shared" si="3"/>
        <v>157.4872</v>
      </c>
      <c r="Q52" s="2"/>
      <c r="T52" s="93" t="s">
        <v>106</v>
      </c>
      <c r="U52" s="435" t="s">
        <v>306</v>
      </c>
      <c r="W52" s="133">
        <v>42695</v>
      </c>
      <c r="X52" s="10">
        <v>146.49</v>
      </c>
      <c r="Y52" s="10">
        <v>146.5</v>
      </c>
      <c r="Z52" s="10">
        <v>144.74</v>
      </c>
      <c r="AA52" s="10">
        <v>146.16999999999999</v>
      </c>
      <c r="AB52" s="95">
        <v>2975500</v>
      </c>
      <c r="AC52" s="10">
        <v>146.02000000000001</v>
      </c>
      <c r="AD52" s="2"/>
      <c r="AE52" s="138"/>
    </row>
    <row r="53" spans="1:31" x14ac:dyDescent="0.25">
      <c r="A53" s="381"/>
      <c r="B53" s="381"/>
      <c r="C53" s="381"/>
      <c r="D53" s="381"/>
      <c r="E53" s="382"/>
      <c r="F53" s="381"/>
      <c r="G53" s="381"/>
      <c r="H53" s="381"/>
      <c r="I53" s="381"/>
      <c r="J53" s="381"/>
      <c r="K53" s="381"/>
      <c r="L53" s="381"/>
      <c r="M53" s="381"/>
      <c r="O53" s="83">
        <v>1.03</v>
      </c>
      <c r="P53" s="83">
        <f t="shared" si="3"/>
        <v>155.97290000000001</v>
      </c>
      <c r="Q53" s="2"/>
      <c r="T53" s="93" t="s">
        <v>107</v>
      </c>
      <c r="U53" s="436">
        <v>1751819</v>
      </c>
      <c r="W53" s="133">
        <v>42692</v>
      </c>
      <c r="X53" s="10">
        <v>148.77000000000001</v>
      </c>
      <c r="Y53" s="10">
        <v>149.19999999999999</v>
      </c>
      <c r="Z53" s="10">
        <v>145.63</v>
      </c>
      <c r="AA53" s="10">
        <v>145.81</v>
      </c>
      <c r="AB53" s="95">
        <v>2631700</v>
      </c>
      <c r="AC53" s="10">
        <v>145.66</v>
      </c>
      <c r="AD53" s="2"/>
      <c r="AE53" s="138"/>
    </row>
    <row r="54" spans="1:31" x14ac:dyDescent="0.25">
      <c r="A54" s="22" t="s">
        <v>81</v>
      </c>
      <c r="B54" s="12"/>
      <c r="C54" s="12">
        <f>SUM(C45:C52)</f>
        <v>10</v>
      </c>
      <c r="D54" s="12"/>
      <c r="E54" s="13"/>
      <c r="F54" s="12">
        <f>SUM(F45:F52)</f>
        <v>1235</v>
      </c>
      <c r="G54" s="12"/>
      <c r="H54" s="77">
        <f>SUM(H45:H52)</f>
        <v>10</v>
      </c>
      <c r="I54" s="12"/>
      <c r="J54" s="12"/>
      <c r="K54" s="12">
        <f>SUM(K45:K53)</f>
        <v>1406.47</v>
      </c>
      <c r="L54" s="12"/>
      <c r="M54" s="13">
        <f>SUM(M45:M47)</f>
        <v>0</v>
      </c>
      <c r="O54" s="83">
        <v>1.02</v>
      </c>
      <c r="P54" s="83">
        <f t="shared" si="3"/>
        <v>154.45860000000002</v>
      </c>
      <c r="Q54" s="2"/>
      <c r="T54" s="93" t="s">
        <v>110</v>
      </c>
      <c r="U54" s="436">
        <v>2100410</v>
      </c>
      <c r="W54" s="133">
        <v>42691</v>
      </c>
      <c r="X54" s="10">
        <v>149.59</v>
      </c>
      <c r="Y54" s="10">
        <v>149.87</v>
      </c>
      <c r="Z54" s="10">
        <v>148.41999999999999</v>
      </c>
      <c r="AA54" s="10">
        <v>148.88</v>
      </c>
      <c r="AB54" s="95">
        <v>1552100</v>
      </c>
      <c r="AC54" s="10">
        <v>148.72999999999999</v>
      </c>
      <c r="AD54" s="2"/>
      <c r="AE54" s="138"/>
    </row>
    <row r="55" spans="1:31" x14ac:dyDescent="0.25">
      <c r="A55" s="381"/>
      <c r="B55" s="381"/>
      <c r="C55" s="381"/>
      <c r="D55" s="381"/>
      <c r="E55" s="382"/>
      <c r="F55" s="381"/>
      <c r="G55" s="381"/>
      <c r="H55" s="381"/>
      <c r="I55" s="381"/>
      <c r="J55" s="381"/>
      <c r="K55" s="381"/>
      <c r="L55" s="381"/>
      <c r="M55" s="381"/>
      <c r="O55" s="83">
        <v>1.01</v>
      </c>
      <c r="P55" s="83">
        <f t="shared" si="3"/>
        <v>152.9443</v>
      </c>
      <c r="Q55" s="2"/>
      <c r="T55" s="93" t="s">
        <v>108</v>
      </c>
      <c r="U55" s="435" t="s">
        <v>675</v>
      </c>
      <c r="W55" s="133">
        <v>42690</v>
      </c>
      <c r="X55" s="10">
        <v>148.88</v>
      </c>
      <c r="Y55" s="10">
        <v>150.12</v>
      </c>
      <c r="Z55" s="10">
        <v>148.63</v>
      </c>
      <c r="AA55" s="10">
        <v>149.49</v>
      </c>
      <c r="AB55" s="95">
        <v>1591500</v>
      </c>
      <c r="AC55" s="10">
        <v>149.34</v>
      </c>
      <c r="AD55" s="2"/>
      <c r="AE55" s="138"/>
    </row>
    <row r="56" spans="1:31" x14ac:dyDescent="0.25">
      <c r="O56" s="83">
        <v>1</v>
      </c>
      <c r="P56" s="83">
        <f t="shared" si="3"/>
        <v>151.43</v>
      </c>
      <c r="Q56" s="2"/>
      <c r="T56" s="93" t="s">
        <v>111</v>
      </c>
      <c r="U56" s="435">
        <v>30.32</v>
      </c>
      <c r="W56" s="133">
        <v>42689</v>
      </c>
      <c r="X56" s="10">
        <v>148.49</v>
      </c>
      <c r="Y56" s="10">
        <v>149.05000000000001</v>
      </c>
      <c r="Z56" s="10">
        <v>147.06</v>
      </c>
      <c r="AA56" s="10">
        <v>148.66</v>
      </c>
      <c r="AB56" s="95">
        <v>2114300</v>
      </c>
      <c r="AC56" s="10">
        <v>148.51</v>
      </c>
      <c r="AD56" s="2"/>
      <c r="AE56" s="138"/>
    </row>
    <row r="57" spans="1:31" x14ac:dyDescent="0.25">
      <c r="O57" s="83">
        <v>0.99</v>
      </c>
      <c r="P57" s="83">
        <f t="shared" si="3"/>
        <v>149.91570000000002</v>
      </c>
      <c r="Q57" s="2"/>
      <c r="T57" s="93" t="s">
        <v>112</v>
      </c>
      <c r="U57" s="435">
        <v>5</v>
      </c>
      <c r="W57" s="133">
        <v>42688</v>
      </c>
      <c r="X57" s="10">
        <v>152.52000000000001</v>
      </c>
      <c r="Y57" s="10">
        <v>153.05000000000001</v>
      </c>
      <c r="Z57" s="10">
        <v>147.72999999999999</v>
      </c>
      <c r="AA57" s="10">
        <v>148.02000000000001</v>
      </c>
      <c r="AB57" s="95">
        <v>2517100</v>
      </c>
      <c r="AC57" s="10">
        <v>147.87</v>
      </c>
      <c r="AD57" s="2"/>
      <c r="AE57" s="138"/>
    </row>
    <row r="58" spans="1:31" x14ac:dyDescent="0.25">
      <c r="O58" s="83">
        <v>0.98</v>
      </c>
      <c r="P58" s="83">
        <f t="shared" si="3"/>
        <v>148.4014</v>
      </c>
      <c r="Q58" s="2"/>
      <c r="T58" s="93" t="s">
        <v>109</v>
      </c>
      <c r="U58" s="435" t="s">
        <v>676</v>
      </c>
      <c r="W58" s="133">
        <v>42685</v>
      </c>
      <c r="X58" s="10">
        <v>153.38999999999999</v>
      </c>
      <c r="Y58" s="10">
        <v>153.59</v>
      </c>
      <c r="Z58" s="10">
        <v>150.66</v>
      </c>
      <c r="AA58" s="10">
        <v>151.25</v>
      </c>
      <c r="AB58" s="95">
        <v>1766300</v>
      </c>
      <c r="AC58" s="10">
        <v>151.09</v>
      </c>
      <c r="AD58" s="2"/>
      <c r="AE58" s="138"/>
    </row>
    <row r="59" spans="1:31" x14ac:dyDescent="0.25">
      <c r="O59" s="83">
        <v>0.97</v>
      </c>
      <c r="P59" s="83">
        <f t="shared" si="3"/>
        <v>146.8871</v>
      </c>
      <c r="W59" s="133">
        <v>42684</v>
      </c>
      <c r="X59" s="10">
        <v>153.80000000000001</v>
      </c>
      <c r="Y59" s="10">
        <v>155.6</v>
      </c>
      <c r="Z59" s="10">
        <v>152.87</v>
      </c>
      <c r="AA59" s="10">
        <v>154.35</v>
      </c>
      <c r="AB59" s="95">
        <v>2247900</v>
      </c>
      <c r="AC59" s="10">
        <v>154.19</v>
      </c>
      <c r="AD59" s="2"/>
      <c r="AE59" s="138"/>
    </row>
    <row r="60" spans="1:31" x14ac:dyDescent="0.25">
      <c r="O60" s="83">
        <v>0.96</v>
      </c>
      <c r="P60" s="83">
        <f t="shared" si="3"/>
        <v>145.37280000000001</v>
      </c>
      <c r="W60" s="133">
        <v>42683</v>
      </c>
      <c r="X60" s="10">
        <v>154.63999999999999</v>
      </c>
      <c r="Y60" s="10">
        <v>157.02000000000001</v>
      </c>
      <c r="Z60" s="10">
        <v>149.44999999999999</v>
      </c>
      <c r="AA60" s="10">
        <v>152.05000000000001</v>
      </c>
      <c r="AB60" s="95">
        <v>2441500</v>
      </c>
      <c r="AC60" s="10">
        <v>151.88999999999999</v>
      </c>
      <c r="AD60" s="2"/>
      <c r="AE60" s="138"/>
    </row>
    <row r="61" spans="1:31" x14ac:dyDescent="0.25">
      <c r="O61" s="83">
        <v>0.95</v>
      </c>
      <c r="P61" s="83">
        <f t="shared" si="3"/>
        <v>143.85849999999999</v>
      </c>
      <c r="W61" s="133">
        <v>42682</v>
      </c>
      <c r="X61" s="10">
        <v>151.41</v>
      </c>
      <c r="Y61" s="10">
        <v>154.04</v>
      </c>
      <c r="Z61" s="10">
        <v>150.58000000000001</v>
      </c>
      <c r="AA61" s="10">
        <v>152.56</v>
      </c>
      <c r="AB61" s="95">
        <v>1620000</v>
      </c>
      <c r="AC61" s="10">
        <v>152.4</v>
      </c>
      <c r="AD61" s="2"/>
      <c r="AE61" s="138"/>
    </row>
    <row r="62" spans="1:31" x14ac:dyDescent="0.25">
      <c r="O62" s="83">
        <v>0.94</v>
      </c>
      <c r="P62" s="83">
        <f t="shared" si="3"/>
        <v>142.3442</v>
      </c>
      <c r="W62" s="133">
        <v>42681</v>
      </c>
      <c r="X62" s="10">
        <v>148.88</v>
      </c>
      <c r="Y62" s="10">
        <v>152.38999999999999</v>
      </c>
      <c r="Z62" s="10">
        <v>148.16999999999999</v>
      </c>
      <c r="AA62" s="10">
        <v>151.81</v>
      </c>
      <c r="AB62" s="95">
        <v>2027200</v>
      </c>
      <c r="AC62" s="10">
        <v>151.65</v>
      </c>
      <c r="AD62" s="2"/>
      <c r="AE62" s="138"/>
    </row>
    <row r="63" spans="1:31" x14ac:dyDescent="0.25">
      <c r="O63" s="83">
        <v>0.93</v>
      </c>
      <c r="P63" s="83">
        <f t="shared" si="3"/>
        <v>140.82990000000001</v>
      </c>
      <c r="W63" s="133">
        <v>42678</v>
      </c>
      <c r="X63" s="10">
        <v>146.21</v>
      </c>
      <c r="Y63" s="10">
        <v>147.68</v>
      </c>
      <c r="Z63" s="10">
        <v>146.21</v>
      </c>
      <c r="AA63" s="10">
        <v>146.57</v>
      </c>
      <c r="AB63" s="95">
        <v>1365700</v>
      </c>
      <c r="AC63" s="10">
        <v>146.41999999999999</v>
      </c>
      <c r="AD63" s="2"/>
      <c r="AE63" s="138"/>
    </row>
    <row r="64" spans="1:31" x14ac:dyDescent="0.25">
      <c r="O64" s="83">
        <v>0.92</v>
      </c>
      <c r="P64" s="83">
        <f t="shared" si="3"/>
        <v>139.31560000000002</v>
      </c>
      <c r="W64" s="133">
        <v>42677</v>
      </c>
      <c r="X64" s="10">
        <v>145.83000000000001</v>
      </c>
      <c r="Y64" s="10">
        <v>146.85</v>
      </c>
      <c r="Z64" s="10">
        <v>145.69999999999999</v>
      </c>
      <c r="AA64" s="10">
        <v>146.08000000000001</v>
      </c>
      <c r="AB64" s="95">
        <v>1821200</v>
      </c>
      <c r="AC64" s="10">
        <v>145.93</v>
      </c>
      <c r="AD64" s="2"/>
      <c r="AE64" s="138"/>
    </row>
    <row r="65" spans="15:31" x14ac:dyDescent="0.25">
      <c r="O65" s="83">
        <v>0.91</v>
      </c>
      <c r="P65" s="83">
        <f t="shared" si="3"/>
        <v>137.8013</v>
      </c>
      <c r="W65" s="133">
        <v>42676</v>
      </c>
      <c r="X65" s="10">
        <v>145.76</v>
      </c>
      <c r="Y65" s="10">
        <v>146.96</v>
      </c>
      <c r="Z65" s="10">
        <v>145.52000000000001</v>
      </c>
      <c r="AA65" s="10">
        <v>145.80000000000001</v>
      </c>
      <c r="AB65" s="95">
        <v>1791000</v>
      </c>
      <c r="AC65" s="10">
        <v>145.65</v>
      </c>
      <c r="AD65" s="2"/>
      <c r="AE65" s="138"/>
    </row>
    <row r="66" spans="15:31" x14ac:dyDescent="0.25">
      <c r="O66" s="83">
        <v>0.9</v>
      </c>
      <c r="P66" s="83">
        <f t="shared" si="3"/>
        <v>136.28700000000001</v>
      </c>
      <c r="W66" s="133">
        <v>42675</v>
      </c>
      <c r="X66" s="10">
        <v>148</v>
      </c>
      <c r="Y66" s="10">
        <v>148</v>
      </c>
      <c r="Z66" s="10">
        <v>144.34</v>
      </c>
      <c r="AA66" s="10">
        <v>146.02000000000001</v>
      </c>
      <c r="AB66" s="95">
        <v>1900600</v>
      </c>
      <c r="AC66" s="10">
        <v>145.87</v>
      </c>
      <c r="AD66" s="2"/>
      <c r="AE66" s="138"/>
    </row>
    <row r="67" spans="15:31" x14ac:dyDescent="0.25">
      <c r="W67" s="133">
        <v>42674</v>
      </c>
      <c r="X67" s="10">
        <v>147.44999999999999</v>
      </c>
      <c r="Y67" s="10">
        <v>148.41</v>
      </c>
      <c r="Z67" s="10">
        <v>146.96</v>
      </c>
      <c r="AA67" s="10">
        <v>147.03</v>
      </c>
      <c r="AB67" s="95">
        <v>1345800</v>
      </c>
      <c r="AC67" s="10">
        <v>146.88</v>
      </c>
      <c r="AD67" s="2"/>
      <c r="AE67" s="138"/>
    </row>
    <row r="68" spans="15:31" x14ac:dyDescent="0.25">
      <c r="W68" s="133">
        <v>42671</v>
      </c>
      <c r="X68" s="10">
        <v>149.5</v>
      </c>
      <c r="Y68" s="10">
        <v>149.74</v>
      </c>
      <c r="Z68" s="10">
        <v>147.04</v>
      </c>
      <c r="AA68" s="10">
        <v>147.21</v>
      </c>
      <c r="AB68" s="95">
        <v>1805900</v>
      </c>
      <c r="AC68" s="10">
        <v>147.06</v>
      </c>
      <c r="AD68" s="2"/>
      <c r="AE68" s="138"/>
    </row>
    <row r="69" spans="15:31" x14ac:dyDescent="0.25">
      <c r="W69" s="133" t="s">
        <v>121</v>
      </c>
      <c r="X69" s="10"/>
      <c r="Y69" s="10"/>
      <c r="Z69" s="10"/>
      <c r="AA69" s="10"/>
      <c r="AB69" s="95"/>
      <c r="AC69" s="10"/>
      <c r="AD69" s="2"/>
      <c r="AE69" s="138"/>
    </row>
  </sheetData>
  <mergeCells count="1">
    <mergeCell ref="O45:P45"/>
  </mergeCells>
  <conditionalFormatting sqref="O46:O66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:F26 F31:F41">
    <cfRule type="expression" dxfId="41" priority="15">
      <formula>F25&gt;0</formula>
    </cfRule>
    <cfRule type="expression" dxfId="40" priority="16">
      <formula>F25&lt;0</formula>
    </cfRule>
  </conditionalFormatting>
  <conditionalFormatting sqref="H25:H26 H31:H41">
    <cfRule type="expression" dxfId="39" priority="13">
      <formula>H25&gt;0</formula>
    </cfRule>
    <cfRule type="expression" dxfId="38" priority="14">
      <formula>H25&lt;0</formula>
    </cfRule>
  </conditionalFormatting>
  <conditionalFormatting sqref="F21:F24">
    <cfRule type="expression" dxfId="37" priority="11">
      <formula>F21&gt;0</formula>
    </cfRule>
    <cfRule type="expression" dxfId="36" priority="12">
      <formula>F21&lt;0</formula>
    </cfRule>
  </conditionalFormatting>
  <conditionalFormatting sqref="H21:H24">
    <cfRule type="expression" dxfId="35" priority="9">
      <formula>H21&gt;0</formula>
    </cfRule>
    <cfRule type="expression" dxfId="34" priority="10">
      <formula>H21&lt;0</formula>
    </cfRule>
  </conditionalFormatting>
  <conditionalFormatting sqref="Q8">
    <cfRule type="expression" dxfId="33" priority="5">
      <formula>Q8&gt;0</formula>
    </cfRule>
    <cfRule type="expression" dxfId="32" priority="6">
      <formula>Q8&lt;0</formula>
    </cfRule>
  </conditionalFormatting>
  <conditionalFormatting sqref="Q7">
    <cfRule type="expression" dxfId="31" priority="7">
      <formula>Q7&gt;0</formula>
    </cfRule>
    <cfRule type="expression" dxfId="30" priority="8">
      <formula>Q7&lt;0</formula>
    </cfRule>
  </conditionalFormatting>
  <conditionalFormatting sqref="F27:F30">
    <cfRule type="expression" dxfId="29" priority="3">
      <formula>F27&gt;0</formula>
    </cfRule>
    <cfRule type="expression" dxfId="28" priority="4">
      <formula>F27&lt;0</formula>
    </cfRule>
  </conditionalFormatting>
  <conditionalFormatting sqref="H27:H30">
    <cfRule type="expression" dxfId="27" priority="1">
      <formula>H27&gt;0</formula>
    </cfRule>
    <cfRule type="expression" dxfId="26" priority="2">
      <formula>H27&lt;0</formula>
    </cfRule>
  </conditionalFormatting>
  <hyperlinks>
    <hyperlink ref="A3" location="ACTIVE!A1" display="Back"/>
    <hyperlink ref="A4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bestFit="1" customWidth="1"/>
    <col min="21" max="21" width="34.7109375" style="86" bestFit="1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1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4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  <c r="AI1" s="11" t="s">
        <v>156</v>
      </c>
      <c r="AJ1" s="11" t="s">
        <v>157</v>
      </c>
      <c r="AK1" s="11" t="s">
        <v>158</v>
      </c>
      <c r="AL1" s="11" t="s">
        <v>159</v>
      </c>
      <c r="AO1" s="11" t="s">
        <v>160</v>
      </c>
      <c r="AP1" s="11" t="s">
        <v>59</v>
      </c>
      <c r="AQ1" s="11" t="s">
        <v>162</v>
      </c>
    </row>
    <row r="2" spans="1:43" x14ac:dyDescent="0.25">
      <c r="A2" s="6" t="s">
        <v>39</v>
      </c>
      <c r="B2" s="74"/>
      <c r="C2" s="4"/>
      <c r="D2" s="3"/>
      <c r="E2" s="3"/>
      <c r="F2" s="3"/>
      <c r="G2" s="74"/>
      <c r="H2" s="185"/>
      <c r="I2" s="3"/>
      <c r="J2" s="3"/>
      <c r="K2" s="4"/>
      <c r="L2" s="74"/>
      <c r="M2" s="3"/>
      <c r="O2" s="11" t="s">
        <v>57</v>
      </c>
      <c r="Q2">
        <f>C18-H18</f>
        <v>0</v>
      </c>
      <c r="T2" s="1">
        <v>42305</v>
      </c>
      <c r="U2" s="86" t="s">
        <v>142</v>
      </c>
      <c r="W2" s="133">
        <v>42768</v>
      </c>
      <c r="X2" s="10">
        <v>44.6</v>
      </c>
      <c r="Y2" s="10">
        <v>44.85</v>
      </c>
      <c r="Z2" s="10">
        <v>43.9</v>
      </c>
      <c r="AA2" s="10">
        <v>44.2</v>
      </c>
      <c r="AB2" s="95">
        <v>535500</v>
      </c>
      <c r="AC2" s="10">
        <v>44.2</v>
      </c>
      <c r="AD2" s="2">
        <f>Y2-Z2</f>
        <v>0.95000000000000284</v>
      </c>
      <c r="AE2" s="138">
        <f>AC2/AC3-1</f>
        <v>-1.2290502793296021E-2</v>
      </c>
      <c r="AP2" t="s">
        <v>161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74"/>
      <c r="M3" s="3"/>
      <c r="O3" s="11" t="s">
        <v>58</v>
      </c>
      <c r="Q3" s="2">
        <f>IF(Q2=0, Q4, (F18-K18-M18)/Q2)</f>
        <v>44.6</v>
      </c>
      <c r="W3" s="133">
        <v>42767</v>
      </c>
      <c r="X3" s="10">
        <v>44.65</v>
      </c>
      <c r="Y3" s="10">
        <v>44.9</v>
      </c>
      <c r="Z3" s="10">
        <v>44.1</v>
      </c>
      <c r="AA3" s="10">
        <v>44.75</v>
      </c>
      <c r="AB3" s="95">
        <v>578300</v>
      </c>
      <c r="AC3" s="10">
        <v>44.75</v>
      </c>
      <c r="AD3" s="2">
        <f t="shared" ref="AD3:AD66" si="0">Y3-Z3</f>
        <v>0.79999999999999716</v>
      </c>
      <c r="AE3" s="138">
        <f t="shared" ref="AE3:AE66" si="1">AC3/AC4-1</f>
        <v>7.8828828828829689E-3</v>
      </c>
      <c r="AI3" t="s">
        <v>169</v>
      </c>
      <c r="AJ3">
        <v>90</v>
      </c>
      <c r="AK3">
        <v>28.4</v>
      </c>
      <c r="AL3" s="234">
        <v>2556</v>
      </c>
      <c r="AO3" s="234">
        <v>2894.4</v>
      </c>
      <c r="AP3">
        <v>338.4</v>
      </c>
      <c r="AQ3">
        <v>13.24</v>
      </c>
    </row>
    <row r="4" spans="1:43" x14ac:dyDescent="0.25">
      <c r="B4" s="74"/>
      <c r="C4" s="4"/>
      <c r="D4" s="3"/>
      <c r="E4" s="3"/>
      <c r="F4" s="3"/>
      <c r="G4" s="74"/>
      <c r="H4" s="185"/>
      <c r="I4" s="4"/>
      <c r="J4" s="3"/>
      <c r="K4" s="4"/>
      <c r="L4" s="4"/>
      <c r="M4" s="4"/>
      <c r="O4" s="11" t="s">
        <v>66</v>
      </c>
      <c r="Q4" s="55">
        <v>44.6</v>
      </c>
      <c r="R4" s="505">
        <v>8.9999999999999993E-3</v>
      </c>
      <c r="W4" s="133">
        <v>42766</v>
      </c>
      <c r="X4" s="10">
        <v>44.6</v>
      </c>
      <c r="Y4" s="10">
        <v>44.6</v>
      </c>
      <c r="Z4" s="10">
        <v>43.51</v>
      </c>
      <c r="AA4" s="10">
        <v>44.4</v>
      </c>
      <c r="AB4" s="95">
        <v>737100</v>
      </c>
      <c r="AC4" s="10">
        <v>44.4</v>
      </c>
      <c r="AD4" s="2">
        <f t="shared" si="0"/>
        <v>1.0900000000000034</v>
      </c>
      <c r="AE4" s="138">
        <f t="shared" si="1"/>
        <v>-7.8212290502793769E-3</v>
      </c>
    </row>
    <row r="5" spans="1:43" x14ac:dyDescent="0.25">
      <c r="B5" s="74"/>
      <c r="C5" s="4"/>
      <c r="D5" s="3"/>
      <c r="E5" s="3"/>
      <c r="F5" s="3"/>
      <c r="G5" s="74"/>
      <c r="H5" s="185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42765</v>
      </c>
      <c r="X5" s="10">
        <v>45.1</v>
      </c>
      <c r="Y5" s="10">
        <v>45.15</v>
      </c>
      <c r="Z5" s="10">
        <v>44.55</v>
      </c>
      <c r="AA5" s="10">
        <v>44.75</v>
      </c>
      <c r="AB5" s="95">
        <v>1185000</v>
      </c>
      <c r="AC5" s="10">
        <v>44.75</v>
      </c>
      <c r="AD5" s="2">
        <f t="shared" si="0"/>
        <v>0.60000000000000142</v>
      </c>
      <c r="AE5" s="138">
        <f t="shared" si="1"/>
        <v>-1.4317180616740033E-2</v>
      </c>
    </row>
    <row r="6" spans="1:43" x14ac:dyDescent="0.25">
      <c r="B6" s="74"/>
      <c r="C6" s="4"/>
      <c r="D6" s="3"/>
      <c r="E6" s="3"/>
      <c r="F6" s="3"/>
      <c r="G6" s="74"/>
      <c r="H6" s="185"/>
      <c r="I6" s="3"/>
      <c r="J6" s="3"/>
      <c r="K6" s="4"/>
      <c r="L6" s="4"/>
      <c r="M6" s="4"/>
      <c r="O6" s="11" t="s">
        <v>64</v>
      </c>
      <c r="Q6" s="2">
        <f>Q3*Q2</f>
        <v>0</v>
      </c>
      <c r="W6" s="133">
        <v>42762</v>
      </c>
      <c r="X6" s="10">
        <v>44.65</v>
      </c>
      <c r="Y6" s="10">
        <v>45.6</v>
      </c>
      <c r="Z6" s="10">
        <v>44.65</v>
      </c>
      <c r="AA6" s="10">
        <v>45.4</v>
      </c>
      <c r="AB6" s="95">
        <v>2029400</v>
      </c>
      <c r="AC6" s="10">
        <v>45.4</v>
      </c>
      <c r="AD6" s="2">
        <f t="shared" si="0"/>
        <v>0.95000000000000284</v>
      </c>
      <c r="AE6" s="138">
        <f t="shared" si="1"/>
        <v>3.2992036405005587E-2</v>
      </c>
    </row>
    <row r="7" spans="1:43" x14ac:dyDescent="0.25">
      <c r="B7" s="7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181</v>
      </c>
      <c r="Q7" s="2">
        <f>Q10+Q8</f>
        <v>529.88000000000284</v>
      </c>
      <c r="R7">
        <v>0</v>
      </c>
      <c r="W7" s="133">
        <v>42761</v>
      </c>
      <c r="X7" s="10">
        <v>44.45</v>
      </c>
      <c r="Y7" s="10">
        <v>44.75</v>
      </c>
      <c r="Z7" s="10">
        <v>43.85</v>
      </c>
      <c r="AA7" s="10">
        <v>43.95</v>
      </c>
      <c r="AB7" s="95">
        <v>687800</v>
      </c>
      <c r="AC7" s="10">
        <v>43.95</v>
      </c>
      <c r="AD7" s="2">
        <f t="shared" si="0"/>
        <v>0.89999999999999858</v>
      </c>
      <c r="AE7" s="138">
        <f t="shared" si="1"/>
        <v>-1.6778523489932917E-2</v>
      </c>
    </row>
    <row r="8" spans="1:43" x14ac:dyDescent="0.25">
      <c r="B8" s="7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184</v>
      </c>
      <c r="P8" s="34"/>
      <c r="Q8" s="2">
        <f>K18+M18-F18+Q2*Q4</f>
        <v>0</v>
      </c>
      <c r="W8" s="133">
        <v>42760</v>
      </c>
      <c r="X8" s="10">
        <v>44.4</v>
      </c>
      <c r="Y8" s="10">
        <v>44.75</v>
      </c>
      <c r="Z8" s="10">
        <v>44.05</v>
      </c>
      <c r="AA8" s="10">
        <v>44.7</v>
      </c>
      <c r="AB8" s="95">
        <v>901000</v>
      </c>
      <c r="AC8" s="10">
        <v>44.7</v>
      </c>
      <c r="AD8" s="2">
        <f t="shared" si="0"/>
        <v>0.70000000000000284</v>
      </c>
      <c r="AE8" s="138">
        <f t="shared" si="1"/>
        <v>1.2457531143827971E-2</v>
      </c>
    </row>
    <row r="9" spans="1:43" x14ac:dyDescent="0.25">
      <c r="B9" s="7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214</v>
      </c>
      <c r="Q9" s="138">
        <f>IF(Q2=0, 0, Q8/Q6)</f>
        <v>0</v>
      </c>
      <c r="W9" s="133">
        <v>42759</v>
      </c>
      <c r="X9" s="10">
        <v>43</v>
      </c>
      <c r="Y9" s="10">
        <v>44.38</v>
      </c>
      <c r="Z9" s="10">
        <v>42.6</v>
      </c>
      <c r="AA9" s="10">
        <v>44.15</v>
      </c>
      <c r="AB9" s="95">
        <v>889800</v>
      </c>
      <c r="AC9" s="10">
        <v>44.15</v>
      </c>
      <c r="AD9" s="2">
        <f t="shared" si="0"/>
        <v>1.7800000000000011</v>
      </c>
      <c r="AE9" s="138">
        <f t="shared" si="1"/>
        <v>3.7602820211515953E-2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213</v>
      </c>
      <c r="P10" s="34"/>
      <c r="Q10" s="2">
        <f>M36</f>
        <v>529.88000000000284</v>
      </c>
      <c r="W10" s="133">
        <v>42758</v>
      </c>
      <c r="X10" s="10">
        <v>42.75</v>
      </c>
      <c r="Y10" s="10">
        <v>42.95</v>
      </c>
      <c r="Z10" s="10">
        <v>42.03</v>
      </c>
      <c r="AA10" s="10">
        <v>42.55</v>
      </c>
      <c r="AB10" s="95">
        <v>595300</v>
      </c>
      <c r="AC10" s="10">
        <v>42.55</v>
      </c>
      <c r="AD10" s="2">
        <f t="shared" si="0"/>
        <v>0.92000000000000171</v>
      </c>
      <c r="AE10" s="138">
        <f t="shared" si="1"/>
        <v>-9.3131548311992107E-3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178</v>
      </c>
      <c r="P11" s="34"/>
      <c r="Q11" s="138">
        <f>IF(U58="N/A (N/A)", 0, VALUE(TRIM(CLEAN(MID(U58, FIND("(", U58)+1, 5)))))</f>
        <v>2.3400000000000001E-2</v>
      </c>
      <c r="W11" s="133">
        <v>42755</v>
      </c>
      <c r="X11" s="10">
        <v>43.45</v>
      </c>
      <c r="Y11" s="10">
        <v>43.65</v>
      </c>
      <c r="Z11" s="10">
        <v>42.73</v>
      </c>
      <c r="AA11" s="10">
        <v>42.95</v>
      </c>
      <c r="AB11" s="95">
        <v>631400</v>
      </c>
      <c r="AC11" s="10">
        <v>42.95</v>
      </c>
      <c r="AD11" s="2">
        <f t="shared" si="0"/>
        <v>0.92000000000000171</v>
      </c>
      <c r="AE11" s="138">
        <f t="shared" si="1"/>
        <v>-9.2272202998846531E-3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3">
        <v>42754</v>
      </c>
      <c r="X12" s="10">
        <v>44.25</v>
      </c>
      <c r="Y12" s="10">
        <v>44.3</v>
      </c>
      <c r="Z12" s="10">
        <v>43.2</v>
      </c>
      <c r="AA12" s="10">
        <v>43.35</v>
      </c>
      <c r="AB12" s="95">
        <v>690500</v>
      </c>
      <c r="AC12" s="10">
        <v>43.35</v>
      </c>
      <c r="AD12" s="2">
        <f t="shared" si="0"/>
        <v>1.0999999999999943</v>
      </c>
      <c r="AE12" s="138">
        <f t="shared" si="1"/>
        <v>-1.1402508551881407E-2</v>
      </c>
    </row>
    <row r="13" spans="1:43" x14ac:dyDescent="0.25">
      <c r="W13" s="133">
        <v>42753</v>
      </c>
      <c r="X13" s="10">
        <v>43.8</v>
      </c>
      <c r="Y13" s="10">
        <v>44.05</v>
      </c>
      <c r="Z13" s="10">
        <v>43.65</v>
      </c>
      <c r="AA13" s="10">
        <v>43.85</v>
      </c>
      <c r="AB13" s="95">
        <v>1013000</v>
      </c>
      <c r="AC13" s="10">
        <v>43.85</v>
      </c>
      <c r="AD13" s="2">
        <f t="shared" si="0"/>
        <v>0.39999999999999858</v>
      </c>
      <c r="AE13" s="138">
        <f t="shared" si="1"/>
        <v>1.1415525114155667E-3</v>
      </c>
    </row>
    <row r="14" spans="1:43" x14ac:dyDescent="0.25">
      <c r="W14" s="133">
        <v>42752</v>
      </c>
      <c r="X14" s="10">
        <v>43.85</v>
      </c>
      <c r="Y14" s="10">
        <v>44.2</v>
      </c>
      <c r="Z14" s="10">
        <v>43.55</v>
      </c>
      <c r="AA14" s="10">
        <v>43.8</v>
      </c>
      <c r="AB14" s="95">
        <v>1107200</v>
      </c>
      <c r="AC14" s="10">
        <v>43.8</v>
      </c>
      <c r="AD14" s="2">
        <f t="shared" si="0"/>
        <v>0.65000000000000568</v>
      </c>
      <c r="AE14" s="138">
        <f t="shared" si="1"/>
        <v>-9.0497737556561875E-3</v>
      </c>
    </row>
    <row r="15" spans="1:43" x14ac:dyDescent="0.25">
      <c r="W15" s="133">
        <v>42748</v>
      </c>
      <c r="X15" s="10">
        <v>43.1</v>
      </c>
      <c r="Y15" s="10">
        <v>44.55</v>
      </c>
      <c r="Z15" s="10">
        <v>43.05</v>
      </c>
      <c r="AA15" s="10">
        <v>44.2</v>
      </c>
      <c r="AB15" s="95">
        <v>832700</v>
      </c>
      <c r="AC15" s="10">
        <v>44.2</v>
      </c>
      <c r="AD15" s="2">
        <f t="shared" si="0"/>
        <v>1.5</v>
      </c>
      <c r="AE15" s="138">
        <f t="shared" si="1"/>
        <v>3.1505250875145885E-2</v>
      </c>
    </row>
    <row r="16" spans="1:43" x14ac:dyDescent="0.25">
      <c r="W16" s="133">
        <v>42747</v>
      </c>
      <c r="X16" s="10">
        <v>43.35</v>
      </c>
      <c r="Y16" s="10">
        <v>43.35</v>
      </c>
      <c r="Z16" s="10">
        <v>42.35</v>
      </c>
      <c r="AA16" s="10">
        <v>42.85</v>
      </c>
      <c r="AB16" s="95">
        <v>822500</v>
      </c>
      <c r="AC16" s="10">
        <v>42.85</v>
      </c>
      <c r="AD16" s="2">
        <f t="shared" si="0"/>
        <v>1</v>
      </c>
      <c r="AE16" s="138">
        <f t="shared" si="1"/>
        <v>-1.1534025374855816E-2</v>
      </c>
    </row>
    <row r="17" spans="1:31" x14ac:dyDescent="0.25">
      <c r="W17" s="133">
        <v>42746</v>
      </c>
      <c r="X17" s="10">
        <v>43.1</v>
      </c>
      <c r="Y17" s="10">
        <v>43.43</v>
      </c>
      <c r="Z17" s="10">
        <v>42.85</v>
      </c>
      <c r="AA17" s="10">
        <v>43.35</v>
      </c>
      <c r="AB17" s="95">
        <v>1160500</v>
      </c>
      <c r="AC17" s="10">
        <v>43.35</v>
      </c>
      <c r="AD17" s="2">
        <f t="shared" si="0"/>
        <v>0.57999999999999829</v>
      </c>
      <c r="AE17" s="138">
        <f t="shared" si="1"/>
        <v>2.3612750885478206E-2</v>
      </c>
    </row>
    <row r="18" spans="1:31" x14ac:dyDescent="0.25">
      <c r="A18" s="32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3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3">
        <v>42745</v>
      </c>
      <c r="X18" s="10">
        <v>41.8</v>
      </c>
      <c r="Y18" s="10">
        <v>42.45</v>
      </c>
      <c r="Z18" s="10">
        <v>41.2</v>
      </c>
      <c r="AA18" s="10">
        <v>42.35</v>
      </c>
      <c r="AB18" s="95">
        <v>1361300</v>
      </c>
      <c r="AC18" s="10">
        <v>42.35</v>
      </c>
      <c r="AD18" s="2">
        <f t="shared" si="0"/>
        <v>1.25</v>
      </c>
      <c r="AE18" s="138">
        <f t="shared" si="1"/>
        <v>1.8028846153846256E-2</v>
      </c>
    </row>
    <row r="19" spans="1:31" x14ac:dyDescent="0.25">
      <c r="W19" s="133">
        <v>42744</v>
      </c>
      <c r="X19" s="10">
        <v>41.9</v>
      </c>
      <c r="Y19" s="10">
        <v>42.1</v>
      </c>
      <c r="Z19" s="10">
        <v>41.2</v>
      </c>
      <c r="AA19" s="10">
        <v>41.6</v>
      </c>
      <c r="AB19" s="95">
        <v>804900</v>
      </c>
      <c r="AC19" s="10">
        <v>41.6</v>
      </c>
      <c r="AD19" s="2">
        <f t="shared" si="0"/>
        <v>0.89999999999999858</v>
      </c>
      <c r="AE19" s="138">
        <f t="shared" si="1"/>
        <v>-1.3048635824436494E-2</v>
      </c>
    </row>
    <row r="20" spans="1:31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5" t="s">
        <v>65</v>
      </c>
      <c r="G20" s="229" t="s">
        <v>152</v>
      </c>
      <c r="H20" s="195" t="s">
        <v>88</v>
      </c>
      <c r="I20" s="194" t="s">
        <v>155</v>
      </c>
      <c r="W20" s="133">
        <v>42741</v>
      </c>
      <c r="X20" s="10">
        <v>41.5</v>
      </c>
      <c r="Y20" s="10">
        <v>42.35</v>
      </c>
      <c r="Z20" s="10">
        <v>41.3</v>
      </c>
      <c r="AA20" s="10">
        <v>42.15</v>
      </c>
      <c r="AB20" s="95">
        <v>1147500</v>
      </c>
      <c r="AC20" s="10">
        <v>42.15</v>
      </c>
      <c r="AD20" s="2">
        <f t="shared" si="0"/>
        <v>1.0500000000000043</v>
      </c>
      <c r="AE20" s="138">
        <f t="shared" si="1"/>
        <v>1.5662650602409567E-2</v>
      </c>
    </row>
    <row r="21" spans="1:31" x14ac:dyDescent="0.25">
      <c r="B21" s="193">
        <v>42304</v>
      </c>
      <c r="C21" s="10">
        <v>340</v>
      </c>
      <c r="D21" s="40">
        <v>29.77</v>
      </c>
      <c r="E21" s="40">
        <v>28.78</v>
      </c>
      <c r="F21" s="40">
        <v>-337</v>
      </c>
      <c r="G21" s="40">
        <f t="shared" ref="G21:G31" si="2">IF(C21=0, 0,D21*C21)</f>
        <v>10121.799999999999</v>
      </c>
      <c r="H21" s="232">
        <f t="shared" ref="H21:H31" si="3">IF(C21=0, D21, (E21-D21)/D21)</f>
        <v>-3.3254954652334516E-2</v>
      </c>
      <c r="I21" s="40"/>
      <c r="W21" s="133">
        <v>42740</v>
      </c>
      <c r="X21" s="10">
        <v>41.55</v>
      </c>
      <c r="Y21" s="10">
        <v>42.15</v>
      </c>
      <c r="Z21" s="10">
        <v>40.950000000000003</v>
      </c>
      <c r="AA21" s="10">
        <v>41.5</v>
      </c>
      <c r="AB21" s="95">
        <v>719700</v>
      </c>
      <c r="AC21" s="10">
        <v>41.5</v>
      </c>
      <c r="AD21" s="2">
        <f t="shared" si="0"/>
        <v>1.1999999999999957</v>
      </c>
      <c r="AE21" s="138">
        <f t="shared" si="1"/>
        <v>1.2062726176114147E-3</v>
      </c>
    </row>
    <row r="22" spans="1:31" x14ac:dyDescent="0.25">
      <c r="B22" s="193">
        <v>42305</v>
      </c>
      <c r="C22" s="10">
        <v>170</v>
      </c>
      <c r="D22" s="40">
        <v>29.3</v>
      </c>
      <c r="E22" s="40">
        <v>30.6</v>
      </c>
      <c r="F22" s="40">
        <v>220.36000000000058</v>
      </c>
      <c r="G22" s="40">
        <f t="shared" si="2"/>
        <v>4981</v>
      </c>
      <c r="H22" s="232">
        <f t="shared" si="3"/>
        <v>4.4368600682593878E-2</v>
      </c>
      <c r="I22" s="40"/>
      <c r="W22" s="133">
        <v>42739</v>
      </c>
      <c r="X22" s="10">
        <v>41.05</v>
      </c>
      <c r="Y22" s="10">
        <v>41.75</v>
      </c>
      <c r="Z22" s="10">
        <v>40.9</v>
      </c>
      <c r="AA22" s="10">
        <v>41.45</v>
      </c>
      <c r="AB22" s="95">
        <v>1304000</v>
      </c>
      <c r="AC22" s="10">
        <v>41.45</v>
      </c>
      <c r="AD22" s="2">
        <f t="shared" si="0"/>
        <v>0.85000000000000142</v>
      </c>
      <c r="AE22" s="138">
        <f t="shared" si="1"/>
        <v>1.2210012210012167E-2</v>
      </c>
    </row>
    <row r="23" spans="1:31" x14ac:dyDescent="0.25">
      <c r="B23" s="193">
        <v>42311</v>
      </c>
      <c r="C23" s="10">
        <v>90</v>
      </c>
      <c r="D23" s="40">
        <v>26.46</v>
      </c>
      <c r="E23" s="40">
        <v>32.409999999999997</v>
      </c>
      <c r="F23" s="40">
        <v>535.21</v>
      </c>
      <c r="G23" s="40">
        <f t="shared" si="2"/>
        <v>2381.4</v>
      </c>
      <c r="H23" s="232">
        <f t="shared" si="3"/>
        <v>0.22486772486772469</v>
      </c>
      <c r="I23" s="40"/>
      <c r="W23" s="133">
        <v>42738</v>
      </c>
      <c r="X23" s="10">
        <v>40.25</v>
      </c>
      <c r="Y23" s="10">
        <v>41.15</v>
      </c>
      <c r="Z23" s="10">
        <v>40.049999999999997</v>
      </c>
      <c r="AA23" s="10">
        <v>40.950000000000003</v>
      </c>
      <c r="AB23" s="95">
        <v>1053800</v>
      </c>
      <c r="AC23" s="10">
        <v>40.950000000000003</v>
      </c>
      <c r="AD23" s="2">
        <f t="shared" si="0"/>
        <v>1.1000000000000014</v>
      </c>
      <c r="AE23" s="138">
        <f t="shared" si="1"/>
        <v>3.1486146095717871E-2</v>
      </c>
    </row>
    <row r="24" spans="1:31" x14ac:dyDescent="0.25">
      <c r="B24" s="193">
        <v>42345</v>
      </c>
      <c r="C24" s="10">
        <v>90</v>
      </c>
      <c r="D24" s="40">
        <v>26.2</v>
      </c>
      <c r="E24" s="40">
        <v>30.88</v>
      </c>
      <c r="F24" s="40">
        <v>421</v>
      </c>
      <c r="G24" s="40">
        <f t="shared" si="2"/>
        <v>2358</v>
      </c>
      <c r="H24" s="232">
        <f t="shared" si="3"/>
        <v>0.17862595419847327</v>
      </c>
      <c r="I24" s="40"/>
      <c r="W24" s="133">
        <v>42734</v>
      </c>
      <c r="X24" s="10">
        <v>40</v>
      </c>
      <c r="Y24" s="10">
        <v>40</v>
      </c>
      <c r="Z24" s="10">
        <v>39.4</v>
      </c>
      <c r="AA24" s="10">
        <v>39.700000000000003</v>
      </c>
      <c r="AB24" s="95">
        <v>412900</v>
      </c>
      <c r="AC24" s="10">
        <v>39.700000000000003</v>
      </c>
      <c r="AD24" s="2">
        <f t="shared" si="0"/>
        <v>0.60000000000000142</v>
      </c>
      <c r="AE24" s="138">
        <f t="shared" si="1"/>
        <v>-6.2578222778473247E-3</v>
      </c>
    </row>
    <row r="25" spans="1:31" x14ac:dyDescent="0.25">
      <c r="B25" s="193">
        <v>42349</v>
      </c>
      <c r="C25" s="10">
        <v>90</v>
      </c>
      <c r="D25" s="40">
        <v>26.2</v>
      </c>
      <c r="E25" s="40">
        <v>28.79</v>
      </c>
      <c r="F25" s="40">
        <v>232.81</v>
      </c>
      <c r="G25" s="40">
        <f t="shared" si="2"/>
        <v>2358</v>
      </c>
      <c r="H25" s="232">
        <f t="shared" si="3"/>
        <v>9.8854961832061064E-2</v>
      </c>
      <c r="I25" s="40"/>
      <c r="W25" s="133">
        <v>42733</v>
      </c>
      <c r="X25" s="10">
        <v>40.049999999999997</v>
      </c>
      <c r="Y25" s="10">
        <v>40.25</v>
      </c>
      <c r="Z25" s="10">
        <v>39.799999999999997</v>
      </c>
      <c r="AA25" s="10">
        <v>39.950000000000003</v>
      </c>
      <c r="AB25" s="95">
        <v>343300</v>
      </c>
      <c r="AC25" s="10">
        <v>39.950000000000003</v>
      </c>
      <c r="AD25" s="2">
        <f t="shared" si="0"/>
        <v>0.45000000000000284</v>
      </c>
      <c r="AE25" s="138">
        <f t="shared" si="1"/>
        <v>0</v>
      </c>
    </row>
    <row r="26" spans="1:31" x14ac:dyDescent="0.25">
      <c r="B26" s="193">
        <v>42356</v>
      </c>
      <c r="C26" s="10">
        <v>130</v>
      </c>
      <c r="D26" s="40">
        <v>26.53</v>
      </c>
      <c r="E26" s="40">
        <v>27.26</v>
      </c>
      <c r="F26" s="40">
        <v>95.51</v>
      </c>
      <c r="G26" s="40">
        <f t="shared" si="2"/>
        <v>3448.9</v>
      </c>
      <c r="H26" s="232">
        <f t="shared" si="3"/>
        <v>2.7516019600452333E-2</v>
      </c>
      <c r="I26" s="40"/>
      <c r="W26" s="133">
        <v>42732</v>
      </c>
      <c r="X26" s="10">
        <v>40.799999999999997</v>
      </c>
      <c r="Y26" s="10">
        <v>41.05</v>
      </c>
      <c r="Z26" s="10">
        <v>39.75</v>
      </c>
      <c r="AA26" s="10">
        <v>39.950000000000003</v>
      </c>
      <c r="AB26" s="95">
        <v>475700</v>
      </c>
      <c r="AC26" s="10">
        <v>39.950000000000003</v>
      </c>
      <c r="AD26" s="2">
        <f t="shared" si="0"/>
        <v>1.2999999999999972</v>
      </c>
      <c r="AE26" s="138">
        <f t="shared" si="1"/>
        <v>-1.7220172201721895E-2</v>
      </c>
    </row>
    <row r="27" spans="1:31" x14ac:dyDescent="0.25">
      <c r="B27" s="193">
        <v>42369</v>
      </c>
      <c r="C27" s="10">
        <v>90</v>
      </c>
      <c r="D27" s="40">
        <v>25.46</v>
      </c>
      <c r="E27" s="40">
        <v>28.59</v>
      </c>
      <c r="F27" s="40">
        <v>281.58999999999997</v>
      </c>
      <c r="G27" s="40">
        <f t="shared" si="2"/>
        <v>2291.4</v>
      </c>
      <c r="H27" s="232">
        <f t="shared" si="3"/>
        <v>0.12293794186959933</v>
      </c>
      <c r="I27" s="40"/>
      <c r="W27" s="133">
        <v>42731</v>
      </c>
      <c r="X27" s="10">
        <v>40.799999999999997</v>
      </c>
      <c r="Y27" s="10">
        <v>41.15</v>
      </c>
      <c r="Z27" s="10">
        <v>40.479999999999997</v>
      </c>
      <c r="AA27" s="10">
        <v>40.65</v>
      </c>
      <c r="AB27" s="95">
        <v>439600</v>
      </c>
      <c r="AC27" s="10">
        <v>40.65</v>
      </c>
      <c r="AD27" s="2">
        <f t="shared" si="0"/>
        <v>0.67000000000000171</v>
      </c>
      <c r="AE27" s="138">
        <f t="shared" si="1"/>
        <v>0</v>
      </c>
    </row>
    <row r="28" spans="1:31" x14ac:dyDescent="0.25">
      <c r="B28" s="193">
        <v>42376</v>
      </c>
      <c r="C28" s="10">
        <v>180</v>
      </c>
      <c r="D28" s="40">
        <v>26.11</v>
      </c>
      <c r="E28" s="40">
        <v>26.7</v>
      </c>
      <c r="F28" s="40">
        <v>106.99</v>
      </c>
      <c r="G28" s="40">
        <f t="shared" si="2"/>
        <v>4699.8</v>
      </c>
      <c r="H28" s="232">
        <f t="shared" si="3"/>
        <v>2.2596706242818839E-2</v>
      </c>
      <c r="I28" s="40"/>
      <c r="W28" s="133">
        <v>42727</v>
      </c>
      <c r="X28" s="10">
        <v>40.6</v>
      </c>
      <c r="Y28" s="10">
        <v>40.799999999999997</v>
      </c>
      <c r="Z28" s="10">
        <v>40.35</v>
      </c>
      <c r="AA28" s="10">
        <v>40.65</v>
      </c>
      <c r="AB28" s="95">
        <v>244700</v>
      </c>
      <c r="AC28" s="10">
        <v>40.65</v>
      </c>
      <c r="AD28" s="2">
        <f t="shared" si="0"/>
        <v>0.44999999999999574</v>
      </c>
      <c r="AE28" s="138">
        <f t="shared" si="1"/>
        <v>2.4660912453762229E-3</v>
      </c>
    </row>
    <row r="29" spans="1:31" x14ac:dyDescent="0.25">
      <c r="B29" s="193">
        <v>42403</v>
      </c>
      <c r="C29" s="10">
        <v>180</v>
      </c>
      <c r="D29" s="40">
        <v>26.11</v>
      </c>
      <c r="E29" s="40">
        <v>28.02</v>
      </c>
      <c r="F29" s="40">
        <v>344.59</v>
      </c>
      <c r="G29" s="40">
        <f t="shared" si="2"/>
        <v>4699.8</v>
      </c>
      <c r="H29" s="232">
        <f t="shared" si="3"/>
        <v>7.3152049023362697E-2</v>
      </c>
      <c r="I29" s="40"/>
      <c r="W29" s="133">
        <v>42726</v>
      </c>
      <c r="X29" s="10">
        <v>40.65</v>
      </c>
      <c r="Y29" s="10">
        <v>40.700000000000003</v>
      </c>
      <c r="Z29" s="10">
        <v>40.299999999999997</v>
      </c>
      <c r="AA29" s="10">
        <v>40.549999999999997</v>
      </c>
      <c r="AB29" s="95">
        <v>476800</v>
      </c>
      <c r="AC29" s="10">
        <v>40.549999999999997</v>
      </c>
      <c r="AD29" s="2">
        <f t="shared" si="0"/>
        <v>0.40000000000000568</v>
      </c>
      <c r="AE29" s="138">
        <f t="shared" si="1"/>
        <v>-4.9079754601227821E-3</v>
      </c>
    </row>
    <row r="30" spans="1:31" x14ac:dyDescent="0.25">
      <c r="B30" s="193">
        <v>42404</v>
      </c>
      <c r="C30" s="10">
        <v>90</v>
      </c>
      <c r="D30" s="40">
        <v>23.66</v>
      </c>
      <c r="E30" s="40">
        <v>29.32</v>
      </c>
      <c r="F30" s="40">
        <v>509.24</v>
      </c>
      <c r="G30" s="40">
        <f t="shared" si="2"/>
        <v>2129.4</v>
      </c>
      <c r="H30" s="232">
        <f t="shared" si="3"/>
        <v>0.23922231614539308</v>
      </c>
      <c r="I30" s="40"/>
      <c r="W30" s="133">
        <v>42725</v>
      </c>
      <c r="X30" s="10">
        <v>41</v>
      </c>
      <c r="Y30" s="10">
        <v>41.15</v>
      </c>
      <c r="Z30" s="10">
        <v>40.450000000000003</v>
      </c>
      <c r="AA30" s="10">
        <v>40.75</v>
      </c>
      <c r="AB30" s="95">
        <v>1286400</v>
      </c>
      <c r="AC30" s="10">
        <v>40.75</v>
      </c>
      <c r="AD30" s="2">
        <f t="shared" si="0"/>
        <v>0.69999999999999574</v>
      </c>
      <c r="AE30" s="138">
        <f t="shared" si="1"/>
        <v>-4.8840048840049777E-3</v>
      </c>
    </row>
    <row r="31" spans="1:31" x14ac:dyDescent="0.25">
      <c r="B31" s="193">
        <v>42412</v>
      </c>
      <c r="C31" s="10">
        <v>0</v>
      </c>
      <c r="D31" s="40">
        <v>0</v>
      </c>
      <c r="E31" s="40">
        <v>0</v>
      </c>
      <c r="F31" s="40">
        <v>529.88</v>
      </c>
      <c r="G31" s="40">
        <f t="shared" si="2"/>
        <v>0</v>
      </c>
      <c r="H31" s="232">
        <f t="shared" si="3"/>
        <v>0</v>
      </c>
      <c r="I31" s="40"/>
      <c r="W31" s="133">
        <v>42724</v>
      </c>
      <c r="X31" s="10">
        <v>40.5</v>
      </c>
      <c r="Y31" s="10">
        <v>41.05</v>
      </c>
      <c r="Z31" s="10">
        <v>40.4</v>
      </c>
      <c r="AA31" s="10">
        <v>40.950000000000003</v>
      </c>
      <c r="AB31" s="95">
        <v>634400</v>
      </c>
      <c r="AC31" s="10">
        <v>40.950000000000003</v>
      </c>
      <c r="AD31" s="2">
        <f t="shared" si="0"/>
        <v>0.64999999999999858</v>
      </c>
      <c r="AE31" s="138">
        <f t="shared" si="1"/>
        <v>2.1197007481296826E-2</v>
      </c>
    </row>
    <row r="32" spans="1:31" x14ac:dyDescent="0.25">
      <c r="B32" s="10"/>
      <c r="C32" s="10"/>
      <c r="D32" s="40"/>
      <c r="E32" s="40"/>
      <c r="F32" s="40"/>
      <c r="G32" s="40"/>
      <c r="H32" s="232"/>
      <c r="I32" s="40"/>
      <c r="W32" s="133">
        <v>42723</v>
      </c>
      <c r="X32" s="10">
        <v>39.6</v>
      </c>
      <c r="Y32" s="10">
        <v>40.200000000000003</v>
      </c>
      <c r="Z32" s="10">
        <v>39.6</v>
      </c>
      <c r="AA32" s="10">
        <v>40.1</v>
      </c>
      <c r="AB32" s="95">
        <v>443300</v>
      </c>
      <c r="AC32" s="10">
        <v>40.1</v>
      </c>
      <c r="AD32" s="2">
        <f t="shared" si="0"/>
        <v>0.60000000000000142</v>
      </c>
      <c r="AE32" s="138">
        <f t="shared" si="1"/>
        <v>1.1349306431273742E-2</v>
      </c>
    </row>
    <row r="33" spans="1:31" x14ac:dyDescent="0.25">
      <c r="W33" s="133">
        <v>42720</v>
      </c>
      <c r="X33" s="10">
        <v>39.4</v>
      </c>
      <c r="Y33" s="10">
        <v>39.799999999999997</v>
      </c>
      <c r="Z33" s="10">
        <v>39.25</v>
      </c>
      <c r="AA33" s="10">
        <v>39.65</v>
      </c>
      <c r="AB33" s="95">
        <v>880600</v>
      </c>
      <c r="AC33" s="10">
        <v>39.65</v>
      </c>
      <c r="AD33" s="2">
        <f t="shared" si="0"/>
        <v>0.54999999999999716</v>
      </c>
      <c r="AE33" s="138">
        <f t="shared" si="1"/>
        <v>3.7974683544304E-3</v>
      </c>
    </row>
    <row r="34" spans="1:31" x14ac:dyDescent="0.25">
      <c r="W34" s="133">
        <v>42719</v>
      </c>
      <c r="X34" s="10">
        <v>39.299999999999997</v>
      </c>
      <c r="Y34" s="10">
        <v>40.08</v>
      </c>
      <c r="Z34" s="10">
        <v>39.200000000000003</v>
      </c>
      <c r="AA34" s="10">
        <v>39.5</v>
      </c>
      <c r="AB34" s="95">
        <v>285500</v>
      </c>
      <c r="AC34" s="10">
        <v>39.5</v>
      </c>
      <c r="AD34" s="2">
        <f t="shared" si="0"/>
        <v>0.87999999999999545</v>
      </c>
      <c r="AE34" s="138">
        <f t="shared" si="1"/>
        <v>2.5380710659899108E-3</v>
      </c>
    </row>
    <row r="35" spans="1:31" x14ac:dyDescent="0.25">
      <c r="W35" s="133">
        <v>42718</v>
      </c>
      <c r="X35" s="10">
        <v>40.049999999999997</v>
      </c>
      <c r="Y35" s="10">
        <v>40.549999999999997</v>
      </c>
      <c r="Z35" s="10">
        <v>39.35</v>
      </c>
      <c r="AA35" s="10">
        <v>39.4</v>
      </c>
      <c r="AB35" s="95">
        <v>548800</v>
      </c>
      <c r="AC35" s="10">
        <v>39.4</v>
      </c>
      <c r="AD35" s="2">
        <f t="shared" si="0"/>
        <v>1.1999999999999957</v>
      </c>
      <c r="AE35" s="138">
        <f t="shared" si="1"/>
        <v>-1.8679950186799466E-2</v>
      </c>
    </row>
    <row r="36" spans="1:31" x14ac:dyDescent="0.25">
      <c r="L36" t="s">
        <v>213</v>
      </c>
      <c r="M36" s="2">
        <f>M47+K47-F47</f>
        <v>529.88000000000284</v>
      </c>
      <c r="W36" s="133">
        <v>42717</v>
      </c>
      <c r="X36" s="10">
        <v>40.049999999999997</v>
      </c>
      <c r="Y36" s="10">
        <v>40.5</v>
      </c>
      <c r="Z36" s="10">
        <v>39.5</v>
      </c>
      <c r="AA36" s="10">
        <v>40.15</v>
      </c>
      <c r="AB36" s="95">
        <v>789100</v>
      </c>
      <c r="AC36" s="10">
        <v>40.15</v>
      </c>
      <c r="AD36" s="2">
        <f t="shared" si="0"/>
        <v>1</v>
      </c>
      <c r="AE36" s="138">
        <f t="shared" si="1"/>
        <v>7.5282308657464991E-3</v>
      </c>
    </row>
    <row r="37" spans="1:31" x14ac:dyDescent="0.25">
      <c r="A37" s="387" t="s">
        <v>1</v>
      </c>
      <c r="B37" s="387" t="s">
        <v>2</v>
      </c>
      <c r="C37" s="387" t="s">
        <v>4</v>
      </c>
      <c r="D37" s="387" t="s">
        <v>5</v>
      </c>
      <c r="E37" s="389" t="s">
        <v>94</v>
      </c>
      <c r="F37" s="387" t="s">
        <v>60</v>
      </c>
      <c r="G37" s="387" t="s">
        <v>3</v>
      </c>
      <c r="H37" s="387" t="s">
        <v>6</v>
      </c>
      <c r="I37" s="387" t="s">
        <v>7</v>
      </c>
      <c r="J37" s="387" t="s">
        <v>95</v>
      </c>
      <c r="K37" s="387" t="s">
        <v>61</v>
      </c>
      <c r="L37" s="387" t="s">
        <v>77</v>
      </c>
      <c r="M37" s="387" t="s">
        <v>38</v>
      </c>
      <c r="W37" s="133">
        <v>42716</v>
      </c>
      <c r="X37" s="10">
        <v>39.25</v>
      </c>
      <c r="Y37" s="10">
        <v>39.9</v>
      </c>
      <c r="Z37" s="10">
        <v>38.9</v>
      </c>
      <c r="AA37" s="10">
        <v>39.85</v>
      </c>
      <c r="AB37" s="95">
        <v>706200</v>
      </c>
      <c r="AC37" s="10">
        <v>39.85</v>
      </c>
      <c r="AD37" s="2">
        <f t="shared" si="0"/>
        <v>1</v>
      </c>
      <c r="AE37" s="138">
        <f t="shared" si="1"/>
        <v>1.3994910941475869E-2</v>
      </c>
    </row>
    <row r="38" spans="1:31" x14ac:dyDescent="0.25">
      <c r="A38" s="390" t="s">
        <v>39</v>
      </c>
      <c r="B38" s="380">
        <v>42179</v>
      </c>
      <c r="C38" s="381">
        <v>10</v>
      </c>
      <c r="D38" s="382">
        <v>37.799999999999997</v>
      </c>
      <c r="E38" s="382">
        <v>0</v>
      </c>
      <c r="F38" s="382">
        <f t="shared" ref="F38:F45" si="4">C38*D38</f>
        <v>378</v>
      </c>
      <c r="G38" s="380">
        <v>42310</v>
      </c>
      <c r="H38" s="385">
        <v>170</v>
      </c>
      <c r="I38" s="382">
        <v>30.28</v>
      </c>
      <c r="J38" s="382">
        <v>7.04</v>
      </c>
      <c r="K38" s="381">
        <f>H38*I38-J38</f>
        <v>5140.5600000000004</v>
      </c>
      <c r="L38" s="380">
        <v>42250</v>
      </c>
      <c r="M38" s="382">
        <v>20.8</v>
      </c>
      <c r="W38" s="133">
        <v>42713</v>
      </c>
      <c r="X38" s="10">
        <v>40.049999999999997</v>
      </c>
      <c r="Y38" s="10">
        <v>40.299999999999997</v>
      </c>
      <c r="Z38" s="10">
        <v>39.1</v>
      </c>
      <c r="AA38" s="10">
        <v>39.299999999999997</v>
      </c>
      <c r="AB38" s="95">
        <v>685500</v>
      </c>
      <c r="AC38" s="10">
        <v>39.299999999999997</v>
      </c>
      <c r="AD38" s="2">
        <f t="shared" si="0"/>
        <v>1.1999999999999957</v>
      </c>
      <c r="AE38" s="138">
        <f t="shared" si="1"/>
        <v>-2.2388059701492713E-2</v>
      </c>
    </row>
    <row r="39" spans="1:31" x14ac:dyDescent="0.25">
      <c r="A39" s="391" t="s">
        <v>71</v>
      </c>
      <c r="B39" s="380">
        <v>42194</v>
      </c>
      <c r="C39" s="381">
        <v>10</v>
      </c>
      <c r="D39" s="382">
        <v>35.5</v>
      </c>
      <c r="E39" s="382">
        <v>0</v>
      </c>
      <c r="F39" s="382">
        <f t="shared" si="4"/>
        <v>355</v>
      </c>
      <c r="G39" s="380">
        <v>42314</v>
      </c>
      <c r="H39" s="385">
        <v>80</v>
      </c>
      <c r="I39" s="382">
        <v>32.5</v>
      </c>
      <c r="J39" s="382">
        <v>0.05</v>
      </c>
      <c r="K39" s="381">
        <f>H39*I39-J39</f>
        <v>2599.9499999999998</v>
      </c>
      <c r="L39" s="380">
        <v>42345</v>
      </c>
      <c r="M39" s="382">
        <v>23.4</v>
      </c>
      <c r="W39" s="133">
        <v>42712</v>
      </c>
      <c r="X39" s="10">
        <v>39.6</v>
      </c>
      <c r="Y39" s="10">
        <v>40.35</v>
      </c>
      <c r="Z39" s="10">
        <v>39.1</v>
      </c>
      <c r="AA39" s="10">
        <v>40.200000000000003</v>
      </c>
      <c r="AB39" s="95">
        <v>633900</v>
      </c>
      <c r="AC39" s="10">
        <v>40.200000000000003</v>
      </c>
      <c r="AD39" s="2">
        <f t="shared" si="0"/>
        <v>1.25</v>
      </c>
      <c r="AE39" s="138">
        <f t="shared" si="1"/>
        <v>6.2578222778473247E-3</v>
      </c>
    </row>
    <row r="40" spans="1:31" x14ac:dyDescent="0.25">
      <c r="A40" s="381"/>
      <c r="B40" s="380">
        <v>42230</v>
      </c>
      <c r="C40" s="381">
        <v>20</v>
      </c>
      <c r="D40" s="382">
        <v>32.9</v>
      </c>
      <c r="E40" s="382">
        <v>0</v>
      </c>
      <c r="F40" s="382">
        <f t="shared" si="4"/>
        <v>658</v>
      </c>
      <c r="G40" s="380">
        <v>42010</v>
      </c>
      <c r="H40" s="385">
        <v>40</v>
      </c>
      <c r="I40" s="381">
        <v>28.92</v>
      </c>
      <c r="J40" s="382">
        <v>0.02</v>
      </c>
      <c r="K40" s="381">
        <f>H40*I40-J40</f>
        <v>1156.7800000000002</v>
      </c>
      <c r="L40" s="381"/>
      <c r="M40" s="381"/>
      <c r="W40" s="133">
        <v>42711</v>
      </c>
      <c r="X40" s="10">
        <v>39.200000000000003</v>
      </c>
      <c r="Y40" s="10">
        <v>40.1</v>
      </c>
      <c r="Z40" s="10">
        <v>39</v>
      </c>
      <c r="AA40" s="10">
        <v>39.950000000000003</v>
      </c>
      <c r="AB40" s="95">
        <v>561000</v>
      </c>
      <c r="AC40" s="10">
        <v>39.950000000000003</v>
      </c>
      <c r="AD40" s="2">
        <f t="shared" si="0"/>
        <v>1.1000000000000014</v>
      </c>
      <c r="AE40" s="138">
        <f t="shared" si="1"/>
        <v>2.1739130434782705E-2</v>
      </c>
    </row>
    <row r="41" spans="1:31" x14ac:dyDescent="0.25">
      <c r="A41" s="381"/>
      <c r="B41" s="380">
        <v>42240</v>
      </c>
      <c r="C41" s="381">
        <v>40</v>
      </c>
      <c r="D41" s="382">
        <v>32.4</v>
      </c>
      <c r="E41" s="382">
        <v>0</v>
      </c>
      <c r="F41" s="382">
        <f t="shared" si="4"/>
        <v>1296</v>
      </c>
      <c r="G41" s="380">
        <v>42404</v>
      </c>
      <c r="H41" s="385">
        <v>90</v>
      </c>
      <c r="I41" s="382">
        <v>28.55</v>
      </c>
      <c r="J41" s="382">
        <v>0.05</v>
      </c>
      <c r="K41" s="381">
        <f>H41*I41-J41</f>
        <v>2569.4499999999998</v>
      </c>
      <c r="L41" s="381"/>
      <c r="M41" s="381"/>
      <c r="W41" s="133">
        <v>42710</v>
      </c>
      <c r="X41" s="10">
        <v>39</v>
      </c>
      <c r="Y41" s="10">
        <v>39.35</v>
      </c>
      <c r="Z41" s="10">
        <v>38.75</v>
      </c>
      <c r="AA41" s="10">
        <v>39.1</v>
      </c>
      <c r="AB41" s="95">
        <v>1335700</v>
      </c>
      <c r="AC41" s="10">
        <v>39.1</v>
      </c>
      <c r="AD41" s="2">
        <f t="shared" si="0"/>
        <v>0.60000000000000142</v>
      </c>
      <c r="AE41" s="138">
        <f t="shared" si="1"/>
        <v>-1.2771392081736277E-3</v>
      </c>
    </row>
    <row r="42" spans="1:31" ht="20.25" thickBot="1" x14ac:dyDescent="0.35">
      <c r="A42" s="381"/>
      <c r="B42" s="380">
        <v>42275</v>
      </c>
      <c r="C42" s="381">
        <v>90</v>
      </c>
      <c r="D42" s="382">
        <v>29.2</v>
      </c>
      <c r="E42" s="382">
        <v>0</v>
      </c>
      <c r="F42" s="382">
        <f t="shared" si="4"/>
        <v>2628</v>
      </c>
      <c r="G42" s="380">
        <v>42412</v>
      </c>
      <c r="H42" s="385">
        <v>90</v>
      </c>
      <c r="I42" s="382">
        <v>29.55</v>
      </c>
      <c r="J42" s="382">
        <v>0.06</v>
      </c>
      <c r="K42" s="381">
        <f>H42*I42-J42</f>
        <v>2659.44</v>
      </c>
      <c r="L42" s="381"/>
      <c r="M42" s="381"/>
      <c r="O42" s="418" t="s">
        <v>78</v>
      </c>
      <c r="P42" s="418"/>
      <c r="T42" s="91" t="s">
        <v>113</v>
      </c>
      <c r="W42" s="133">
        <v>42709</v>
      </c>
      <c r="X42" s="10">
        <v>39.75</v>
      </c>
      <c r="Y42" s="10">
        <v>40.15</v>
      </c>
      <c r="Z42" s="10">
        <v>39.049999999999997</v>
      </c>
      <c r="AA42" s="10">
        <v>39.15</v>
      </c>
      <c r="AB42" s="95">
        <v>605000</v>
      </c>
      <c r="AC42" s="10">
        <v>39.15</v>
      </c>
      <c r="AD42" s="2">
        <f t="shared" si="0"/>
        <v>1.1000000000000014</v>
      </c>
      <c r="AE42" s="138">
        <f t="shared" si="1"/>
        <v>-7.6045627376426506E-3</v>
      </c>
    </row>
    <row r="43" spans="1:31" ht="15.75" thickTop="1" x14ac:dyDescent="0.25">
      <c r="A43" s="381"/>
      <c r="B43" s="380">
        <v>42298</v>
      </c>
      <c r="C43" s="381">
        <v>170</v>
      </c>
      <c r="D43" s="382">
        <v>28.4</v>
      </c>
      <c r="E43" s="382">
        <v>0</v>
      </c>
      <c r="F43" s="382">
        <f t="shared" si="4"/>
        <v>4828</v>
      </c>
      <c r="G43" s="381"/>
      <c r="H43" s="381"/>
      <c r="I43" s="381"/>
      <c r="J43" s="381"/>
      <c r="K43" s="381"/>
      <c r="L43" s="381"/>
      <c r="M43" s="381"/>
      <c r="O43" s="83">
        <v>1.1000000000000001</v>
      </c>
      <c r="P43" s="83">
        <f>O43*$Q$4</f>
        <v>49.06</v>
      </c>
      <c r="T43" s="93" t="s">
        <v>98</v>
      </c>
      <c r="U43" s="435">
        <v>44.75</v>
      </c>
      <c r="W43" s="133">
        <v>42706</v>
      </c>
      <c r="X43" s="10">
        <v>39.1</v>
      </c>
      <c r="Y43" s="10">
        <v>39.58</v>
      </c>
      <c r="Z43" s="10">
        <v>38.85</v>
      </c>
      <c r="AA43" s="10">
        <v>39.450000000000003</v>
      </c>
      <c r="AB43" s="95">
        <v>635600</v>
      </c>
      <c r="AC43" s="10">
        <v>39.450000000000003</v>
      </c>
      <c r="AD43" s="2">
        <f t="shared" si="0"/>
        <v>0.72999999999999687</v>
      </c>
      <c r="AE43" s="138">
        <f t="shared" si="1"/>
        <v>8.9514066496163558E-3</v>
      </c>
    </row>
    <row r="44" spans="1:31" x14ac:dyDescent="0.25">
      <c r="A44" s="381"/>
      <c r="B44" s="380">
        <v>42360</v>
      </c>
      <c r="C44" s="381">
        <v>40</v>
      </c>
      <c r="D44" s="382">
        <v>27.25</v>
      </c>
      <c r="E44" s="382">
        <v>0</v>
      </c>
      <c r="F44" s="382">
        <f t="shared" si="4"/>
        <v>1090</v>
      </c>
      <c r="G44" s="381"/>
      <c r="H44" s="381"/>
      <c r="I44" s="381"/>
      <c r="J44" s="381"/>
      <c r="K44" s="381"/>
      <c r="L44" s="381"/>
      <c r="M44" s="381"/>
      <c r="O44" s="83">
        <v>1.0900000000000001</v>
      </c>
      <c r="P44" s="83">
        <f t="shared" ref="P44:P63" si="5">O44*$Q$4</f>
        <v>48.614000000000004</v>
      </c>
      <c r="T44" s="93" t="s">
        <v>99</v>
      </c>
      <c r="U44" s="435">
        <v>44.6</v>
      </c>
      <c r="W44" s="133">
        <v>42705</v>
      </c>
      <c r="X44" s="10">
        <v>39.4</v>
      </c>
      <c r="Y44" s="10">
        <v>40</v>
      </c>
      <c r="Z44" s="10">
        <v>39.03</v>
      </c>
      <c r="AA44" s="10">
        <v>39.1</v>
      </c>
      <c r="AB44" s="95">
        <v>1240200</v>
      </c>
      <c r="AC44" s="10">
        <v>39.1</v>
      </c>
      <c r="AD44" s="2">
        <f t="shared" si="0"/>
        <v>0.96999999999999886</v>
      </c>
      <c r="AE44" s="138">
        <f t="shared" si="1"/>
        <v>1.2804097311140961E-3</v>
      </c>
    </row>
    <row r="45" spans="1:31" x14ac:dyDescent="0.25">
      <c r="A45" s="381"/>
      <c r="B45" s="380">
        <v>42376</v>
      </c>
      <c r="C45" s="381">
        <v>90</v>
      </c>
      <c r="D45" s="382">
        <v>26.75</v>
      </c>
      <c r="E45" s="382">
        <v>0</v>
      </c>
      <c r="F45" s="382">
        <f t="shared" si="4"/>
        <v>2407.5</v>
      </c>
      <c r="G45" s="381"/>
      <c r="H45" s="381"/>
      <c r="I45" s="381"/>
      <c r="J45" s="381"/>
      <c r="K45" s="381"/>
      <c r="L45" s="381"/>
      <c r="M45" s="381"/>
      <c r="O45" s="83">
        <v>1.08</v>
      </c>
      <c r="P45" s="83">
        <f t="shared" si="5"/>
        <v>48.168000000000006</v>
      </c>
      <c r="T45" s="93" t="s">
        <v>100</v>
      </c>
      <c r="U45" s="435" t="s">
        <v>129</v>
      </c>
      <c r="W45" s="133">
        <v>42704</v>
      </c>
      <c r="X45" s="10">
        <v>39.35</v>
      </c>
      <c r="Y45" s="10">
        <v>39.450000000000003</v>
      </c>
      <c r="Z45" s="10">
        <v>38.700000000000003</v>
      </c>
      <c r="AA45" s="10">
        <v>39.049999999999997</v>
      </c>
      <c r="AB45" s="95">
        <v>845100</v>
      </c>
      <c r="AC45" s="10">
        <v>39.049999999999997</v>
      </c>
      <c r="AD45" s="2">
        <f t="shared" si="0"/>
        <v>0.75</v>
      </c>
      <c r="AE45" s="138">
        <f t="shared" si="1"/>
        <v>1.0349288486416475E-2</v>
      </c>
    </row>
    <row r="46" spans="1:31" x14ac:dyDescent="0.25">
      <c r="A46" s="381"/>
      <c r="B46" s="381"/>
      <c r="C46" s="381"/>
      <c r="D46" s="381"/>
      <c r="E46" s="382"/>
      <c r="F46" s="381"/>
      <c r="G46" s="381"/>
      <c r="H46" s="381"/>
      <c r="I46" s="381"/>
      <c r="J46" s="381"/>
      <c r="K46" s="381"/>
      <c r="L46" s="381"/>
      <c r="M46" s="381"/>
      <c r="O46" s="83">
        <v>1.07</v>
      </c>
      <c r="P46" s="83">
        <f t="shared" si="5"/>
        <v>47.722000000000001</v>
      </c>
      <c r="Q46" s="2"/>
      <c r="T46" s="93" t="s">
        <v>101</v>
      </c>
      <c r="U46" s="435" t="s">
        <v>129</v>
      </c>
      <c r="W46" s="133">
        <v>42703</v>
      </c>
      <c r="X46" s="10">
        <v>39</v>
      </c>
      <c r="Y46" s="10">
        <v>39.25</v>
      </c>
      <c r="Z46" s="10">
        <v>38.6</v>
      </c>
      <c r="AA46" s="10">
        <v>38.65</v>
      </c>
      <c r="AB46" s="95">
        <v>209800</v>
      </c>
      <c r="AC46" s="10">
        <v>38.65</v>
      </c>
      <c r="AD46" s="2">
        <f t="shared" si="0"/>
        <v>0.64999999999999858</v>
      </c>
      <c r="AE46" s="138">
        <f t="shared" si="1"/>
        <v>-1.40306122448981E-2</v>
      </c>
    </row>
    <row r="47" spans="1:31" x14ac:dyDescent="0.25">
      <c r="A47" s="22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7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3">
        <v>1.06</v>
      </c>
      <c r="P47" s="83">
        <f t="shared" si="5"/>
        <v>47.276000000000003</v>
      </c>
      <c r="Q47" s="2"/>
      <c r="T47" s="93" t="s">
        <v>102</v>
      </c>
      <c r="U47" s="435">
        <v>44.33</v>
      </c>
      <c r="W47" s="133">
        <v>42702</v>
      </c>
      <c r="X47" s="10">
        <v>39.549999999999997</v>
      </c>
      <c r="Y47" s="10">
        <v>39.700000000000003</v>
      </c>
      <c r="Z47" s="10">
        <v>39.049999999999997</v>
      </c>
      <c r="AA47" s="10">
        <v>39.200000000000003</v>
      </c>
      <c r="AB47" s="95">
        <v>399700</v>
      </c>
      <c r="AC47" s="10">
        <v>39.200000000000003</v>
      </c>
      <c r="AD47" s="2">
        <f t="shared" si="0"/>
        <v>0.65000000000000568</v>
      </c>
      <c r="AE47" s="138">
        <f t="shared" si="1"/>
        <v>-1.0101010101010055E-2</v>
      </c>
    </row>
    <row r="48" spans="1:31" x14ac:dyDescent="0.25">
      <c r="A48" s="381"/>
      <c r="B48" s="381"/>
      <c r="C48" s="381"/>
      <c r="D48" s="381"/>
      <c r="E48" s="382"/>
      <c r="F48" s="381"/>
      <c r="G48" s="381"/>
      <c r="H48" s="381"/>
      <c r="I48" s="381"/>
      <c r="J48" s="381"/>
      <c r="K48" s="381"/>
      <c r="L48" s="381"/>
      <c r="M48" s="381"/>
      <c r="O48" s="83">
        <v>1.05</v>
      </c>
      <c r="P48" s="83">
        <f t="shared" si="5"/>
        <v>46.830000000000005</v>
      </c>
      <c r="Q48" s="2"/>
      <c r="T48" s="93" t="s">
        <v>103</v>
      </c>
      <c r="U48" s="435">
        <v>1.73112</v>
      </c>
      <c r="W48" s="133">
        <v>42699</v>
      </c>
      <c r="X48" s="10">
        <v>39.6</v>
      </c>
      <c r="Y48" s="10">
        <v>39.75</v>
      </c>
      <c r="Z48" s="10">
        <v>39.35</v>
      </c>
      <c r="AA48" s="10">
        <v>39.6</v>
      </c>
      <c r="AB48" s="95">
        <v>201400</v>
      </c>
      <c r="AC48" s="10">
        <v>39.6</v>
      </c>
      <c r="AD48" s="2">
        <f t="shared" si="0"/>
        <v>0.39999999999999858</v>
      </c>
      <c r="AE48" s="138">
        <f t="shared" si="1"/>
        <v>1.2642225031607168E-3</v>
      </c>
    </row>
    <row r="49" spans="15:31" x14ac:dyDescent="0.25">
      <c r="O49" s="83">
        <v>1.04</v>
      </c>
      <c r="P49" s="83">
        <f t="shared" si="5"/>
        <v>46.384</v>
      </c>
      <c r="Q49" s="2"/>
      <c r="T49" s="93" t="s">
        <v>104</v>
      </c>
      <c r="U49" s="435" t="s">
        <v>677</v>
      </c>
      <c r="W49" s="133">
        <v>42697</v>
      </c>
      <c r="X49" s="10">
        <v>39.65</v>
      </c>
      <c r="Y49" s="10">
        <v>39.9</v>
      </c>
      <c r="Z49" s="10">
        <v>39.4</v>
      </c>
      <c r="AA49" s="10">
        <v>39.549999999999997</v>
      </c>
      <c r="AB49" s="95">
        <v>725800</v>
      </c>
      <c r="AC49" s="10">
        <v>39.549999999999997</v>
      </c>
      <c r="AD49" s="2">
        <f t="shared" si="0"/>
        <v>0.5</v>
      </c>
      <c r="AE49" s="138">
        <f t="shared" si="1"/>
        <v>-2.5220680958386588E-3</v>
      </c>
    </row>
    <row r="50" spans="15:31" x14ac:dyDescent="0.25">
      <c r="O50" s="83">
        <v>1.03</v>
      </c>
      <c r="P50" s="83">
        <f t="shared" si="5"/>
        <v>45.938000000000002</v>
      </c>
      <c r="Q50" s="2"/>
      <c r="T50" s="93"/>
      <c r="U50" s="435"/>
      <c r="W50" s="133">
        <v>42696</v>
      </c>
      <c r="X50" s="10">
        <v>39</v>
      </c>
      <c r="Y50" s="10">
        <v>39.700000000000003</v>
      </c>
      <c r="Z50" s="10">
        <v>38.549999999999997</v>
      </c>
      <c r="AA50" s="10">
        <v>39.65</v>
      </c>
      <c r="AB50" s="95">
        <v>908100</v>
      </c>
      <c r="AC50" s="10">
        <v>39.65</v>
      </c>
      <c r="AD50" s="2">
        <f t="shared" si="0"/>
        <v>1.1500000000000057</v>
      </c>
      <c r="AE50" s="138">
        <f t="shared" si="1"/>
        <v>2.7202072538859978E-2</v>
      </c>
    </row>
    <row r="51" spans="15:31" x14ac:dyDescent="0.25">
      <c r="O51" s="83">
        <v>1.02</v>
      </c>
      <c r="P51" s="83">
        <f t="shared" si="5"/>
        <v>45.492000000000004</v>
      </c>
      <c r="Q51" s="2"/>
      <c r="T51" s="93" t="s">
        <v>105</v>
      </c>
      <c r="U51" s="435" t="s">
        <v>678</v>
      </c>
      <c r="W51" s="133">
        <v>42695</v>
      </c>
      <c r="X51" s="10">
        <v>38.6</v>
      </c>
      <c r="Y51" s="10">
        <v>39.479999999999997</v>
      </c>
      <c r="Z51" s="10">
        <v>38.53</v>
      </c>
      <c r="AA51" s="10">
        <v>38.6</v>
      </c>
      <c r="AB51" s="95">
        <v>1120500</v>
      </c>
      <c r="AC51" s="10">
        <v>38.6</v>
      </c>
      <c r="AD51" s="2">
        <f t="shared" si="0"/>
        <v>0.94999999999999574</v>
      </c>
      <c r="AE51" s="138">
        <f t="shared" si="1"/>
        <v>9.1503267973855884E-3</v>
      </c>
    </row>
    <row r="52" spans="15:31" x14ac:dyDescent="0.25">
      <c r="O52" s="83">
        <v>1.01</v>
      </c>
      <c r="P52" s="83">
        <f t="shared" si="5"/>
        <v>45.045999999999999</v>
      </c>
      <c r="Q52" s="2"/>
      <c r="T52" s="93" t="s">
        <v>106</v>
      </c>
      <c r="U52" s="435" t="s">
        <v>679</v>
      </c>
      <c r="W52" s="133">
        <v>42692</v>
      </c>
      <c r="X52" s="10">
        <v>38.200000000000003</v>
      </c>
      <c r="Y52" s="10">
        <v>38.6</v>
      </c>
      <c r="Z52" s="10">
        <v>37.9</v>
      </c>
      <c r="AA52" s="10">
        <v>38.25</v>
      </c>
      <c r="AB52" s="95">
        <v>698700</v>
      </c>
      <c r="AC52" s="10">
        <v>38.25</v>
      </c>
      <c r="AD52" s="2">
        <f t="shared" si="0"/>
        <v>0.70000000000000284</v>
      </c>
      <c r="AE52" s="138" t="e">
        <f t="shared" si="1"/>
        <v>#DIV/0!</v>
      </c>
    </row>
    <row r="53" spans="15:31" x14ac:dyDescent="0.25">
      <c r="O53" s="83">
        <v>1</v>
      </c>
      <c r="P53" s="83">
        <f t="shared" si="5"/>
        <v>44.6</v>
      </c>
      <c r="Q53" s="2"/>
      <c r="T53" s="93" t="s">
        <v>107</v>
      </c>
      <c r="U53" s="436">
        <v>535534</v>
      </c>
      <c r="W53" s="133">
        <v>42692</v>
      </c>
      <c r="X53" s="10" t="s">
        <v>139</v>
      </c>
      <c r="Y53" s="10"/>
      <c r="Z53" s="10"/>
      <c r="AA53" s="10"/>
      <c r="AB53" s="95"/>
      <c r="AC53" s="10"/>
      <c r="AD53" s="2">
        <f t="shared" si="0"/>
        <v>0</v>
      </c>
      <c r="AE53" s="138">
        <f t="shared" si="1"/>
        <v>-1</v>
      </c>
    </row>
    <row r="54" spans="15:31" x14ac:dyDescent="0.25">
      <c r="O54" s="83">
        <v>0.99</v>
      </c>
      <c r="P54" s="83">
        <f t="shared" si="5"/>
        <v>44.154000000000003</v>
      </c>
      <c r="Q54" s="2"/>
      <c r="T54" s="93" t="s">
        <v>110</v>
      </c>
      <c r="U54" s="436">
        <v>786566</v>
      </c>
      <c r="W54" s="133">
        <v>42691</v>
      </c>
      <c r="X54" s="10">
        <v>38.15</v>
      </c>
      <c r="Y54" s="10">
        <v>38.700000000000003</v>
      </c>
      <c r="Z54" s="10">
        <v>37.799999999999997</v>
      </c>
      <c r="AA54" s="10">
        <v>38.6</v>
      </c>
      <c r="AB54" s="95">
        <v>642500</v>
      </c>
      <c r="AC54" s="10">
        <v>38.340000000000003</v>
      </c>
      <c r="AD54" s="2">
        <f t="shared" si="0"/>
        <v>0.90000000000000568</v>
      </c>
      <c r="AE54" s="138">
        <f t="shared" si="1"/>
        <v>-1.3024225058608785E-3</v>
      </c>
    </row>
    <row r="55" spans="15:31" x14ac:dyDescent="0.25">
      <c r="O55" s="83">
        <v>0.98</v>
      </c>
      <c r="P55" s="83">
        <f t="shared" si="5"/>
        <v>43.707999999999998</v>
      </c>
      <c r="Q55" s="2"/>
      <c r="T55" s="93" t="s">
        <v>108</v>
      </c>
      <c r="U55" s="435" t="s">
        <v>680</v>
      </c>
      <c r="W55" s="133">
        <v>42690</v>
      </c>
      <c r="X55" s="10">
        <v>39.25</v>
      </c>
      <c r="Y55" s="10">
        <v>39.4</v>
      </c>
      <c r="Z55" s="10">
        <v>38.15</v>
      </c>
      <c r="AA55" s="10">
        <v>38.65</v>
      </c>
      <c r="AB55" s="95">
        <v>607300</v>
      </c>
      <c r="AC55" s="10">
        <v>38.39</v>
      </c>
      <c r="AD55" s="2">
        <f t="shared" si="0"/>
        <v>1.25</v>
      </c>
      <c r="AE55" s="138">
        <f t="shared" si="1"/>
        <v>-2.5139664804469275E-2</v>
      </c>
    </row>
    <row r="56" spans="15:31" x14ac:dyDescent="0.25">
      <c r="O56" s="83">
        <v>0.97</v>
      </c>
      <c r="P56" s="83">
        <f t="shared" si="5"/>
        <v>43.262</v>
      </c>
      <c r="Q56" s="2"/>
      <c r="T56" s="93" t="s">
        <v>111</v>
      </c>
      <c r="U56" s="435">
        <v>38.14</v>
      </c>
      <c r="W56" s="133">
        <v>42689</v>
      </c>
      <c r="X56" s="10">
        <v>38.950000000000003</v>
      </c>
      <c r="Y56" s="10">
        <v>39.75</v>
      </c>
      <c r="Z56" s="10">
        <v>38.61</v>
      </c>
      <c r="AA56" s="10">
        <v>39.65</v>
      </c>
      <c r="AB56" s="95">
        <v>462700</v>
      </c>
      <c r="AC56" s="10">
        <v>39.380000000000003</v>
      </c>
      <c r="AD56" s="2">
        <f t="shared" si="0"/>
        <v>1.1400000000000006</v>
      </c>
      <c r="AE56" s="138">
        <f t="shared" si="1"/>
        <v>1.2599640010285462E-2</v>
      </c>
    </row>
    <row r="57" spans="15:31" x14ac:dyDescent="0.25">
      <c r="O57" s="83">
        <v>0.96</v>
      </c>
      <c r="P57" s="83">
        <f t="shared" si="5"/>
        <v>42.816000000000003</v>
      </c>
      <c r="Q57" s="2"/>
      <c r="T57" s="93" t="s">
        <v>112</v>
      </c>
      <c r="U57" s="435">
        <v>1.1599999999999999</v>
      </c>
      <c r="W57" s="133">
        <v>42688</v>
      </c>
      <c r="X57" s="10">
        <v>38.85</v>
      </c>
      <c r="Y57" s="10">
        <v>39.15</v>
      </c>
      <c r="Z57" s="10">
        <v>38.4</v>
      </c>
      <c r="AA57" s="10">
        <v>39.15</v>
      </c>
      <c r="AB57" s="95">
        <v>921500</v>
      </c>
      <c r="AC57" s="10">
        <v>38.89</v>
      </c>
      <c r="AD57" s="2">
        <f t="shared" si="0"/>
        <v>0.75</v>
      </c>
      <c r="AE57" s="138">
        <f t="shared" si="1"/>
        <v>1.9664394336654345E-2</v>
      </c>
    </row>
    <row r="58" spans="15:31" x14ac:dyDescent="0.25">
      <c r="O58" s="83">
        <v>0.95</v>
      </c>
      <c r="P58" s="83">
        <f t="shared" si="5"/>
        <v>42.37</v>
      </c>
      <c r="Q58" s="2"/>
      <c r="T58" s="93" t="s">
        <v>109</v>
      </c>
      <c r="U58" s="435" t="s">
        <v>681</v>
      </c>
      <c r="W58" s="133">
        <v>42685</v>
      </c>
      <c r="X58" s="10">
        <v>38.15</v>
      </c>
      <c r="Y58" s="10">
        <v>38.75</v>
      </c>
      <c r="Z58" s="10">
        <v>37.9</v>
      </c>
      <c r="AA58" s="10">
        <v>38.4</v>
      </c>
      <c r="AB58" s="95">
        <v>709600</v>
      </c>
      <c r="AC58" s="10">
        <v>38.14</v>
      </c>
      <c r="AD58" s="2">
        <f t="shared" si="0"/>
        <v>0.85000000000000142</v>
      </c>
      <c r="AE58" s="138">
        <f t="shared" si="1"/>
        <v>-1.3092432573971191E-3</v>
      </c>
    </row>
    <row r="59" spans="15:31" x14ac:dyDescent="0.25">
      <c r="O59" s="83">
        <v>0.94</v>
      </c>
      <c r="P59" s="83">
        <f t="shared" si="5"/>
        <v>41.923999999999999</v>
      </c>
      <c r="W59" s="133">
        <v>42684</v>
      </c>
      <c r="X59" s="10">
        <v>36.950000000000003</v>
      </c>
      <c r="Y59" s="10">
        <v>39</v>
      </c>
      <c r="Z59" s="10">
        <v>36.950000000000003</v>
      </c>
      <c r="AA59" s="10">
        <v>38.450000000000003</v>
      </c>
      <c r="AB59" s="95">
        <v>1365200</v>
      </c>
      <c r="AC59" s="10">
        <v>38.19</v>
      </c>
      <c r="AD59" s="2">
        <f t="shared" si="0"/>
        <v>2.0499999999999972</v>
      </c>
      <c r="AE59" s="138">
        <f t="shared" si="1"/>
        <v>4.6301369863013697E-2</v>
      </c>
    </row>
    <row r="60" spans="15:31" x14ac:dyDescent="0.25">
      <c r="O60" s="83">
        <v>0.93</v>
      </c>
      <c r="P60" s="83">
        <f t="shared" si="5"/>
        <v>41.478000000000002</v>
      </c>
      <c r="W60" s="133">
        <v>42683</v>
      </c>
      <c r="X60" s="10">
        <v>34.049999999999997</v>
      </c>
      <c r="Y60" s="10">
        <v>36.979999999999997</v>
      </c>
      <c r="Z60" s="10">
        <v>34.049999999999997</v>
      </c>
      <c r="AA60" s="10">
        <v>36.75</v>
      </c>
      <c r="AB60" s="95">
        <v>1006500</v>
      </c>
      <c r="AC60" s="10">
        <v>36.5</v>
      </c>
      <c r="AD60" s="2">
        <f t="shared" si="0"/>
        <v>2.9299999999999997</v>
      </c>
      <c r="AE60" s="138">
        <f t="shared" si="1"/>
        <v>8.2443653618030854E-2</v>
      </c>
    </row>
    <row r="61" spans="15:31" x14ac:dyDescent="0.25">
      <c r="O61" s="83">
        <v>0.92</v>
      </c>
      <c r="P61" s="83">
        <f t="shared" si="5"/>
        <v>41.032000000000004</v>
      </c>
      <c r="W61" s="133">
        <v>42682</v>
      </c>
      <c r="X61" s="10">
        <v>33.799999999999997</v>
      </c>
      <c r="Y61" s="10">
        <v>34.5</v>
      </c>
      <c r="Z61" s="10">
        <v>33.6</v>
      </c>
      <c r="AA61" s="10">
        <v>33.950000000000003</v>
      </c>
      <c r="AB61" s="95">
        <v>906800</v>
      </c>
      <c r="AC61" s="10">
        <v>33.72</v>
      </c>
      <c r="AD61" s="2">
        <f t="shared" si="0"/>
        <v>0.89999999999999858</v>
      </c>
      <c r="AE61" s="138">
        <f t="shared" si="1"/>
        <v>5.966587112171684E-3</v>
      </c>
    </row>
    <row r="62" spans="15:31" x14ac:dyDescent="0.25">
      <c r="O62" s="83">
        <v>0.91</v>
      </c>
      <c r="P62" s="83">
        <f t="shared" si="5"/>
        <v>40.586000000000006</v>
      </c>
      <c r="W62" s="133">
        <v>42681</v>
      </c>
      <c r="X62" s="10">
        <v>34.75</v>
      </c>
      <c r="Y62" s="10">
        <v>35.25</v>
      </c>
      <c r="Z62" s="10">
        <v>33.5</v>
      </c>
      <c r="AA62" s="10">
        <v>33.75</v>
      </c>
      <c r="AB62" s="95">
        <v>1068100</v>
      </c>
      <c r="AC62" s="10">
        <v>33.520000000000003</v>
      </c>
      <c r="AD62" s="2">
        <f t="shared" si="0"/>
        <v>1.75</v>
      </c>
      <c r="AE62" s="138">
        <f t="shared" si="1"/>
        <v>4.488778054862852E-2</v>
      </c>
    </row>
    <row r="63" spans="15:31" x14ac:dyDescent="0.25">
      <c r="O63" s="83">
        <v>0.9</v>
      </c>
      <c r="P63" s="83">
        <f t="shared" si="5"/>
        <v>40.14</v>
      </c>
      <c r="W63" s="133">
        <v>42678</v>
      </c>
      <c r="X63" s="10">
        <v>31.9</v>
      </c>
      <c r="Y63" s="10">
        <v>32.75</v>
      </c>
      <c r="Z63" s="10">
        <v>31.9</v>
      </c>
      <c r="AA63" s="10">
        <v>32.299999999999997</v>
      </c>
      <c r="AB63" s="95">
        <v>432900</v>
      </c>
      <c r="AC63" s="10">
        <v>32.08</v>
      </c>
      <c r="AD63" s="2">
        <f t="shared" si="0"/>
        <v>0.85000000000000142</v>
      </c>
      <c r="AE63" s="138">
        <f t="shared" si="1"/>
        <v>9.4398993077406956E-3</v>
      </c>
    </row>
    <row r="64" spans="15:31" x14ac:dyDescent="0.25">
      <c r="W64" s="133">
        <v>42677</v>
      </c>
      <c r="X64" s="10">
        <v>32.049999999999997</v>
      </c>
      <c r="Y64" s="10">
        <v>32.15</v>
      </c>
      <c r="Z64" s="10">
        <v>31.6</v>
      </c>
      <c r="AA64" s="10">
        <v>32</v>
      </c>
      <c r="AB64" s="95">
        <v>595400</v>
      </c>
      <c r="AC64" s="10">
        <v>31.78</v>
      </c>
      <c r="AD64" s="2">
        <f t="shared" si="0"/>
        <v>0.54999999999999716</v>
      </c>
      <c r="AE64" s="138">
        <f t="shared" si="1"/>
        <v>-1.5708451146716484E-3</v>
      </c>
    </row>
    <row r="65" spans="23:31" x14ac:dyDescent="0.25">
      <c r="W65" s="133">
        <v>42676</v>
      </c>
      <c r="X65" s="10">
        <v>32.549999999999997</v>
      </c>
      <c r="Y65" s="10">
        <v>32.65</v>
      </c>
      <c r="Z65" s="10">
        <v>31.95</v>
      </c>
      <c r="AA65" s="10">
        <v>32.049999999999997</v>
      </c>
      <c r="AB65" s="95">
        <v>537400</v>
      </c>
      <c r="AC65" s="10">
        <v>31.83</v>
      </c>
      <c r="AD65" s="2">
        <f t="shared" si="0"/>
        <v>0.69999999999999929</v>
      </c>
      <c r="AE65" s="138">
        <f t="shared" si="1"/>
        <v>-1.6985793699814788E-2</v>
      </c>
    </row>
    <row r="66" spans="23:31" x14ac:dyDescent="0.25">
      <c r="W66" s="133">
        <v>42675</v>
      </c>
      <c r="X66" s="10">
        <v>33.4</v>
      </c>
      <c r="Y66" s="10">
        <v>33.4</v>
      </c>
      <c r="Z66" s="10">
        <v>32.450000000000003</v>
      </c>
      <c r="AA66" s="10">
        <v>32.6</v>
      </c>
      <c r="AB66" s="95">
        <v>504600</v>
      </c>
      <c r="AC66" s="10">
        <v>32.380000000000003</v>
      </c>
      <c r="AD66" s="2">
        <f t="shared" si="0"/>
        <v>0.94999999999999574</v>
      </c>
      <c r="AE66" s="138">
        <f t="shared" si="1"/>
        <v>-1.3706975327444249E-2</v>
      </c>
    </row>
    <row r="67" spans="23:31" x14ac:dyDescent="0.25">
      <c r="W67" s="133">
        <v>42674</v>
      </c>
      <c r="X67" s="10">
        <v>33.15</v>
      </c>
      <c r="Y67" s="10">
        <v>33.450000000000003</v>
      </c>
      <c r="Z67" s="10">
        <v>32.979999999999997</v>
      </c>
      <c r="AA67" s="10">
        <v>33.049999999999997</v>
      </c>
      <c r="AB67" s="95">
        <v>667900</v>
      </c>
      <c r="AC67" s="10">
        <v>32.83</v>
      </c>
      <c r="AD67" s="2">
        <f>Y67-Z67</f>
        <v>0.47000000000000597</v>
      </c>
      <c r="AE67" s="138">
        <f>AC67/AC68-1</f>
        <v>2.1367521367521292E-3</v>
      </c>
    </row>
    <row r="68" spans="23:31" x14ac:dyDescent="0.25">
      <c r="W68" s="133">
        <v>42671</v>
      </c>
      <c r="X68" s="10">
        <v>32.869999999999997</v>
      </c>
      <c r="Y68" s="10">
        <v>33.479999999999997</v>
      </c>
      <c r="Z68" s="10">
        <v>32.869999999999997</v>
      </c>
      <c r="AA68" s="10">
        <v>32.979999999999997</v>
      </c>
      <c r="AB68" s="95">
        <v>864900</v>
      </c>
      <c r="AC68" s="10">
        <v>32.76</v>
      </c>
      <c r="AD68" s="2">
        <f>Y68-Z68</f>
        <v>0.60999999999999943</v>
      </c>
      <c r="AE68" s="138" t="e">
        <f>AC68/AC69-1</f>
        <v>#DIV/0!</v>
      </c>
    </row>
    <row r="69" spans="23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25" priority="7">
      <formula>F21&gt;0</formula>
    </cfRule>
    <cfRule type="expression" dxfId="24" priority="8">
      <formula>F21&lt;0</formula>
    </cfRule>
  </conditionalFormatting>
  <conditionalFormatting sqref="H21:H32">
    <cfRule type="expression" dxfId="23" priority="5">
      <formula>H21&gt;0</formula>
    </cfRule>
    <cfRule type="expression" dxfId="22" priority="6">
      <formula>H21&lt;0</formula>
    </cfRule>
  </conditionalFormatting>
  <conditionalFormatting sqref="Q8">
    <cfRule type="expression" dxfId="21" priority="1">
      <formula>Q8&gt;0</formula>
    </cfRule>
    <cfRule type="expression" dxfId="20" priority="2">
      <formula>Q8&lt;0</formula>
    </cfRule>
  </conditionalFormatting>
  <conditionalFormatting sqref="Q7">
    <cfRule type="expression" dxfId="19" priority="3">
      <formula>Q7&gt;0</formula>
    </cfRule>
    <cfRule type="expression" dxfId="18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54</v>
      </c>
      <c r="B2" s="74"/>
      <c r="C2" s="4"/>
      <c r="D2" s="3"/>
      <c r="E2" s="3"/>
      <c r="F2" s="3"/>
      <c r="G2" s="74"/>
      <c r="H2" s="4"/>
      <c r="I2" s="4"/>
      <c r="J2" s="3"/>
      <c r="K2" s="4"/>
      <c r="L2" s="74"/>
      <c r="M2" s="3"/>
      <c r="O2" s="11" t="s">
        <v>57</v>
      </c>
      <c r="Q2">
        <f>C18-H18</f>
        <v>0</v>
      </c>
      <c r="T2" s="1">
        <v>42297</v>
      </c>
      <c r="U2" t="s">
        <v>142</v>
      </c>
      <c r="W2" s="133">
        <v>42768</v>
      </c>
      <c r="X2" s="10">
        <v>108.08</v>
      </c>
      <c r="Y2" s="10">
        <v>108.68</v>
      </c>
      <c r="Z2" s="10">
        <v>106.85</v>
      </c>
      <c r="AA2" s="10">
        <v>108.36</v>
      </c>
      <c r="AB2" s="95">
        <v>4714500</v>
      </c>
      <c r="AC2" s="10">
        <v>108.36</v>
      </c>
      <c r="AD2" s="2">
        <f>Y2-Z2</f>
        <v>1.8300000000000125</v>
      </c>
      <c r="AE2" s="138">
        <f>AC2/AC3-1</f>
        <v>1.6638935108153063E-3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4"/>
      <c r="M3" s="4"/>
      <c r="O3" s="11" t="s">
        <v>58</v>
      </c>
      <c r="Q3" s="2">
        <f>IF(Q2=0, Q4, (F18-K18-M18)/Q2)</f>
        <v>109.65</v>
      </c>
      <c r="W3" s="133">
        <v>42767</v>
      </c>
      <c r="X3" s="10">
        <v>109.63</v>
      </c>
      <c r="Y3" s="10">
        <v>109.91</v>
      </c>
      <c r="Z3" s="10">
        <v>107.9</v>
      </c>
      <c r="AA3" s="10">
        <v>108.18</v>
      </c>
      <c r="AB3" s="95">
        <v>4669000</v>
      </c>
      <c r="AC3" s="10">
        <v>108.18</v>
      </c>
      <c r="AD3" s="2">
        <f t="shared" ref="AD3:AD66" si="0">Y3-Z3</f>
        <v>2.0099999999999909</v>
      </c>
      <c r="AE3" s="138">
        <f t="shared" ref="AE3:AE66" si="1">AC3/AC4-1</f>
        <v>-1.3586213185009521E-2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109.65</v>
      </c>
      <c r="R4" s="505">
        <v>1.1900000000000001E-2</v>
      </c>
      <c r="W4" s="133">
        <v>42766</v>
      </c>
      <c r="X4" s="10">
        <v>109.04</v>
      </c>
      <c r="Y4" s="10">
        <v>109.81</v>
      </c>
      <c r="Z4" s="10">
        <v>108.39</v>
      </c>
      <c r="AA4" s="10">
        <v>109.67</v>
      </c>
      <c r="AB4" s="95">
        <v>3927900</v>
      </c>
      <c r="AC4" s="10">
        <v>109.67</v>
      </c>
      <c r="AD4" s="2">
        <f t="shared" si="0"/>
        <v>1.4200000000000017</v>
      </c>
      <c r="AE4" s="138">
        <f t="shared" si="1"/>
        <v>4.5800128240358617E-3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42765</v>
      </c>
      <c r="X5" s="10">
        <v>109.31</v>
      </c>
      <c r="Y5" s="10">
        <v>109.6</v>
      </c>
      <c r="Z5" s="10">
        <v>108.25</v>
      </c>
      <c r="AA5" s="10">
        <v>109.17</v>
      </c>
      <c r="AB5" s="95">
        <v>2907600</v>
      </c>
      <c r="AC5" s="10">
        <v>109.17</v>
      </c>
      <c r="AD5" s="2">
        <f t="shared" si="0"/>
        <v>1.3499999999999943</v>
      </c>
      <c r="AE5" s="138">
        <f t="shared" si="1"/>
        <v>-4.8313582497720997E-3</v>
      </c>
    </row>
    <row r="6" spans="1:31" x14ac:dyDescent="0.25">
      <c r="O6" s="11" t="s">
        <v>64</v>
      </c>
      <c r="Q6" s="2">
        <f>Q3*Q2</f>
        <v>0</v>
      </c>
      <c r="W6" s="133">
        <v>42762</v>
      </c>
      <c r="X6" s="10">
        <v>110.15</v>
      </c>
      <c r="Y6" s="10">
        <v>110.9</v>
      </c>
      <c r="Z6" s="10">
        <v>109.61</v>
      </c>
      <c r="AA6" s="10">
        <v>109.7</v>
      </c>
      <c r="AB6" s="95">
        <v>2791200</v>
      </c>
      <c r="AC6" s="10">
        <v>109.7</v>
      </c>
      <c r="AD6" s="2">
        <f t="shared" si="0"/>
        <v>1.2900000000000063</v>
      </c>
      <c r="AE6" s="138">
        <f t="shared" si="1"/>
        <v>-5.980427691192447E-3</v>
      </c>
    </row>
    <row r="7" spans="1:31" x14ac:dyDescent="0.25">
      <c r="O7" s="11" t="s">
        <v>181</v>
      </c>
      <c r="Q7" s="2">
        <f>Q10+Q8</f>
        <v>114.84999999999991</v>
      </c>
      <c r="R7">
        <v>0</v>
      </c>
      <c r="W7" s="133">
        <v>42761</v>
      </c>
      <c r="X7" s="10">
        <v>110.8</v>
      </c>
      <c r="Y7" s="10">
        <v>111.49</v>
      </c>
      <c r="Z7" s="10">
        <v>109.53</v>
      </c>
      <c r="AA7" s="10">
        <v>110.36</v>
      </c>
      <c r="AB7" s="95">
        <v>3996000</v>
      </c>
      <c r="AC7" s="10">
        <v>110.36</v>
      </c>
      <c r="AD7" s="2">
        <f t="shared" si="0"/>
        <v>1.9599999999999937</v>
      </c>
      <c r="AE7" s="138">
        <f t="shared" si="1"/>
        <v>-5.4073540014418775E-3</v>
      </c>
    </row>
    <row r="8" spans="1:31" x14ac:dyDescent="0.25">
      <c r="O8" s="11" t="s">
        <v>184</v>
      </c>
      <c r="P8" s="34"/>
      <c r="Q8" s="2">
        <f>K18+M18-F18+Q2*Q4</f>
        <v>0</v>
      </c>
      <c r="W8" s="133">
        <v>42760</v>
      </c>
      <c r="X8" s="10">
        <v>111.87</v>
      </c>
      <c r="Y8" s="10">
        <v>112.51</v>
      </c>
      <c r="Z8" s="10">
        <v>108.78</v>
      </c>
      <c r="AA8" s="10">
        <v>110.96</v>
      </c>
      <c r="AB8" s="95">
        <v>4763500</v>
      </c>
      <c r="AC8" s="10">
        <v>110.96</v>
      </c>
      <c r="AD8" s="2">
        <f t="shared" si="0"/>
        <v>3.730000000000004</v>
      </c>
      <c r="AE8" s="138">
        <f t="shared" si="1"/>
        <v>-5.8238509094167279E-3</v>
      </c>
    </row>
    <row r="9" spans="1:31" x14ac:dyDescent="0.25">
      <c r="O9" s="11" t="s">
        <v>214</v>
      </c>
      <c r="Q9" s="138">
        <f>IF(Q2=0, 0, Q8/Q6)</f>
        <v>0</v>
      </c>
      <c r="W9" s="133">
        <v>42759</v>
      </c>
      <c r="X9" s="10">
        <v>110.68</v>
      </c>
      <c r="Y9" s="10">
        <v>111.69</v>
      </c>
      <c r="Z9" s="10">
        <v>110.34</v>
      </c>
      <c r="AA9" s="10">
        <v>111.61</v>
      </c>
      <c r="AB9" s="95">
        <v>3228700</v>
      </c>
      <c r="AC9" s="10">
        <v>111.61</v>
      </c>
      <c r="AD9" s="2">
        <f t="shared" si="0"/>
        <v>1.3499999999999943</v>
      </c>
      <c r="AE9" s="138">
        <f t="shared" si="1"/>
        <v>1.150987855718677E-2</v>
      </c>
    </row>
    <row r="10" spans="1:31" x14ac:dyDescent="0.25">
      <c r="O10" s="11" t="s">
        <v>213</v>
      </c>
      <c r="P10" s="34"/>
      <c r="Q10" s="2">
        <f>M27</f>
        <v>114.84999999999991</v>
      </c>
      <c r="W10" s="133">
        <v>42758</v>
      </c>
      <c r="X10" s="10">
        <v>110.84</v>
      </c>
      <c r="Y10" s="10">
        <v>111.3</v>
      </c>
      <c r="Z10" s="10">
        <v>109.98</v>
      </c>
      <c r="AA10" s="10">
        <v>110.34</v>
      </c>
      <c r="AB10" s="95">
        <v>2274200</v>
      </c>
      <c r="AC10" s="10">
        <v>110.34</v>
      </c>
      <c r="AD10" s="2">
        <f t="shared" si="0"/>
        <v>1.3199999999999932</v>
      </c>
      <c r="AE10" s="138">
        <f t="shared" si="1"/>
        <v>-4.0617384240455578E-3</v>
      </c>
    </row>
    <row r="11" spans="1:31" x14ac:dyDescent="0.25">
      <c r="O11" s="11" t="s">
        <v>178</v>
      </c>
      <c r="P11" s="34"/>
      <c r="Q11" s="138">
        <f>IF(U58="N/A (N/A)", 0, VALUE(TRIM(CLEAN(MID(U58, FIND("(", U58)+1, 5)))))</f>
        <v>2.4199999999999999E-2</v>
      </c>
      <c r="W11" s="133">
        <v>42755</v>
      </c>
      <c r="X11" s="10">
        <v>110.95</v>
      </c>
      <c r="Y11" s="10">
        <v>111.1</v>
      </c>
      <c r="Z11" s="10">
        <v>110.03</v>
      </c>
      <c r="AA11" s="10">
        <v>110.79</v>
      </c>
      <c r="AB11" s="95">
        <v>2988800</v>
      </c>
      <c r="AC11" s="10">
        <v>110.79</v>
      </c>
      <c r="AD11" s="2">
        <f t="shared" si="0"/>
        <v>1.0699999999999932</v>
      </c>
      <c r="AE11" s="138">
        <f t="shared" si="1"/>
        <v>5.4185857491195755E-4</v>
      </c>
    </row>
    <row r="12" spans="1:31" x14ac:dyDescent="0.25">
      <c r="W12" s="133">
        <v>42754</v>
      </c>
      <c r="X12" s="10">
        <v>111.03</v>
      </c>
      <c r="Y12" s="10">
        <v>111.6</v>
      </c>
      <c r="Z12" s="10">
        <v>110.02</v>
      </c>
      <c r="AA12" s="10">
        <v>110.73</v>
      </c>
      <c r="AB12" s="95">
        <v>2828200</v>
      </c>
      <c r="AC12" s="10">
        <v>110.73</v>
      </c>
      <c r="AD12" s="2">
        <f t="shared" si="0"/>
        <v>1.5799999999999983</v>
      </c>
      <c r="AE12" s="138">
        <f t="shared" si="1"/>
        <v>2.8074624162288675E-3</v>
      </c>
    </row>
    <row r="13" spans="1:31" x14ac:dyDescent="0.25">
      <c r="W13" s="133">
        <v>42753</v>
      </c>
      <c r="X13" s="10">
        <v>110.2</v>
      </c>
      <c r="Y13" s="10">
        <v>110.89</v>
      </c>
      <c r="Z13" s="10">
        <v>109.82</v>
      </c>
      <c r="AA13" s="10">
        <v>110.42</v>
      </c>
      <c r="AB13" s="95">
        <v>2600300</v>
      </c>
      <c r="AC13" s="10">
        <v>110.42</v>
      </c>
      <c r="AD13" s="2">
        <f t="shared" si="0"/>
        <v>1.0700000000000074</v>
      </c>
      <c r="AE13" s="138">
        <f t="shared" si="1"/>
        <v>4.0920250977538597E-3</v>
      </c>
    </row>
    <row r="14" spans="1:31" x14ac:dyDescent="0.25">
      <c r="W14" s="133">
        <v>42752</v>
      </c>
      <c r="X14" s="10">
        <v>109.78</v>
      </c>
      <c r="Y14" s="10">
        <v>110.27</v>
      </c>
      <c r="Z14" s="10">
        <v>109.4</v>
      </c>
      <c r="AA14" s="10">
        <v>109.97</v>
      </c>
      <c r="AB14" s="95">
        <v>2238500</v>
      </c>
      <c r="AC14" s="10">
        <v>109.97</v>
      </c>
      <c r="AD14" s="2">
        <f t="shared" si="0"/>
        <v>0.86999999999999034</v>
      </c>
      <c r="AE14" s="138">
        <f t="shared" si="1"/>
        <v>-2.2681908909454318E-3</v>
      </c>
    </row>
    <row r="15" spans="1:31" x14ac:dyDescent="0.25">
      <c r="W15" s="133">
        <v>42748</v>
      </c>
      <c r="X15" s="10">
        <v>110.93</v>
      </c>
      <c r="Y15" s="10">
        <v>111.26</v>
      </c>
      <c r="Z15" s="10">
        <v>109.85</v>
      </c>
      <c r="AA15" s="10">
        <v>110.22</v>
      </c>
      <c r="AB15" s="95">
        <v>2880600</v>
      </c>
      <c r="AC15" s="10">
        <v>110.22</v>
      </c>
      <c r="AD15" s="2">
        <f t="shared" si="0"/>
        <v>1.4100000000000108</v>
      </c>
      <c r="AE15" s="138">
        <f t="shared" si="1"/>
        <v>-5.4141851651325901E-3</v>
      </c>
    </row>
    <row r="16" spans="1:31" x14ac:dyDescent="0.25">
      <c r="W16" s="133">
        <v>42747</v>
      </c>
      <c r="X16" s="10">
        <v>111.14</v>
      </c>
      <c r="Y16" s="10">
        <v>111.14</v>
      </c>
      <c r="Z16" s="10">
        <v>109.71</v>
      </c>
      <c r="AA16" s="10">
        <v>110.82</v>
      </c>
      <c r="AB16" s="95">
        <v>2644600</v>
      </c>
      <c r="AC16" s="10">
        <v>110.82</v>
      </c>
      <c r="AD16" s="2">
        <f t="shared" si="0"/>
        <v>1.4300000000000068</v>
      </c>
      <c r="AE16" s="138">
        <f t="shared" si="1"/>
        <v>-1.6216216216217161E-3</v>
      </c>
    </row>
    <row r="17" spans="1:31" x14ac:dyDescent="0.25">
      <c r="W17" s="133">
        <v>42746</v>
      </c>
      <c r="X17" s="10">
        <v>111.62</v>
      </c>
      <c r="Y17" s="10">
        <v>111.62</v>
      </c>
      <c r="Z17" s="10">
        <v>110.58</v>
      </c>
      <c r="AA17" s="10">
        <v>111</v>
      </c>
      <c r="AB17" s="95">
        <v>2743900</v>
      </c>
      <c r="AC17" s="10">
        <v>111</v>
      </c>
      <c r="AD17" s="2">
        <f t="shared" si="0"/>
        <v>1.0400000000000063</v>
      </c>
      <c r="AE17" s="138">
        <f t="shared" si="1"/>
        <v>-2.3368685960812874E-3</v>
      </c>
    </row>
    <row r="18" spans="1:31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3">
        <v>42745</v>
      </c>
      <c r="X18" s="10">
        <v>111.75</v>
      </c>
      <c r="Y18" s="10">
        <v>111.83</v>
      </c>
      <c r="Z18" s="10">
        <v>111.06</v>
      </c>
      <c r="AA18" s="10">
        <v>111.26</v>
      </c>
      <c r="AB18" s="95">
        <v>1800400</v>
      </c>
      <c r="AC18" s="10">
        <v>111.26</v>
      </c>
      <c r="AD18" s="2">
        <f t="shared" si="0"/>
        <v>0.76999999999999602</v>
      </c>
      <c r="AE18" s="138">
        <f t="shared" si="1"/>
        <v>-2.1524663677129352E-3</v>
      </c>
    </row>
    <row r="19" spans="1:31" x14ac:dyDescent="0.25">
      <c r="W19" s="133">
        <v>42744</v>
      </c>
      <c r="X19" s="10">
        <v>112.7</v>
      </c>
      <c r="Y19" s="10">
        <v>112.7</v>
      </c>
      <c r="Z19" s="10">
        <v>111.27</v>
      </c>
      <c r="AA19" s="10">
        <v>111.5</v>
      </c>
      <c r="AB19" s="95">
        <v>2434100</v>
      </c>
      <c r="AC19" s="10">
        <v>111.5</v>
      </c>
      <c r="AD19" s="2">
        <f t="shared" si="0"/>
        <v>1.4300000000000068</v>
      </c>
      <c r="AE19" s="138">
        <f t="shared" si="1"/>
        <v>-9.3291870279875733E-3</v>
      </c>
    </row>
    <row r="20" spans="1:31" x14ac:dyDescent="0.25">
      <c r="W20" s="133">
        <v>42741</v>
      </c>
      <c r="X20" s="10">
        <v>111.42</v>
      </c>
      <c r="Y20" s="10">
        <v>112.83</v>
      </c>
      <c r="Z20" s="10">
        <v>111.06</v>
      </c>
      <c r="AA20" s="10">
        <v>112.55</v>
      </c>
      <c r="AB20" s="95">
        <v>2622000</v>
      </c>
      <c r="AC20" s="10">
        <v>112.55</v>
      </c>
      <c r="AD20" s="2">
        <f t="shared" si="0"/>
        <v>1.769999999999996</v>
      </c>
      <c r="AE20" s="138">
        <f t="shared" si="1"/>
        <v>1.0776829815895894E-2</v>
      </c>
    </row>
    <row r="21" spans="1:31" x14ac:dyDescent="0.25">
      <c r="W21" s="133">
        <v>42740</v>
      </c>
      <c r="X21" s="10">
        <v>111.17</v>
      </c>
      <c r="Y21" s="10">
        <v>111.94</v>
      </c>
      <c r="Z21" s="10">
        <v>110.56</v>
      </c>
      <c r="AA21" s="10">
        <v>111.35</v>
      </c>
      <c r="AB21" s="95">
        <v>3064400</v>
      </c>
      <c r="AC21" s="10">
        <v>111.35</v>
      </c>
      <c r="AD21" s="2">
        <f t="shared" si="0"/>
        <v>1.3799999999999955</v>
      </c>
      <c r="AE21" s="138">
        <f t="shared" si="1"/>
        <v>4.0577096483316311E-3</v>
      </c>
    </row>
    <row r="22" spans="1:31" x14ac:dyDescent="0.25">
      <c r="W22" s="133">
        <v>42739</v>
      </c>
      <c r="X22" s="10">
        <v>111.46</v>
      </c>
      <c r="Y22" s="10">
        <v>111.7</v>
      </c>
      <c r="Z22" s="10">
        <v>110.58</v>
      </c>
      <c r="AA22" s="10">
        <v>110.9</v>
      </c>
      <c r="AB22" s="95">
        <v>3085000</v>
      </c>
      <c r="AC22" s="10">
        <v>110.9</v>
      </c>
      <c r="AD22" s="2">
        <f t="shared" si="0"/>
        <v>1.1200000000000045</v>
      </c>
      <c r="AE22" s="138">
        <f t="shared" si="1"/>
        <v>6.3159794279532555E-4</v>
      </c>
    </row>
    <row r="23" spans="1:31" x14ac:dyDescent="0.25">
      <c r="W23" s="133">
        <v>42738</v>
      </c>
      <c r="X23" s="10">
        <v>110.39</v>
      </c>
      <c r="Y23" s="10">
        <v>110.96</v>
      </c>
      <c r="Z23" s="10">
        <v>110</v>
      </c>
      <c r="AA23" s="10">
        <v>110.83</v>
      </c>
      <c r="AB23" s="95">
        <v>2738700</v>
      </c>
      <c r="AC23" s="10">
        <v>110.83</v>
      </c>
      <c r="AD23" s="2">
        <f t="shared" si="0"/>
        <v>0.95999999999999375</v>
      </c>
      <c r="AE23" s="138">
        <f t="shared" si="1"/>
        <v>1.1038131727786782E-2</v>
      </c>
    </row>
    <row r="24" spans="1:31" x14ac:dyDescent="0.25">
      <c r="W24" s="133">
        <v>42734</v>
      </c>
      <c r="X24" s="10">
        <v>110.59</v>
      </c>
      <c r="Y24" s="10">
        <v>110.79</v>
      </c>
      <c r="Z24" s="10">
        <v>109.38</v>
      </c>
      <c r="AA24" s="10">
        <v>109.62</v>
      </c>
      <c r="AB24" s="95">
        <v>2198600</v>
      </c>
      <c r="AC24" s="10">
        <v>109.62</v>
      </c>
      <c r="AD24" s="2">
        <f t="shared" si="0"/>
        <v>1.4100000000000108</v>
      </c>
      <c r="AE24" s="138">
        <f t="shared" si="1"/>
        <v>-8.4124830393486061E-3</v>
      </c>
    </row>
    <row r="25" spans="1:31" x14ac:dyDescent="0.25">
      <c r="W25" s="133">
        <v>42733</v>
      </c>
      <c r="X25" s="10">
        <v>110.28</v>
      </c>
      <c r="Y25" s="10">
        <v>110.82</v>
      </c>
      <c r="Z25" s="10">
        <v>110.03</v>
      </c>
      <c r="AA25" s="10">
        <v>110.55</v>
      </c>
      <c r="AB25" s="95">
        <v>2903600</v>
      </c>
      <c r="AC25" s="10">
        <v>110.55</v>
      </c>
      <c r="AD25" s="2">
        <f t="shared" si="0"/>
        <v>0.78999999999999204</v>
      </c>
      <c r="AE25" s="138">
        <f t="shared" si="1"/>
        <v>3.2670841274162754E-3</v>
      </c>
    </row>
    <row r="26" spans="1:31" x14ac:dyDescent="0.25">
      <c r="W26" s="133">
        <v>42732</v>
      </c>
      <c r="X26" s="10">
        <v>111</v>
      </c>
      <c r="Y26" s="10">
        <v>111.09</v>
      </c>
      <c r="Z26" s="10">
        <v>110.1</v>
      </c>
      <c r="AA26" s="10">
        <v>110.19</v>
      </c>
      <c r="AB26" s="95">
        <v>1864500</v>
      </c>
      <c r="AC26" s="10">
        <v>110.19</v>
      </c>
      <c r="AD26" s="2">
        <f t="shared" si="0"/>
        <v>0.99000000000000909</v>
      </c>
      <c r="AE26" s="138">
        <f t="shared" si="1"/>
        <v>-7.1183997116598396E-3</v>
      </c>
    </row>
    <row r="27" spans="1:31" x14ac:dyDescent="0.25">
      <c r="L27" t="s">
        <v>213</v>
      </c>
      <c r="M27" s="2">
        <f>M35+K35-F35</f>
        <v>114.84999999999991</v>
      </c>
      <c r="W27" s="133">
        <v>42731</v>
      </c>
      <c r="X27" s="10">
        <v>111.04</v>
      </c>
      <c r="Y27" s="10">
        <v>111.13</v>
      </c>
      <c r="Z27" s="10">
        <v>110.5</v>
      </c>
      <c r="AA27" s="10">
        <v>110.98</v>
      </c>
      <c r="AB27" s="95">
        <v>1067300</v>
      </c>
      <c r="AC27" s="10">
        <v>110.98</v>
      </c>
      <c r="AD27" s="2">
        <f t="shared" si="0"/>
        <v>0.62999999999999545</v>
      </c>
      <c r="AE27" s="138">
        <f t="shared" si="1"/>
        <v>2.9823768639856141E-3</v>
      </c>
    </row>
    <row r="28" spans="1:31" x14ac:dyDescent="0.25">
      <c r="A28" s="263" t="s">
        <v>1</v>
      </c>
      <c r="B28" s="263" t="s">
        <v>2</v>
      </c>
      <c r="C28" s="263" t="s">
        <v>4</v>
      </c>
      <c r="D28" s="264" t="s">
        <v>5</v>
      </c>
      <c r="E28" s="264" t="s">
        <v>94</v>
      </c>
      <c r="F28" s="264" t="s">
        <v>60</v>
      </c>
      <c r="G28" s="263" t="s">
        <v>3</v>
      </c>
      <c r="H28" s="263" t="s">
        <v>6</v>
      </c>
      <c r="I28" s="263" t="s">
        <v>7</v>
      </c>
      <c r="J28" s="263" t="s">
        <v>95</v>
      </c>
      <c r="K28" s="263" t="s">
        <v>61</v>
      </c>
      <c r="L28" s="263" t="s">
        <v>77</v>
      </c>
      <c r="M28" s="263" t="s">
        <v>38</v>
      </c>
      <c r="W28" s="133">
        <v>42727</v>
      </c>
      <c r="X28" s="10">
        <v>110.35</v>
      </c>
      <c r="Y28" s="10">
        <v>110.83</v>
      </c>
      <c r="Z28" s="10">
        <v>110.04</v>
      </c>
      <c r="AA28" s="10">
        <v>110.65</v>
      </c>
      <c r="AB28" s="95">
        <v>1303200</v>
      </c>
      <c r="AC28" s="10">
        <v>110.65</v>
      </c>
      <c r="AD28" s="2">
        <f t="shared" si="0"/>
        <v>0.78999999999999204</v>
      </c>
      <c r="AE28" s="138">
        <f t="shared" si="1"/>
        <v>1.7200796668477292E-3</v>
      </c>
    </row>
    <row r="29" spans="1:31" x14ac:dyDescent="0.25">
      <c r="A29" s="265" t="s">
        <v>54</v>
      </c>
      <c r="B29" s="266">
        <v>42214</v>
      </c>
      <c r="C29" s="261">
        <v>10</v>
      </c>
      <c r="D29" s="262">
        <v>99.58</v>
      </c>
      <c r="E29" s="262">
        <v>0</v>
      </c>
      <c r="F29" s="262">
        <f>C29*D29</f>
        <v>995.8</v>
      </c>
      <c r="G29" s="266">
        <v>42237</v>
      </c>
      <c r="H29" s="261">
        <v>10</v>
      </c>
      <c r="I29" s="261">
        <v>99.56</v>
      </c>
      <c r="J29" s="262">
        <v>0.02</v>
      </c>
      <c r="K29" s="261">
        <f>I29*H29-J29</f>
        <v>995.58</v>
      </c>
      <c r="L29" s="266">
        <v>42257</v>
      </c>
      <c r="M29" s="262">
        <v>9.6</v>
      </c>
      <c r="W29" s="133">
        <v>42726</v>
      </c>
      <c r="X29" s="10">
        <v>110.58</v>
      </c>
      <c r="Y29" s="10">
        <v>110.76</v>
      </c>
      <c r="Z29" s="10">
        <v>109.69</v>
      </c>
      <c r="AA29" s="10">
        <v>110.46</v>
      </c>
      <c r="AB29" s="95">
        <v>2087900</v>
      </c>
      <c r="AC29" s="10">
        <v>110.46</v>
      </c>
      <c r="AD29" s="2">
        <f t="shared" si="0"/>
        <v>1.0700000000000074</v>
      </c>
      <c r="AE29" s="138">
        <f t="shared" si="1"/>
        <v>-2.715177844149208E-4</v>
      </c>
    </row>
    <row r="30" spans="1:31" x14ac:dyDescent="0.25">
      <c r="A30" s="268" t="s">
        <v>71</v>
      </c>
      <c r="B30" s="266">
        <v>42219</v>
      </c>
      <c r="C30" s="261">
        <v>5</v>
      </c>
      <c r="D30" s="262">
        <v>97.95</v>
      </c>
      <c r="E30" s="262">
        <v>0</v>
      </c>
      <c r="F30" s="262">
        <f>C30*D30</f>
        <v>489.75</v>
      </c>
      <c r="G30" s="266">
        <v>42304</v>
      </c>
      <c r="H30" s="267">
        <v>15</v>
      </c>
      <c r="I30" s="262">
        <v>98.75</v>
      </c>
      <c r="J30" s="262">
        <v>0.03</v>
      </c>
      <c r="K30" s="261">
        <f>I30*H30-J30</f>
        <v>1481.22</v>
      </c>
      <c r="L30" s="261"/>
      <c r="M30" s="261"/>
      <c r="W30" s="133">
        <v>42725</v>
      </c>
      <c r="X30" s="10">
        <v>110.94</v>
      </c>
      <c r="Y30" s="10">
        <v>111.13</v>
      </c>
      <c r="Z30" s="10">
        <v>110.47</v>
      </c>
      <c r="AA30" s="10">
        <v>110.49</v>
      </c>
      <c r="AB30" s="95">
        <v>2078700</v>
      </c>
      <c r="AC30" s="10">
        <v>110.49</v>
      </c>
      <c r="AD30" s="2">
        <f t="shared" si="0"/>
        <v>0.65999999999999659</v>
      </c>
      <c r="AE30" s="138">
        <f t="shared" si="1"/>
        <v>-1.4460009037506882E-3</v>
      </c>
    </row>
    <row r="31" spans="1:31" x14ac:dyDescent="0.25">
      <c r="A31" s="261"/>
      <c r="B31" s="266">
        <v>42272</v>
      </c>
      <c r="C31" s="261">
        <v>10</v>
      </c>
      <c r="D31" s="262">
        <v>88.6</v>
      </c>
      <c r="E31" s="262">
        <v>0</v>
      </c>
      <c r="F31" s="262">
        <f>C31*D31</f>
        <v>886</v>
      </c>
      <c r="G31" s="261"/>
      <c r="H31" s="261"/>
      <c r="I31" s="261"/>
      <c r="J31" s="261"/>
      <c r="K31" s="261"/>
      <c r="L31" s="261"/>
      <c r="M31" s="261"/>
      <c r="W31" s="133">
        <v>42724</v>
      </c>
      <c r="X31" s="10">
        <v>110.93</v>
      </c>
      <c r="Y31" s="10">
        <v>111</v>
      </c>
      <c r="Z31" s="10">
        <v>110.15</v>
      </c>
      <c r="AA31" s="10">
        <v>110.65</v>
      </c>
      <c r="AB31" s="95">
        <v>2250000</v>
      </c>
      <c r="AC31" s="10">
        <v>110.65</v>
      </c>
      <c r="AD31" s="2">
        <f t="shared" si="0"/>
        <v>0.84999999999999432</v>
      </c>
      <c r="AE31" s="138">
        <f t="shared" si="1"/>
        <v>-1.5340191301208561E-3</v>
      </c>
    </row>
    <row r="32" spans="1:31" x14ac:dyDescent="0.25">
      <c r="A32" s="261"/>
      <c r="B32" s="261"/>
      <c r="C32" s="261"/>
      <c r="D32" s="262"/>
      <c r="E32" s="262"/>
      <c r="F32" s="262"/>
      <c r="G32" s="261"/>
      <c r="H32" s="261"/>
      <c r="I32" s="261"/>
      <c r="J32" s="261"/>
      <c r="K32" s="261"/>
      <c r="L32" s="261"/>
      <c r="M32" s="261"/>
      <c r="W32" s="133">
        <v>42723</v>
      </c>
      <c r="X32" s="10">
        <v>109.57</v>
      </c>
      <c r="Y32" s="10">
        <v>111.07</v>
      </c>
      <c r="Z32" s="10">
        <v>108.88</v>
      </c>
      <c r="AA32" s="10">
        <v>110.82</v>
      </c>
      <c r="AB32" s="95">
        <v>3831000</v>
      </c>
      <c r="AC32" s="10">
        <v>110.82</v>
      </c>
      <c r="AD32" s="2">
        <f t="shared" si="0"/>
        <v>2.1899999999999977</v>
      </c>
      <c r="AE32" s="138">
        <f t="shared" si="1"/>
        <v>2.1194249907851015E-2</v>
      </c>
    </row>
    <row r="33" spans="1:31" x14ac:dyDescent="0.25">
      <c r="A33" s="261"/>
      <c r="B33" s="261"/>
      <c r="C33" s="261"/>
      <c r="D33" s="262"/>
      <c r="E33" s="262"/>
      <c r="F33" s="262"/>
      <c r="G33" s="261"/>
      <c r="H33" s="261"/>
      <c r="I33" s="261"/>
      <c r="J33" s="261"/>
      <c r="K33" s="261"/>
      <c r="L33" s="261"/>
      <c r="M33" s="261"/>
      <c r="W33" s="133">
        <v>42720</v>
      </c>
      <c r="X33" s="10">
        <v>108.41</v>
      </c>
      <c r="Y33" s="10">
        <v>109.26</v>
      </c>
      <c r="Z33" s="10">
        <v>108.09</v>
      </c>
      <c r="AA33" s="10">
        <v>108.52</v>
      </c>
      <c r="AB33" s="95">
        <v>7847000</v>
      </c>
      <c r="AC33" s="10">
        <v>108.52</v>
      </c>
      <c r="AD33" s="2">
        <f t="shared" si="0"/>
        <v>1.1700000000000017</v>
      </c>
      <c r="AE33" s="138">
        <f t="shared" si="1"/>
        <v>3.6067696291501861E-3</v>
      </c>
    </row>
    <row r="34" spans="1:31" x14ac:dyDescent="0.25">
      <c r="A34" s="261"/>
      <c r="B34" s="261"/>
      <c r="C34" s="261"/>
      <c r="D34" s="262"/>
      <c r="E34" s="262"/>
      <c r="F34" s="262"/>
      <c r="G34" s="261"/>
      <c r="H34" s="261"/>
      <c r="I34" s="261"/>
      <c r="J34" s="261"/>
      <c r="K34" s="261"/>
      <c r="L34" s="261"/>
      <c r="M34" s="261"/>
      <c r="W34" s="133">
        <v>42719</v>
      </c>
      <c r="X34" s="10">
        <v>109.04</v>
      </c>
      <c r="Y34" s="10">
        <v>109.43</v>
      </c>
      <c r="Z34" s="10">
        <v>108.12</v>
      </c>
      <c r="AA34" s="10">
        <v>108.13</v>
      </c>
      <c r="AB34" s="95">
        <v>3555800</v>
      </c>
      <c r="AC34" s="10">
        <v>108.13</v>
      </c>
      <c r="AD34" s="2">
        <f t="shared" si="0"/>
        <v>1.3100000000000023</v>
      </c>
      <c r="AE34" s="138">
        <f t="shared" si="1"/>
        <v>-1.0432872700649742E-2</v>
      </c>
    </row>
    <row r="35" spans="1:31" x14ac:dyDescent="0.25">
      <c r="A35" s="32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3">
        <v>42718</v>
      </c>
      <c r="X35" s="10">
        <v>110.35</v>
      </c>
      <c r="Y35" s="10">
        <v>110.44</v>
      </c>
      <c r="Z35" s="10">
        <v>109.09</v>
      </c>
      <c r="AA35" s="10">
        <v>109.27</v>
      </c>
      <c r="AB35" s="95">
        <v>2683500</v>
      </c>
      <c r="AC35" s="10">
        <v>109.27</v>
      </c>
      <c r="AD35" s="2">
        <f t="shared" si="0"/>
        <v>1.3499999999999943</v>
      </c>
      <c r="AE35" s="138">
        <f t="shared" si="1"/>
        <v>-9.4279757048318924E-3</v>
      </c>
    </row>
    <row r="36" spans="1:31" x14ac:dyDescent="0.25">
      <c r="A36" s="261"/>
      <c r="B36" s="261"/>
      <c r="C36" s="261"/>
      <c r="D36" s="262"/>
      <c r="E36" s="262"/>
      <c r="F36" s="262"/>
      <c r="G36" s="261"/>
      <c r="H36" s="261"/>
      <c r="I36" s="261"/>
      <c r="J36" s="261"/>
      <c r="K36" s="261"/>
      <c r="L36" s="261"/>
      <c r="M36" s="261"/>
      <c r="W36" s="133">
        <v>42717</v>
      </c>
      <c r="X36" s="10">
        <v>110.88</v>
      </c>
      <c r="Y36" s="10">
        <v>111.69</v>
      </c>
      <c r="Z36" s="10">
        <v>110.26</v>
      </c>
      <c r="AA36" s="10">
        <v>110.31</v>
      </c>
      <c r="AB36" s="95">
        <v>3750800</v>
      </c>
      <c r="AC36" s="10">
        <v>110.31</v>
      </c>
      <c r="AD36" s="2">
        <f t="shared" si="0"/>
        <v>1.4299999999999926</v>
      </c>
      <c r="AE36" s="138">
        <f t="shared" si="1"/>
        <v>-7.2470332457652553E-4</v>
      </c>
    </row>
    <row r="37" spans="1:31" x14ac:dyDescent="0.25">
      <c r="A37" s="261"/>
      <c r="B37" s="261"/>
      <c r="C37" s="261"/>
      <c r="D37" s="262"/>
      <c r="E37" s="262"/>
      <c r="F37" s="262"/>
      <c r="G37" s="261"/>
      <c r="H37" s="261"/>
      <c r="I37" s="261"/>
      <c r="J37" s="261"/>
      <c r="K37" s="261"/>
      <c r="L37" s="261"/>
      <c r="M37" s="261"/>
      <c r="W37" s="133">
        <v>42716</v>
      </c>
      <c r="X37" s="10">
        <v>109.42</v>
      </c>
      <c r="Y37" s="10">
        <v>110.5</v>
      </c>
      <c r="Z37" s="10">
        <v>108.79</v>
      </c>
      <c r="AA37" s="10">
        <v>110.39</v>
      </c>
      <c r="AB37" s="95">
        <v>4477600</v>
      </c>
      <c r="AC37" s="10">
        <v>110.39</v>
      </c>
      <c r="AD37" s="2">
        <f t="shared" si="0"/>
        <v>1.7099999999999937</v>
      </c>
      <c r="AE37" s="138">
        <f t="shared" si="1"/>
        <v>5.464978595500547E-3</v>
      </c>
    </row>
    <row r="38" spans="1:31" x14ac:dyDescent="0.25">
      <c r="W38" s="133">
        <v>42713</v>
      </c>
      <c r="X38" s="10">
        <v>108.54</v>
      </c>
      <c r="Y38" s="10">
        <v>109.99</v>
      </c>
      <c r="Z38" s="10">
        <v>108.06</v>
      </c>
      <c r="AA38" s="10">
        <v>109.79</v>
      </c>
      <c r="AB38" s="95">
        <v>3428300</v>
      </c>
      <c r="AC38" s="10">
        <v>109.79</v>
      </c>
      <c r="AD38" s="2">
        <f t="shared" si="0"/>
        <v>1.9299999999999926</v>
      </c>
      <c r="AE38" s="138">
        <f t="shared" si="1"/>
        <v>1.2542654246979534E-2</v>
      </c>
    </row>
    <row r="39" spans="1:31" ht="20.25" thickBot="1" x14ac:dyDescent="0.35">
      <c r="P39" s="638" t="s">
        <v>78</v>
      </c>
      <c r="Q39" s="638"/>
      <c r="W39" s="133">
        <v>42712</v>
      </c>
      <c r="X39" s="10">
        <v>109.67</v>
      </c>
      <c r="Y39" s="10">
        <v>109.68</v>
      </c>
      <c r="Z39" s="10">
        <v>108.14</v>
      </c>
      <c r="AA39" s="10">
        <v>108.43</v>
      </c>
      <c r="AB39" s="95">
        <v>3168500</v>
      </c>
      <c r="AC39" s="10">
        <v>108.43</v>
      </c>
      <c r="AD39" s="2">
        <f t="shared" si="0"/>
        <v>1.5400000000000063</v>
      </c>
      <c r="AE39" s="138">
        <f t="shared" si="1"/>
        <v>-1.1396790663749101E-2</v>
      </c>
    </row>
    <row r="40" spans="1:31" ht="15.75" thickTop="1" x14ac:dyDescent="0.25">
      <c r="O40" s="2"/>
      <c r="P40" s="83">
        <v>1.1000000000000001</v>
      </c>
      <c r="Q40" s="83">
        <f>P40*$Q$4</f>
        <v>120.61500000000001</v>
      </c>
      <c r="W40" s="133">
        <v>42711</v>
      </c>
      <c r="X40" s="10">
        <v>107.5</v>
      </c>
      <c r="Y40" s="10">
        <v>109.84</v>
      </c>
      <c r="Z40" s="10">
        <v>107.08</v>
      </c>
      <c r="AA40" s="10">
        <v>109.68</v>
      </c>
      <c r="AB40" s="95">
        <v>4225300</v>
      </c>
      <c r="AC40" s="10">
        <v>109.68</v>
      </c>
      <c r="AD40" s="2">
        <f t="shared" si="0"/>
        <v>2.7600000000000051</v>
      </c>
      <c r="AE40" s="138">
        <f t="shared" si="1"/>
        <v>2.0943870427254874E-2</v>
      </c>
    </row>
    <row r="41" spans="1:31" x14ac:dyDescent="0.25">
      <c r="O41" s="2"/>
      <c r="P41" s="83">
        <v>1.0900000000000001</v>
      </c>
      <c r="Q41" s="83">
        <f t="shared" ref="Q41:Q60" si="2">P41*$Q$4</f>
        <v>119.51850000000002</v>
      </c>
      <c r="W41" s="133">
        <v>42710</v>
      </c>
      <c r="X41" s="10">
        <v>107.3</v>
      </c>
      <c r="Y41" s="10">
        <v>107.7</v>
      </c>
      <c r="Z41" s="10">
        <v>107.08</v>
      </c>
      <c r="AA41" s="10">
        <v>107.43</v>
      </c>
      <c r="AB41" s="95">
        <v>2147800</v>
      </c>
      <c r="AC41" s="10">
        <v>107.43</v>
      </c>
      <c r="AD41" s="2">
        <f t="shared" si="0"/>
        <v>0.62000000000000455</v>
      </c>
      <c r="AE41" s="138">
        <f t="shared" si="1"/>
        <v>9.3092533978822445E-5</v>
      </c>
    </row>
    <row r="42" spans="1:31" ht="20.25" thickBot="1" x14ac:dyDescent="0.35">
      <c r="O42" s="2"/>
      <c r="P42" s="83">
        <v>1.08</v>
      </c>
      <c r="Q42" s="83">
        <f t="shared" si="2"/>
        <v>118.42200000000001</v>
      </c>
      <c r="T42" s="91" t="s">
        <v>113</v>
      </c>
      <c r="W42" s="133">
        <v>42709</v>
      </c>
      <c r="X42" s="10">
        <v>108.72</v>
      </c>
      <c r="Y42" s="10">
        <v>108.8</v>
      </c>
      <c r="Z42" s="10">
        <v>107.36</v>
      </c>
      <c r="AA42" s="10">
        <v>107.42</v>
      </c>
      <c r="AB42" s="95">
        <v>3069900</v>
      </c>
      <c r="AC42" s="10">
        <v>107.42</v>
      </c>
      <c r="AD42" s="2">
        <f t="shared" si="0"/>
        <v>1.4399999999999977</v>
      </c>
      <c r="AE42" s="138">
        <f t="shared" si="1"/>
        <v>-7.3923489188689739E-3</v>
      </c>
    </row>
    <row r="43" spans="1:31" ht="15.75" thickTop="1" x14ac:dyDescent="0.25">
      <c r="O43" s="2"/>
      <c r="P43" s="83">
        <v>1.07</v>
      </c>
      <c r="Q43" s="83">
        <f t="shared" si="2"/>
        <v>117.32550000000002</v>
      </c>
      <c r="T43" s="128" t="s">
        <v>98</v>
      </c>
      <c r="U43" s="98">
        <v>108.18</v>
      </c>
      <c r="W43" s="133">
        <v>42706</v>
      </c>
      <c r="X43" s="10">
        <v>108.04</v>
      </c>
      <c r="Y43" s="10">
        <v>108.57</v>
      </c>
      <c r="Z43" s="10">
        <v>107.48</v>
      </c>
      <c r="AA43" s="10">
        <v>108.22</v>
      </c>
      <c r="AB43" s="95">
        <v>3122200</v>
      </c>
      <c r="AC43" s="10">
        <v>108.22</v>
      </c>
      <c r="AD43" s="2">
        <f t="shared" si="0"/>
        <v>1.0899999999999892</v>
      </c>
      <c r="AE43" s="138">
        <f t="shared" si="1"/>
        <v>6.8850018608113128E-3</v>
      </c>
    </row>
    <row r="44" spans="1:31" x14ac:dyDescent="0.25">
      <c r="O44" s="2"/>
      <c r="P44" s="83">
        <v>1.06</v>
      </c>
      <c r="Q44" s="83">
        <f t="shared" si="2"/>
        <v>116.22900000000001</v>
      </c>
      <c r="T44" s="93" t="s">
        <v>99</v>
      </c>
      <c r="U44" s="88">
        <v>108.08</v>
      </c>
      <c r="W44" s="133">
        <v>42705</v>
      </c>
      <c r="X44" s="10">
        <v>108</v>
      </c>
      <c r="Y44" s="10">
        <v>108.17</v>
      </c>
      <c r="Z44" s="10">
        <v>107.07</v>
      </c>
      <c r="AA44" s="10">
        <v>107.48</v>
      </c>
      <c r="AB44" s="95">
        <v>4051200</v>
      </c>
      <c r="AC44" s="10">
        <v>107.48</v>
      </c>
      <c r="AD44" s="2">
        <f t="shared" si="0"/>
        <v>1.1000000000000085</v>
      </c>
      <c r="AE44" s="138">
        <f t="shared" si="1"/>
        <v>-2.2279985146675951E-3</v>
      </c>
    </row>
    <row r="45" spans="1:31" x14ac:dyDescent="0.25">
      <c r="O45" s="2"/>
      <c r="P45" s="83">
        <v>1.05</v>
      </c>
      <c r="Q45" s="83">
        <f t="shared" si="2"/>
        <v>115.13250000000001</v>
      </c>
      <c r="T45" s="93" t="s">
        <v>100</v>
      </c>
      <c r="U45" s="88" t="s">
        <v>129</v>
      </c>
      <c r="W45" s="133">
        <v>42704</v>
      </c>
      <c r="X45" s="10">
        <v>109.03</v>
      </c>
      <c r="Y45" s="10">
        <v>110</v>
      </c>
      <c r="Z45" s="10">
        <v>107.72</v>
      </c>
      <c r="AA45" s="10">
        <v>107.72</v>
      </c>
      <c r="AB45" s="95">
        <v>4080900</v>
      </c>
      <c r="AC45" s="10">
        <v>107.72</v>
      </c>
      <c r="AD45" s="2">
        <f t="shared" si="0"/>
        <v>2.2800000000000011</v>
      </c>
      <c r="AE45" s="138">
        <f t="shared" si="1"/>
        <v>-1.0290334435869242E-2</v>
      </c>
    </row>
    <row r="46" spans="1:31" x14ac:dyDescent="0.25">
      <c r="O46" s="2"/>
      <c r="P46" s="83">
        <v>1.04</v>
      </c>
      <c r="Q46" s="83">
        <f t="shared" si="2"/>
        <v>114.03600000000002</v>
      </c>
      <c r="T46" s="93" t="s">
        <v>101</v>
      </c>
      <c r="U46" s="88" t="s">
        <v>129</v>
      </c>
      <c r="W46" s="133">
        <v>42703</v>
      </c>
      <c r="X46" s="10">
        <v>108.67</v>
      </c>
      <c r="Y46" s="10">
        <v>109.44</v>
      </c>
      <c r="Z46" s="10">
        <v>108.65</v>
      </c>
      <c r="AA46" s="10">
        <v>108.84</v>
      </c>
      <c r="AB46" s="95">
        <v>3116300</v>
      </c>
      <c r="AC46" s="10">
        <v>108.84</v>
      </c>
      <c r="AD46" s="2">
        <f t="shared" si="0"/>
        <v>0.78999999999999204</v>
      </c>
      <c r="AE46" s="138">
        <f t="shared" si="1"/>
        <v>3.596127247579517E-3</v>
      </c>
    </row>
    <row r="47" spans="1:31" x14ac:dyDescent="0.25">
      <c r="O47" s="2"/>
      <c r="P47" s="83">
        <v>1.03</v>
      </c>
      <c r="Q47" s="83">
        <f t="shared" si="2"/>
        <v>112.93950000000001</v>
      </c>
      <c r="T47" s="93" t="s">
        <v>102</v>
      </c>
      <c r="U47" s="88">
        <v>117.93</v>
      </c>
      <c r="W47" s="133">
        <v>42702</v>
      </c>
      <c r="X47" s="10">
        <v>108.5</v>
      </c>
      <c r="Y47" s="10">
        <v>108.98</v>
      </c>
      <c r="Z47" s="10">
        <v>108.29</v>
      </c>
      <c r="AA47" s="10">
        <v>108.45</v>
      </c>
      <c r="AB47" s="95">
        <v>2448600</v>
      </c>
      <c r="AC47" s="10">
        <v>108.45</v>
      </c>
      <c r="AD47" s="2">
        <f t="shared" si="0"/>
        <v>0.68999999999999773</v>
      </c>
      <c r="AE47" s="138">
        <f t="shared" si="1"/>
        <v>-3.0336458907886943E-3</v>
      </c>
    </row>
    <row r="48" spans="1:31" x14ac:dyDescent="0.25">
      <c r="O48" s="2"/>
      <c r="P48" s="83">
        <v>1.02</v>
      </c>
      <c r="Q48" s="83">
        <f t="shared" si="2"/>
        <v>111.843</v>
      </c>
      <c r="T48" s="93" t="s">
        <v>103</v>
      </c>
      <c r="U48" s="88">
        <v>0.98758999999999997</v>
      </c>
      <c r="W48" s="133">
        <v>42699</v>
      </c>
      <c r="X48" s="10">
        <v>108.63</v>
      </c>
      <c r="Y48" s="10">
        <v>109.2</v>
      </c>
      <c r="Z48" s="10">
        <v>108.29</v>
      </c>
      <c r="AA48" s="10">
        <v>108.78</v>
      </c>
      <c r="AB48" s="95">
        <v>1008700</v>
      </c>
      <c r="AC48" s="10">
        <v>108.78</v>
      </c>
      <c r="AD48" s="2">
        <f t="shared" si="0"/>
        <v>0.90999999999999659</v>
      </c>
      <c r="AE48" s="138">
        <f t="shared" si="1"/>
        <v>6.1973915456479123E-3</v>
      </c>
    </row>
    <row r="49" spans="15:31" x14ac:dyDescent="0.25">
      <c r="O49" s="2"/>
      <c r="P49" s="83">
        <v>1.01</v>
      </c>
      <c r="Q49" s="83">
        <f t="shared" si="2"/>
        <v>110.74650000000001</v>
      </c>
      <c r="T49" s="93" t="s">
        <v>122</v>
      </c>
      <c r="U49" s="88" t="s">
        <v>481</v>
      </c>
      <c r="W49" s="133">
        <v>42697</v>
      </c>
      <c r="X49" s="10">
        <v>107.37</v>
      </c>
      <c r="Y49" s="10">
        <v>108.28</v>
      </c>
      <c r="Z49" s="10">
        <v>107.37</v>
      </c>
      <c r="AA49" s="10">
        <v>108.11</v>
      </c>
      <c r="AB49" s="95">
        <v>2378500</v>
      </c>
      <c r="AC49" s="10">
        <v>108.11</v>
      </c>
      <c r="AD49" s="2">
        <f t="shared" si="0"/>
        <v>0.90999999999999659</v>
      </c>
      <c r="AE49" s="138">
        <f t="shared" si="1"/>
        <v>1.0940714419300557E-2</v>
      </c>
    </row>
    <row r="50" spans="15:31" x14ac:dyDescent="0.25">
      <c r="O50" s="2"/>
      <c r="P50" s="83">
        <v>1</v>
      </c>
      <c r="Q50" s="83">
        <f t="shared" si="2"/>
        <v>109.65</v>
      </c>
      <c r="T50" s="93"/>
      <c r="U50" s="88"/>
      <c r="W50" s="133">
        <v>42696</v>
      </c>
      <c r="X50" s="10">
        <v>107.21</v>
      </c>
      <c r="Y50" s="10">
        <v>107.33</v>
      </c>
      <c r="Z50" s="10">
        <v>106.87</v>
      </c>
      <c r="AA50" s="10">
        <v>106.94</v>
      </c>
      <c r="AB50" s="95">
        <v>2640700</v>
      </c>
      <c r="AC50" s="10">
        <v>106.94</v>
      </c>
      <c r="AD50" s="2">
        <f t="shared" si="0"/>
        <v>0.45999999999999375</v>
      </c>
      <c r="AE50" s="138">
        <f t="shared" si="1"/>
        <v>8.4230229293402736E-4</v>
      </c>
    </row>
    <row r="51" spans="15:31" x14ac:dyDescent="0.25">
      <c r="O51" s="2"/>
      <c r="P51" s="83">
        <v>0.99</v>
      </c>
      <c r="Q51" s="83">
        <f t="shared" si="2"/>
        <v>108.5535</v>
      </c>
      <c r="T51" s="93" t="s">
        <v>105</v>
      </c>
      <c r="U51" s="88" t="s">
        <v>682</v>
      </c>
      <c r="W51" s="133">
        <v>42695</v>
      </c>
      <c r="X51" s="10">
        <v>106.85</v>
      </c>
      <c r="Y51" s="10">
        <v>107.06</v>
      </c>
      <c r="Z51" s="10">
        <v>106.21</v>
      </c>
      <c r="AA51" s="10">
        <v>106.85</v>
      </c>
      <c r="AB51" s="95">
        <v>2177400</v>
      </c>
      <c r="AC51" s="10">
        <v>106.85</v>
      </c>
      <c r="AD51" s="2">
        <f t="shared" si="0"/>
        <v>0.85000000000000853</v>
      </c>
      <c r="AE51" s="138">
        <f t="shared" si="1"/>
        <v>3.2863849765256692E-3</v>
      </c>
    </row>
    <row r="52" spans="15:31" x14ac:dyDescent="0.25">
      <c r="O52" s="2"/>
      <c r="P52" s="83">
        <v>0.98</v>
      </c>
      <c r="Q52" s="83">
        <f t="shared" si="2"/>
        <v>107.45700000000001</v>
      </c>
      <c r="T52" s="93" t="s">
        <v>106</v>
      </c>
      <c r="U52" s="88" t="s">
        <v>412</v>
      </c>
      <c r="W52" s="133">
        <v>42692</v>
      </c>
      <c r="X52" s="10">
        <v>106.66</v>
      </c>
      <c r="Y52" s="10">
        <v>106.96</v>
      </c>
      <c r="Z52" s="10">
        <v>106.37</v>
      </c>
      <c r="AA52" s="10">
        <v>106.5</v>
      </c>
      <c r="AB52" s="95">
        <v>2677500</v>
      </c>
      <c r="AC52" s="10">
        <v>106.5</v>
      </c>
      <c r="AD52" s="2">
        <f t="shared" si="0"/>
        <v>0.5899999999999892</v>
      </c>
      <c r="AE52" s="138">
        <f t="shared" si="1"/>
        <v>-1.8744142455482393E-3</v>
      </c>
    </row>
    <row r="53" spans="15:31" x14ac:dyDescent="0.25">
      <c r="P53" s="83">
        <v>0.97</v>
      </c>
      <c r="Q53" s="83">
        <f t="shared" si="2"/>
        <v>106.3605</v>
      </c>
      <c r="T53" s="93" t="s">
        <v>107</v>
      </c>
      <c r="U53" s="90">
        <v>4714506</v>
      </c>
      <c r="W53" s="133">
        <v>42691</v>
      </c>
      <c r="X53" s="10">
        <v>107.03</v>
      </c>
      <c r="Y53" s="10">
        <v>107.44</v>
      </c>
      <c r="Z53" s="10">
        <v>106.61</v>
      </c>
      <c r="AA53" s="10">
        <v>106.7</v>
      </c>
      <c r="AB53" s="95">
        <v>2226500</v>
      </c>
      <c r="AC53" s="10">
        <v>106.7</v>
      </c>
      <c r="AD53" s="2">
        <f t="shared" si="0"/>
        <v>0.82999999999999829</v>
      </c>
      <c r="AE53" s="138">
        <f t="shared" si="1"/>
        <v>-2.4308152580403419E-3</v>
      </c>
    </row>
    <row r="54" spans="15:31" x14ac:dyDescent="0.25">
      <c r="P54" s="83">
        <v>0.96</v>
      </c>
      <c r="Q54" s="83">
        <f t="shared" si="2"/>
        <v>105.264</v>
      </c>
      <c r="T54" s="93" t="s">
        <v>110</v>
      </c>
      <c r="U54" s="90">
        <v>3142690</v>
      </c>
      <c r="W54" s="133">
        <v>42690</v>
      </c>
      <c r="X54" s="10">
        <v>106.62</v>
      </c>
      <c r="Y54" s="10">
        <v>107.38</v>
      </c>
      <c r="Z54" s="10">
        <v>106.35</v>
      </c>
      <c r="AA54" s="10">
        <v>106.96</v>
      </c>
      <c r="AB54" s="95">
        <v>2707500</v>
      </c>
      <c r="AC54" s="10">
        <v>106.96</v>
      </c>
      <c r="AD54" s="2">
        <f t="shared" si="0"/>
        <v>1.0300000000000011</v>
      </c>
      <c r="AE54" s="138" t="e">
        <f t="shared" si="1"/>
        <v>#DIV/0!</v>
      </c>
    </row>
    <row r="55" spans="15:31" x14ac:dyDescent="0.25">
      <c r="P55" s="83">
        <v>0.95</v>
      </c>
      <c r="Q55" s="83">
        <f t="shared" si="2"/>
        <v>104.1675</v>
      </c>
      <c r="T55" s="93" t="s">
        <v>108</v>
      </c>
      <c r="U55" s="88" t="s">
        <v>683</v>
      </c>
      <c r="W55" s="133">
        <v>42690</v>
      </c>
      <c r="X55" s="10" t="s">
        <v>217</v>
      </c>
      <c r="Y55" s="10"/>
      <c r="Z55" s="10"/>
      <c r="AA55" s="10"/>
      <c r="AB55" s="95"/>
      <c r="AC55" s="10"/>
      <c r="AD55" s="2">
        <f t="shared" si="0"/>
        <v>0</v>
      </c>
      <c r="AE55" s="138">
        <f t="shared" si="1"/>
        <v>-1</v>
      </c>
    </row>
    <row r="56" spans="15:31" x14ac:dyDescent="0.25">
      <c r="P56" s="83">
        <v>0.94</v>
      </c>
      <c r="Q56" s="83">
        <f t="shared" si="2"/>
        <v>103.071</v>
      </c>
      <c r="T56" s="93" t="s">
        <v>111</v>
      </c>
      <c r="U56" s="88">
        <v>17.71</v>
      </c>
      <c r="W56" s="133">
        <v>42689</v>
      </c>
      <c r="X56" s="10">
        <v>107.85</v>
      </c>
      <c r="Y56" s="10">
        <v>108.02</v>
      </c>
      <c r="Z56" s="10">
        <v>106.66</v>
      </c>
      <c r="AA56" s="10">
        <v>107.68</v>
      </c>
      <c r="AB56" s="95">
        <v>3795600</v>
      </c>
      <c r="AC56" s="10">
        <v>107.02</v>
      </c>
      <c r="AD56" s="2">
        <f t="shared" si="0"/>
        <v>1.3599999999999994</v>
      </c>
      <c r="AE56" s="138">
        <f t="shared" si="1"/>
        <v>-1.6791044776119923E-3</v>
      </c>
    </row>
    <row r="57" spans="15:31" x14ac:dyDescent="0.25">
      <c r="P57" s="83">
        <v>0.93</v>
      </c>
      <c r="Q57" s="83">
        <f t="shared" si="2"/>
        <v>101.97450000000001</v>
      </c>
      <c r="T57" s="93" t="s">
        <v>112</v>
      </c>
      <c r="U57" s="88">
        <v>6.12</v>
      </c>
      <c r="W57" s="133">
        <v>42688</v>
      </c>
      <c r="X57" s="10">
        <v>109.42</v>
      </c>
      <c r="Y57" s="10">
        <v>109.42</v>
      </c>
      <c r="Z57" s="10">
        <v>107.73</v>
      </c>
      <c r="AA57" s="10">
        <v>107.86</v>
      </c>
      <c r="AB57" s="95">
        <v>4138500</v>
      </c>
      <c r="AC57" s="10">
        <v>107.2</v>
      </c>
      <c r="AD57" s="2">
        <f t="shared" si="0"/>
        <v>1.6899999999999977</v>
      </c>
      <c r="AE57" s="138">
        <f t="shared" si="1"/>
        <v>-9.1505684444033175E-3</v>
      </c>
    </row>
    <row r="58" spans="15:31" x14ac:dyDescent="0.25">
      <c r="P58" s="83">
        <v>0.92</v>
      </c>
      <c r="Q58" s="83">
        <f t="shared" si="2"/>
        <v>100.87800000000001</v>
      </c>
      <c r="T58" s="93" t="s">
        <v>109</v>
      </c>
      <c r="U58" s="88" t="s">
        <v>684</v>
      </c>
      <c r="W58" s="133">
        <v>42685</v>
      </c>
      <c r="X58" s="10">
        <v>107.9</v>
      </c>
      <c r="Y58" s="10">
        <v>108.92</v>
      </c>
      <c r="Z58" s="10">
        <v>107</v>
      </c>
      <c r="AA58" s="10">
        <v>108.86</v>
      </c>
      <c r="AB58" s="95">
        <v>4149900</v>
      </c>
      <c r="AC58" s="10">
        <v>108.19</v>
      </c>
      <c r="AD58" s="2">
        <f t="shared" si="0"/>
        <v>1.9200000000000017</v>
      </c>
      <c r="AE58" s="138">
        <f t="shared" si="1"/>
        <v>4.0835266821346305E-3</v>
      </c>
    </row>
    <row r="59" spans="15:31" x14ac:dyDescent="0.25">
      <c r="P59" s="83">
        <v>0.91</v>
      </c>
      <c r="Q59" s="83">
        <f t="shared" si="2"/>
        <v>99.781500000000008</v>
      </c>
      <c r="W59" s="133">
        <v>42684</v>
      </c>
      <c r="X59" s="10">
        <v>105.38</v>
      </c>
      <c r="Y59" s="10">
        <v>108.46</v>
      </c>
      <c r="Z59" s="10">
        <v>105.34</v>
      </c>
      <c r="AA59" s="10">
        <v>108.41</v>
      </c>
      <c r="AB59" s="95">
        <v>6105600</v>
      </c>
      <c r="AC59" s="10">
        <v>107.75</v>
      </c>
      <c r="AD59" s="2">
        <f t="shared" si="0"/>
        <v>3.1199999999999903</v>
      </c>
      <c r="AE59" s="138">
        <f t="shared" si="1"/>
        <v>3.4366900259191757E-2</v>
      </c>
    </row>
    <row r="60" spans="15:31" x14ac:dyDescent="0.25">
      <c r="P60" s="83">
        <v>0.9</v>
      </c>
      <c r="Q60" s="83">
        <f t="shared" si="2"/>
        <v>98.685000000000002</v>
      </c>
      <c r="W60" s="133">
        <v>42683</v>
      </c>
      <c r="X60" s="10">
        <v>101.09</v>
      </c>
      <c r="Y60" s="10">
        <v>105.29</v>
      </c>
      <c r="Z60" s="10">
        <v>101.09</v>
      </c>
      <c r="AA60" s="10">
        <v>104.81</v>
      </c>
      <c r="AB60" s="95">
        <v>5003900</v>
      </c>
      <c r="AC60" s="10">
        <v>104.17</v>
      </c>
      <c r="AD60" s="2">
        <f t="shared" si="0"/>
        <v>4.2000000000000028</v>
      </c>
      <c r="AE60" s="138">
        <f t="shared" si="1"/>
        <v>1.3918629550321304E-2</v>
      </c>
    </row>
    <row r="61" spans="15:31" x14ac:dyDescent="0.25">
      <c r="W61" s="133">
        <v>42682</v>
      </c>
      <c r="X61" s="10">
        <v>103.23</v>
      </c>
      <c r="Y61" s="10">
        <v>103.92</v>
      </c>
      <c r="Z61" s="10">
        <v>102.62</v>
      </c>
      <c r="AA61" s="10">
        <v>103.37</v>
      </c>
      <c r="AB61" s="95">
        <v>2524200</v>
      </c>
      <c r="AC61" s="10">
        <v>102.74</v>
      </c>
      <c r="AD61" s="2">
        <f t="shared" si="0"/>
        <v>1.2999999999999972</v>
      </c>
      <c r="AE61" s="138">
        <f t="shared" si="1"/>
        <v>3.1243897676234145E-3</v>
      </c>
    </row>
    <row r="62" spans="15:31" x14ac:dyDescent="0.25">
      <c r="W62" s="133">
        <v>42681</v>
      </c>
      <c r="X62" s="10">
        <v>102.97</v>
      </c>
      <c r="Y62" s="10">
        <v>103.34</v>
      </c>
      <c r="Z62" s="10">
        <v>102.51</v>
      </c>
      <c r="AA62" s="10">
        <v>103.05</v>
      </c>
      <c r="AB62" s="95">
        <v>4226200</v>
      </c>
      <c r="AC62" s="10">
        <v>102.42</v>
      </c>
      <c r="AD62" s="2">
        <f t="shared" si="0"/>
        <v>0.82999999999999829</v>
      </c>
      <c r="AE62" s="138">
        <f t="shared" si="1"/>
        <v>1.6979445933869686E-2</v>
      </c>
    </row>
    <row r="63" spans="15:31" x14ac:dyDescent="0.25">
      <c r="W63" s="133">
        <v>42678</v>
      </c>
      <c r="X63" s="10">
        <v>101.24</v>
      </c>
      <c r="Y63" s="10">
        <v>101.77</v>
      </c>
      <c r="Z63" s="10">
        <v>100.74</v>
      </c>
      <c r="AA63" s="10">
        <v>101.33</v>
      </c>
      <c r="AB63" s="95">
        <v>2607800</v>
      </c>
      <c r="AC63" s="10">
        <v>100.71</v>
      </c>
      <c r="AD63" s="2">
        <f t="shared" si="0"/>
        <v>1.0300000000000011</v>
      </c>
      <c r="AE63" s="138">
        <f t="shared" si="1"/>
        <v>2.7880115503333691E-3</v>
      </c>
    </row>
    <row r="64" spans="15:31" x14ac:dyDescent="0.25">
      <c r="W64" s="133">
        <v>42677</v>
      </c>
      <c r="X64" s="10">
        <v>101.8</v>
      </c>
      <c r="Y64" s="10">
        <v>101.91</v>
      </c>
      <c r="Z64" s="10">
        <v>100.72</v>
      </c>
      <c r="AA64" s="10">
        <v>101.05</v>
      </c>
      <c r="AB64" s="95">
        <v>2444200</v>
      </c>
      <c r="AC64" s="10">
        <v>100.43</v>
      </c>
      <c r="AD64" s="2">
        <f t="shared" si="0"/>
        <v>1.1899999999999977</v>
      </c>
      <c r="AE64" s="138">
        <f t="shared" si="1"/>
        <v>-4.8553309552119561E-3</v>
      </c>
    </row>
    <row r="65" spans="23:31" x14ac:dyDescent="0.25">
      <c r="W65" s="133">
        <v>42676</v>
      </c>
      <c r="X65" s="10">
        <v>101.85</v>
      </c>
      <c r="Y65" s="10">
        <v>102.56</v>
      </c>
      <c r="Z65" s="10">
        <v>101.16</v>
      </c>
      <c r="AA65" s="10">
        <v>101.54</v>
      </c>
      <c r="AB65" s="95">
        <v>4115500</v>
      </c>
      <c r="AC65" s="10">
        <v>100.92</v>
      </c>
      <c r="AD65" s="2">
        <f t="shared" si="0"/>
        <v>1.4000000000000057</v>
      </c>
      <c r="AE65" s="138">
        <f t="shared" si="1"/>
        <v>-4.5373840994278325E-3</v>
      </c>
    </row>
    <row r="66" spans="23:31" x14ac:dyDescent="0.25">
      <c r="W66" s="133">
        <v>42675</v>
      </c>
      <c r="X66" s="10">
        <v>102.41</v>
      </c>
      <c r="Y66" s="10">
        <v>102.92</v>
      </c>
      <c r="Z66" s="10">
        <v>101.3</v>
      </c>
      <c r="AA66" s="10">
        <v>102.01</v>
      </c>
      <c r="AB66" s="95">
        <v>4044500</v>
      </c>
      <c r="AC66" s="10">
        <v>101.38</v>
      </c>
      <c r="AD66" s="2">
        <f t="shared" si="0"/>
        <v>1.6200000000000045</v>
      </c>
      <c r="AE66" s="138">
        <f t="shared" si="1"/>
        <v>-1.8706310918578106E-3</v>
      </c>
    </row>
    <row r="67" spans="23:31" x14ac:dyDescent="0.25">
      <c r="W67" s="133">
        <v>42674</v>
      </c>
      <c r="X67" s="10">
        <v>102.01</v>
      </c>
      <c r="Y67" s="10">
        <v>102.6</v>
      </c>
      <c r="Z67" s="10">
        <v>101.9</v>
      </c>
      <c r="AA67" s="10">
        <v>102.2</v>
      </c>
      <c r="AB67" s="95">
        <v>4014500</v>
      </c>
      <c r="AC67" s="10">
        <v>101.57</v>
      </c>
      <c r="AD67" s="2">
        <f>Y67-Z67</f>
        <v>0.69999999999998863</v>
      </c>
      <c r="AE67" s="138">
        <f>AC67/AC68-1</f>
        <v>3.4578146611341509E-3</v>
      </c>
    </row>
    <row r="68" spans="23:31" x14ac:dyDescent="0.25">
      <c r="W68" s="133">
        <v>42671</v>
      </c>
      <c r="X68" s="10">
        <v>100.52</v>
      </c>
      <c r="Y68" s="10">
        <v>102.14</v>
      </c>
      <c r="Z68" s="10">
        <v>100.52</v>
      </c>
      <c r="AA68" s="10">
        <v>101.84</v>
      </c>
      <c r="AB68" s="95">
        <v>4449100</v>
      </c>
      <c r="AC68" s="10">
        <v>101.22</v>
      </c>
      <c r="AD68" s="2">
        <f>Y68-Z68</f>
        <v>1.6200000000000045</v>
      </c>
      <c r="AE68" s="138" t="e">
        <f>AC68/AC69-1</f>
        <v>#DIV/0!</v>
      </c>
    </row>
    <row r="69" spans="23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17" priority="3">
      <formula>Q7&gt;0</formula>
    </cfRule>
    <cfRule type="expression" dxfId="16" priority="4">
      <formula>Q7&lt;0</formula>
    </cfRule>
  </conditionalFormatting>
  <conditionalFormatting sqref="Q8">
    <cfRule type="expression" dxfId="15" priority="1">
      <formula>Q8&gt;0</formula>
    </cfRule>
    <cfRule type="expression" dxfId="14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  <c r="AI1" s="11" t="s">
        <v>156</v>
      </c>
      <c r="AJ1" s="11" t="s">
        <v>157</v>
      </c>
      <c r="AK1" s="11" t="s">
        <v>158</v>
      </c>
      <c r="AL1" s="11" t="s">
        <v>159</v>
      </c>
      <c r="AO1" s="11" t="s">
        <v>160</v>
      </c>
      <c r="AP1" s="11" t="s">
        <v>59</v>
      </c>
      <c r="AQ1" s="11" t="s">
        <v>162</v>
      </c>
    </row>
    <row r="2" spans="1:43" x14ac:dyDescent="0.25">
      <c r="A2" s="6" t="s">
        <v>51</v>
      </c>
      <c r="B2" s="74"/>
      <c r="C2" s="4"/>
      <c r="D2" s="3"/>
      <c r="E2" s="3"/>
      <c r="F2" s="3"/>
      <c r="G2" s="74"/>
      <c r="H2" s="185"/>
      <c r="I2" s="3"/>
      <c r="J2" s="3"/>
      <c r="K2" s="4"/>
      <c r="L2" s="74"/>
      <c r="M2" s="3"/>
      <c r="O2" s="11" t="s">
        <v>57</v>
      </c>
      <c r="Q2">
        <f>C18-H18</f>
        <v>0</v>
      </c>
      <c r="T2" s="1"/>
      <c r="W2" s="133">
        <v>42768</v>
      </c>
      <c r="X2" s="10">
        <v>162.52000000000001</v>
      </c>
      <c r="Y2" s="10">
        <v>163.25</v>
      </c>
      <c r="Z2" s="10">
        <v>160.26</v>
      </c>
      <c r="AA2" s="10">
        <v>160.76</v>
      </c>
      <c r="AB2" s="95">
        <v>4661500</v>
      </c>
      <c r="AC2" s="10">
        <v>160.76</v>
      </c>
      <c r="AD2" s="2">
        <f>Y2-Z2</f>
        <v>2.9900000000000091</v>
      </c>
      <c r="AE2" s="138">
        <f>AC2/AC3-1</f>
        <v>-1.1984512322537166E-2</v>
      </c>
      <c r="AP2" t="s">
        <v>161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74"/>
      <c r="M3" s="3"/>
      <c r="O3" s="11" t="s">
        <v>58</v>
      </c>
      <c r="Q3" s="2">
        <f>IF(Q2=0, Q4, (F18-K18-M18)/Q2)</f>
        <v>161.87</v>
      </c>
      <c r="W3" s="133">
        <v>42767</v>
      </c>
      <c r="X3" s="10">
        <v>162.75</v>
      </c>
      <c r="Y3" s="10">
        <v>163.9</v>
      </c>
      <c r="Z3" s="10">
        <v>162.03</v>
      </c>
      <c r="AA3" s="10">
        <v>162.71</v>
      </c>
      <c r="AB3" s="95">
        <v>3718500</v>
      </c>
      <c r="AC3" s="10">
        <v>162.71</v>
      </c>
      <c r="AD3" s="2">
        <f t="shared" ref="AD3:AD66" si="0">Y3-Z3</f>
        <v>1.8700000000000045</v>
      </c>
      <c r="AE3" s="138">
        <f t="shared" ref="AE3:AE66" si="1">AC3/AC4-1</f>
        <v>3.7631091918570725E-3</v>
      </c>
      <c r="AI3" t="s">
        <v>167</v>
      </c>
      <c r="AJ3">
        <v>10</v>
      </c>
      <c r="AK3">
        <v>115.3</v>
      </c>
      <c r="AL3" s="234">
        <v>1153</v>
      </c>
      <c r="AO3" s="234">
        <v>1143.4000000000001</v>
      </c>
      <c r="AP3">
        <v>-9.6</v>
      </c>
      <c r="AQ3">
        <v>-0.83</v>
      </c>
    </row>
    <row r="4" spans="1:43" x14ac:dyDescent="0.25">
      <c r="B4" s="74"/>
      <c r="C4" s="4"/>
      <c r="D4" s="3"/>
      <c r="E4" s="3"/>
      <c r="F4" s="3"/>
      <c r="G4" s="74"/>
      <c r="H4" s="185"/>
      <c r="I4" s="3"/>
      <c r="J4" s="3"/>
      <c r="K4" s="4"/>
      <c r="L4" s="4"/>
      <c r="M4" s="4"/>
      <c r="O4" s="11" t="s">
        <v>66</v>
      </c>
      <c r="Q4" s="55">
        <v>161.87</v>
      </c>
      <c r="R4" s="505">
        <v>6.8999999999999999E-3</v>
      </c>
      <c r="W4" s="133">
        <v>42766</v>
      </c>
      <c r="X4" s="10">
        <v>161.62</v>
      </c>
      <c r="Y4" s="10">
        <v>162.19</v>
      </c>
      <c r="Z4" s="10">
        <v>160.01</v>
      </c>
      <c r="AA4" s="10">
        <v>162.1</v>
      </c>
      <c r="AB4" s="95">
        <v>2976600</v>
      </c>
      <c r="AC4" s="10">
        <v>162.1</v>
      </c>
      <c r="AD4" s="2">
        <f t="shared" si="0"/>
        <v>2.1800000000000068</v>
      </c>
      <c r="AE4" s="138">
        <f t="shared" si="1"/>
        <v>6.1694120550237486E-5</v>
      </c>
      <c r="AI4" t="s">
        <v>168</v>
      </c>
      <c r="AJ4">
        <v>-10</v>
      </c>
      <c r="AK4" t="s">
        <v>165</v>
      </c>
      <c r="AL4" t="s">
        <v>165</v>
      </c>
      <c r="AO4" s="234">
        <v>-1153.98</v>
      </c>
      <c r="AP4" t="s">
        <v>165</v>
      </c>
      <c r="AQ4" t="s">
        <v>165</v>
      </c>
    </row>
    <row r="5" spans="1:43" x14ac:dyDescent="0.25">
      <c r="B5" s="74"/>
      <c r="C5" s="4"/>
      <c r="D5" s="3"/>
      <c r="E5" s="3"/>
      <c r="F5" s="3"/>
      <c r="G5" s="74"/>
      <c r="H5" s="185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42765</v>
      </c>
      <c r="X5" s="10">
        <v>162.94</v>
      </c>
      <c r="Y5" s="10">
        <v>163.46</v>
      </c>
      <c r="Z5" s="10">
        <v>161.31</v>
      </c>
      <c r="AA5" s="10">
        <v>162.09</v>
      </c>
      <c r="AB5" s="95">
        <v>2772400</v>
      </c>
      <c r="AC5" s="10">
        <v>162.09</v>
      </c>
      <c r="AD5" s="2">
        <f t="shared" si="0"/>
        <v>2.1500000000000057</v>
      </c>
      <c r="AE5" s="138">
        <f t="shared" si="1"/>
        <v>-5.5218111540585868E-3</v>
      </c>
      <c r="AI5" t="s">
        <v>166</v>
      </c>
      <c r="AJ5">
        <v>10</v>
      </c>
      <c r="AK5">
        <v>115.45</v>
      </c>
      <c r="AL5" s="234">
        <v>1154.52</v>
      </c>
      <c r="AO5" s="234">
        <v>1143.4000000000001</v>
      </c>
      <c r="AP5">
        <v>-11.12</v>
      </c>
      <c r="AQ5">
        <v>-0.96</v>
      </c>
    </row>
    <row r="6" spans="1:43" x14ac:dyDescent="0.25">
      <c r="B6" s="74"/>
      <c r="C6" s="4"/>
      <c r="D6" s="3"/>
      <c r="E6" s="3"/>
      <c r="F6" s="3"/>
      <c r="G6" s="74"/>
      <c r="H6" s="185"/>
      <c r="I6" s="3"/>
      <c r="J6" s="3"/>
      <c r="K6" s="4"/>
      <c r="L6" s="4"/>
      <c r="M6" s="4"/>
      <c r="O6" s="11" t="s">
        <v>64</v>
      </c>
      <c r="Q6" s="2">
        <f>Q3*Q2</f>
        <v>0</v>
      </c>
      <c r="W6" s="133">
        <v>42762</v>
      </c>
      <c r="X6" s="10">
        <v>163.5</v>
      </c>
      <c r="Y6" s="10">
        <v>163.80000000000001</v>
      </c>
      <c r="Z6" s="10">
        <v>162.62</v>
      </c>
      <c r="AA6" s="10">
        <v>162.99</v>
      </c>
      <c r="AB6" s="95">
        <v>3072500</v>
      </c>
      <c r="AC6" s="10">
        <v>162.99</v>
      </c>
      <c r="AD6" s="2">
        <f t="shared" si="0"/>
        <v>1.1800000000000068</v>
      </c>
      <c r="AE6" s="138">
        <f t="shared" si="1"/>
        <v>1.4746543778803023E-3</v>
      </c>
      <c r="AI6" t="s">
        <v>164</v>
      </c>
    </row>
    <row r="7" spans="1:43" x14ac:dyDescent="0.25">
      <c r="B7" s="74"/>
      <c r="C7" s="4"/>
      <c r="D7" s="3"/>
      <c r="E7" s="3"/>
      <c r="F7" s="3"/>
      <c r="G7" s="4"/>
      <c r="H7" s="185"/>
      <c r="I7" s="4"/>
      <c r="J7" s="4"/>
      <c r="K7" s="4"/>
      <c r="L7" s="4"/>
      <c r="M7" s="4"/>
      <c r="O7" s="11" t="s">
        <v>181</v>
      </c>
      <c r="Q7" s="2">
        <f>Q10+Q8</f>
        <v>176.70000000000073</v>
      </c>
      <c r="R7">
        <v>0</v>
      </c>
      <c r="W7" s="133">
        <v>42761</v>
      </c>
      <c r="X7" s="10">
        <v>161.86000000000001</v>
      </c>
      <c r="Y7" s="10">
        <v>163.58000000000001</v>
      </c>
      <c r="Z7" s="10">
        <v>161.25</v>
      </c>
      <c r="AA7" s="10">
        <v>162.75</v>
      </c>
      <c r="AB7" s="95">
        <v>4160400</v>
      </c>
      <c r="AC7" s="10">
        <v>162.75</v>
      </c>
      <c r="AD7" s="2">
        <f t="shared" si="0"/>
        <v>2.3300000000000125</v>
      </c>
      <c r="AE7" s="138">
        <f t="shared" si="1"/>
        <v>9.3649218556188796E-3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184</v>
      </c>
      <c r="P8" s="34"/>
      <c r="Q8" s="2">
        <f>K18+M18-F18+Q2*Q4</f>
        <v>0</v>
      </c>
      <c r="W8" s="133">
        <v>42760</v>
      </c>
      <c r="X8" s="10">
        <v>160.82</v>
      </c>
      <c r="Y8" s="10">
        <v>161.97999999999999</v>
      </c>
      <c r="Z8" s="10">
        <v>160.35</v>
      </c>
      <c r="AA8" s="10">
        <v>161.24</v>
      </c>
      <c r="AB8" s="95">
        <v>3316700</v>
      </c>
      <c r="AC8" s="10">
        <v>161.24</v>
      </c>
      <c r="AD8" s="2">
        <f t="shared" si="0"/>
        <v>1.6299999999999955</v>
      </c>
      <c r="AE8" s="138">
        <f t="shared" si="1"/>
        <v>5.0489309979431241E-3</v>
      </c>
    </row>
    <row r="9" spans="1:43" x14ac:dyDescent="0.25">
      <c r="O9" s="11" t="s">
        <v>214</v>
      </c>
      <c r="Q9" s="138">
        <f>IF(Q2=0, 0, Q8/Q6)</f>
        <v>0</v>
      </c>
      <c r="W9" s="133">
        <v>42759</v>
      </c>
      <c r="X9" s="10">
        <v>159.36000000000001</v>
      </c>
      <c r="Y9" s="10">
        <v>161.31</v>
      </c>
      <c r="Z9" s="10">
        <v>159.1</v>
      </c>
      <c r="AA9" s="10">
        <v>160.43</v>
      </c>
      <c r="AB9" s="95">
        <v>3501200</v>
      </c>
      <c r="AC9" s="10">
        <v>160.43</v>
      </c>
      <c r="AD9" s="2">
        <f t="shared" si="0"/>
        <v>2.210000000000008</v>
      </c>
      <c r="AE9" s="138">
        <f t="shared" si="1"/>
        <v>8.5496951027850265E-3</v>
      </c>
    </row>
    <row r="10" spans="1:43" x14ac:dyDescent="0.25">
      <c r="O10" s="11" t="s">
        <v>213</v>
      </c>
      <c r="P10" s="34"/>
      <c r="Q10" s="2">
        <f>M33</f>
        <v>176.70000000000073</v>
      </c>
      <c r="W10" s="133">
        <v>42758</v>
      </c>
      <c r="X10" s="10">
        <v>158.62</v>
      </c>
      <c r="Y10" s="10">
        <v>159.52000000000001</v>
      </c>
      <c r="Z10" s="10">
        <v>156.56</v>
      </c>
      <c r="AA10" s="10">
        <v>159.07</v>
      </c>
      <c r="AB10" s="95">
        <v>3967900</v>
      </c>
      <c r="AC10" s="10">
        <v>159.07</v>
      </c>
      <c r="AD10" s="2">
        <f t="shared" si="0"/>
        <v>2.960000000000008</v>
      </c>
      <c r="AE10" s="138">
        <f t="shared" si="1"/>
        <v>2.5841421908483486E-3</v>
      </c>
    </row>
    <row r="11" spans="1:43" x14ac:dyDescent="0.25">
      <c r="O11" s="11" t="s">
        <v>178</v>
      </c>
      <c r="P11" s="34"/>
      <c r="Q11" s="138">
        <f>IF(U58="N/A (N/A)", 0, VALUE(TRIM(CLEAN(MID(U58, FIND("(", U58)+1, 5)))))</f>
        <v>1.54E-2</v>
      </c>
      <c r="W11" s="133">
        <v>42755</v>
      </c>
      <c r="X11" s="10">
        <v>159.02000000000001</v>
      </c>
      <c r="Y11" s="10">
        <v>159.80000000000001</v>
      </c>
      <c r="Z11" s="10">
        <v>157.81</v>
      </c>
      <c r="AA11" s="10">
        <v>158.66</v>
      </c>
      <c r="AB11" s="95">
        <v>3503200</v>
      </c>
      <c r="AC11" s="10">
        <v>158.66</v>
      </c>
      <c r="AD11" s="2">
        <f t="shared" si="0"/>
        <v>1.9900000000000091</v>
      </c>
      <c r="AE11" s="138">
        <f t="shared" si="1"/>
        <v>-2.5204788909882758E-4</v>
      </c>
    </row>
    <row r="12" spans="1:43" x14ac:dyDescent="0.25">
      <c r="W12" s="133">
        <v>42754</v>
      </c>
      <c r="X12" s="10">
        <v>157.74</v>
      </c>
      <c r="Y12" s="10">
        <v>160.55000000000001</v>
      </c>
      <c r="Z12" s="10">
        <v>157.24</v>
      </c>
      <c r="AA12" s="10">
        <v>158.69999999999999</v>
      </c>
      <c r="AB12" s="95">
        <v>4846000</v>
      </c>
      <c r="AC12" s="10">
        <v>158.69999999999999</v>
      </c>
      <c r="AD12" s="2">
        <f t="shared" si="0"/>
        <v>3.3100000000000023</v>
      </c>
      <c r="AE12" s="138">
        <f t="shared" si="1"/>
        <v>6.085964244959996E-3</v>
      </c>
    </row>
    <row r="13" spans="1:43" x14ac:dyDescent="0.25">
      <c r="W13" s="133">
        <v>42753</v>
      </c>
      <c r="X13" s="10">
        <v>161.06</v>
      </c>
      <c r="Y13" s="10">
        <v>161.19999999999999</v>
      </c>
      <c r="Z13" s="10">
        <v>156.09</v>
      </c>
      <c r="AA13" s="10">
        <v>157.74</v>
      </c>
      <c r="AB13" s="95">
        <v>6586200</v>
      </c>
      <c r="AC13" s="10">
        <v>157.74</v>
      </c>
      <c r="AD13" s="2">
        <f t="shared" si="0"/>
        <v>5.1099999999999852</v>
      </c>
      <c r="AE13" s="138">
        <f t="shared" si="1"/>
        <v>-1.8175028009460914E-2</v>
      </c>
    </row>
    <row r="14" spans="1:43" x14ac:dyDescent="0.25">
      <c r="W14" s="133">
        <v>42752</v>
      </c>
      <c r="X14" s="10">
        <v>162.61000000000001</v>
      </c>
      <c r="Y14" s="10">
        <v>162.97</v>
      </c>
      <c r="Z14" s="10">
        <v>157.51</v>
      </c>
      <c r="AA14" s="10">
        <v>160.66</v>
      </c>
      <c r="AB14" s="95">
        <v>5380800</v>
      </c>
      <c r="AC14" s="10">
        <v>160.66</v>
      </c>
      <c r="AD14" s="2">
        <f t="shared" si="0"/>
        <v>5.460000000000008</v>
      </c>
      <c r="AE14" s="138">
        <f t="shared" si="1"/>
        <v>-7.0457354758962643E-3</v>
      </c>
    </row>
    <row r="15" spans="1:43" x14ac:dyDescent="0.25">
      <c r="W15" s="133">
        <v>42748</v>
      </c>
      <c r="X15" s="10">
        <v>162.16</v>
      </c>
      <c r="Y15" s="10">
        <v>162.74</v>
      </c>
      <c r="Z15" s="10">
        <v>161.41</v>
      </c>
      <c r="AA15" s="10">
        <v>161.80000000000001</v>
      </c>
      <c r="AB15" s="95">
        <v>3178900</v>
      </c>
      <c r="AC15" s="10">
        <v>161.80000000000001</v>
      </c>
      <c r="AD15" s="2">
        <f t="shared" si="0"/>
        <v>1.3300000000000125</v>
      </c>
      <c r="AE15" s="138">
        <f t="shared" si="1"/>
        <v>-3.4491254003449212E-3</v>
      </c>
    </row>
    <row r="16" spans="1:43" x14ac:dyDescent="0.25">
      <c r="W16" s="133">
        <v>42747</v>
      </c>
      <c r="X16" s="10">
        <v>161.69</v>
      </c>
      <c r="Y16" s="10">
        <v>162.94</v>
      </c>
      <c r="Z16" s="10">
        <v>160.88999999999999</v>
      </c>
      <c r="AA16" s="10">
        <v>162.36000000000001</v>
      </c>
      <c r="AB16" s="95">
        <v>2545000</v>
      </c>
      <c r="AC16" s="10">
        <v>162.36000000000001</v>
      </c>
      <c r="AD16" s="2">
        <f t="shared" si="0"/>
        <v>2.0500000000000114</v>
      </c>
      <c r="AE16" s="138">
        <f t="shared" si="1"/>
        <v>2.9032058805362748E-3</v>
      </c>
    </row>
    <row r="17" spans="1:31" x14ac:dyDescent="0.25">
      <c r="W17" s="133">
        <v>42746</v>
      </c>
      <c r="X17" s="10">
        <v>161.30000000000001</v>
      </c>
      <c r="Y17" s="10">
        <v>162.94</v>
      </c>
      <c r="Z17" s="10">
        <v>160.61000000000001</v>
      </c>
      <c r="AA17" s="10">
        <v>161.88999999999999</v>
      </c>
      <c r="AB17" s="95">
        <v>3318400</v>
      </c>
      <c r="AC17" s="10">
        <v>161.88999999999999</v>
      </c>
      <c r="AD17" s="2">
        <f t="shared" si="0"/>
        <v>2.3299999999999841</v>
      </c>
      <c r="AE17" s="138">
        <f t="shared" si="1"/>
        <v>1.9185542765192132E-3</v>
      </c>
    </row>
    <row r="18" spans="1:31" x14ac:dyDescent="0.25">
      <c r="A18" s="36" t="s">
        <v>81</v>
      </c>
      <c r="B18" s="37"/>
      <c r="C18" s="37">
        <f>SUM(C2:C7)</f>
        <v>0</v>
      </c>
      <c r="D18" s="38"/>
      <c r="E18" s="38"/>
      <c r="F18" s="38">
        <f>SUM(F2:F7)</f>
        <v>0</v>
      </c>
      <c r="G18" s="38"/>
      <c r="H18" s="183">
        <f>SUM(H2:H6)</f>
        <v>0</v>
      </c>
      <c r="I18" s="38"/>
      <c r="J18" s="38"/>
      <c r="K18" s="38">
        <f>SUM(K2:K6)</f>
        <v>0</v>
      </c>
      <c r="L18" s="38"/>
      <c r="M18" s="38">
        <f>SUM(M2:M5)</f>
        <v>0</v>
      </c>
      <c r="W18" s="133">
        <v>42745</v>
      </c>
      <c r="X18" s="10">
        <v>161.27000000000001</v>
      </c>
      <c r="Y18" s="10">
        <v>162.97999999999999</v>
      </c>
      <c r="Z18" s="10">
        <v>160.5</v>
      </c>
      <c r="AA18" s="10">
        <v>161.58000000000001</v>
      </c>
      <c r="AB18" s="95">
        <v>3482000</v>
      </c>
      <c r="AC18" s="10">
        <v>161.58000000000001</v>
      </c>
      <c r="AD18" s="2">
        <f t="shared" si="0"/>
        <v>2.4799999999999898</v>
      </c>
      <c r="AE18" s="138">
        <f t="shared" si="1"/>
        <v>-2.2846557579497828E-3</v>
      </c>
    </row>
    <row r="19" spans="1:31" x14ac:dyDescent="0.25">
      <c r="W19" s="133">
        <v>42744</v>
      </c>
      <c r="X19" s="10">
        <v>162</v>
      </c>
      <c r="Y19" s="10">
        <v>162.43</v>
      </c>
      <c r="Z19" s="10">
        <v>160.78</v>
      </c>
      <c r="AA19" s="10">
        <v>161.94999999999999</v>
      </c>
      <c r="AB19" s="95">
        <v>3040800</v>
      </c>
      <c r="AC19" s="10">
        <v>161.94999999999999</v>
      </c>
      <c r="AD19" s="2">
        <f t="shared" si="0"/>
        <v>1.6500000000000057</v>
      </c>
      <c r="AE19" s="138">
        <f t="shared" si="1"/>
        <v>-2.8323379102273005E-3</v>
      </c>
    </row>
    <row r="20" spans="1:31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5" t="s">
        <v>65</v>
      </c>
      <c r="G20" s="229" t="s">
        <v>152</v>
      </c>
      <c r="H20" s="195" t="s">
        <v>88</v>
      </c>
      <c r="W20" s="133">
        <v>42741</v>
      </c>
      <c r="X20" s="10">
        <v>161.75</v>
      </c>
      <c r="Y20" s="10">
        <v>162.94</v>
      </c>
      <c r="Z20" s="10">
        <v>161.11000000000001</v>
      </c>
      <c r="AA20" s="10">
        <v>162.41</v>
      </c>
      <c r="AB20" s="95">
        <v>2727900</v>
      </c>
      <c r="AC20" s="10">
        <v>162.41</v>
      </c>
      <c r="AD20" s="2">
        <f t="shared" si="0"/>
        <v>1.8299999999999841</v>
      </c>
      <c r="AE20" s="138">
        <f t="shared" si="1"/>
        <v>1.4181773338266535E-3</v>
      </c>
    </row>
    <row r="21" spans="1:31" x14ac:dyDescent="0.25">
      <c r="B21" s="193">
        <v>42304</v>
      </c>
      <c r="C21" s="10">
        <v>10</v>
      </c>
      <c r="D21" s="40">
        <v>110.79</v>
      </c>
      <c r="E21" s="40">
        <v>119.37</v>
      </c>
      <c r="F21" s="40">
        <v>85.77</v>
      </c>
      <c r="G21" s="40">
        <f t="shared" ref="G21:G27" si="2">IF(C21=0, 0,D21*C21)</f>
        <v>1107.9000000000001</v>
      </c>
      <c r="H21" s="232">
        <f t="shared" ref="H21:H27" si="3">IF(C21=0, D21, (E21-D21)/D21)</f>
        <v>7.7443812618467348E-2</v>
      </c>
      <c r="W21" s="133">
        <v>42740</v>
      </c>
      <c r="X21" s="10">
        <v>161.75</v>
      </c>
      <c r="Y21" s="10">
        <v>162.63</v>
      </c>
      <c r="Z21" s="10">
        <v>161.51</v>
      </c>
      <c r="AA21" s="10">
        <v>162.18</v>
      </c>
      <c r="AB21" s="95">
        <v>2675600</v>
      </c>
      <c r="AC21" s="10">
        <v>162.18</v>
      </c>
      <c r="AD21" s="2">
        <f t="shared" si="0"/>
        <v>1.1200000000000045</v>
      </c>
      <c r="AE21" s="138">
        <f t="shared" si="1"/>
        <v>1.6675931072818173E-3</v>
      </c>
    </row>
    <row r="22" spans="1:31" x14ac:dyDescent="0.25">
      <c r="B22" s="193">
        <v>42328</v>
      </c>
      <c r="C22" s="10">
        <v>0</v>
      </c>
      <c r="D22" s="202" t="s">
        <v>129</v>
      </c>
      <c r="E22" s="40">
        <v>112.33</v>
      </c>
      <c r="F22" s="40">
        <v>27.05</v>
      </c>
      <c r="G22" s="40">
        <f t="shared" si="2"/>
        <v>0</v>
      </c>
      <c r="H22" s="232" t="str">
        <f t="shared" si="3"/>
        <v>N/A</v>
      </c>
      <c r="W22" s="133">
        <v>42739</v>
      </c>
      <c r="X22" s="10">
        <v>162.35</v>
      </c>
      <c r="Y22" s="10">
        <v>162.58000000000001</v>
      </c>
      <c r="Z22" s="10">
        <v>159.74</v>
      </c>
      <c r="AA22" s="10">
        <v>161.91</v>
      </c>
      <c r="AB22" s="95">
        <v>2669200</v>
      </c>
      <c r="AC22" s="10">
        <v>161.91</v>
      </c>
      <c r="AD22" s="2">
        <f t="shared" si="0"/>
        <v>2.8400000000000034</v>
      </c>
      <c r="AE22" s="138">
        <f t="shared" si="1"/>
        <v>2.849179312480743E-3</v>
      </c>
    </row>
    <row r="23" spans="1:31" x14ac:dyDescent="0.25">
      <c r="B23" s="193">
        <v>42328</v>
      </c>
      <c r="C23" s="10">
        <v>10</v>
      </c>
      <c r="D23" s="40">
        <v>110.25</v>
      </c>
      <c r="E23" s="40">
        <v>112.95</v>
      </c>
      <c r="F23" s="40">
        <f>(E23-D23)*C23</f>
        <v>27.000000000000028</v>
      </c>
      <c r="G23" s="40">
        <f t="shared" si="2"/>
        <v>1102.5</v>
      </c>
      <c r="H23" s="232">
        <f t="shared" si="3"/>
        <v>2.4489795918367373E-2</v>
      </c>
      <c r="W23" s="133">
        <v>42738</v>
      </c>
      <c r="X23" s="10">
        <v>161.13</v>
      </c>
      <c r="Y23" s="10">
        <v>162.27000000000001</v>
      </c>
      <c r="Z23" s="10">
        <v>159.15</v>
      </c>
      <c r="AA23" s="10">
        <v>161.44999999999999</v>
      </c>
      <c r="AB23" s="95">
        <v>3539700</v>
      </c>
      <c r="AC23" s="10">
        <v>161.44999999999999</v>
      </c>
      <c r="AD23" s="2">
        <f t="shared" si="0"/>
        <v>3.1200000000000045</v>
      </c>
      <c r="AE23" s="138">
        <f t="shared" si="1"/>
        <v>8.8102974256436539E-3</v>
      </c>
    </row>
    <row r="24" spans="1:31" x14ac:dyDescent="0.25">
      <c r="B24" s="193">
        <v>42335</v>
      </c>
      <c r="C24" s="10">
        <v>10</v>
      </c>
      <c r="D24" s="40">
        <v>110.15</v>
      </c>
      <c r="E24" s="40">
        <v>114.34</v>
      </c>
      <c r="F24" s="40">
        <v>41.93</v>
      </c>
      <c r="G24" s="40">
        <f t="shared" si="2"/>
        <v>1101.5</v>
      </c>
      <c r="H24" s="232">
        <f t="shared" si="3"/>
        <v>3.8039037675896482E-2</v>
      </c>
      <c r="W24" s="133">
        <v>42734</v>
      </c>
      <c r="X24" s="10">
        <v>161.37</v>
      </c>
      <c r="Y24" s="10">
        <v>161.47999999999999</v>
      </c>
      <c r="Z24" s="10">
        <v>159.85</v>
      </c>
      <c r="AA24" s="10">
        <v>160.04</v>
      </c>
      <c r="AB24" s="95">
        <v>2845500</v>
      </c>
      <c r="AC24" s="10">
        <v>160.04</v>
      </c>
      <c r="AD24" s="2">
        <f t="shared" si="0"/>
        <v>1.6299999999999955</v>
      </c>
      <c r="AE24" s="138">
        <f t="shared" si="1"/>
        <v>-6.2096373571783881E-3</v>
      </c>
    </row>
    <row r="25" spans="1:31" x14ac:dyDescent="0.25">
      <c r="B25" s="193">
        <v>42349</v>
      </c>
      <c r="C25" s="10">
        <v>10</v>
      </c>
      <c r="D25" s="40">
        <v>110.15</v>
      </c>
      <c r="E25" s="40">
        <v>115.98</v>
      </c>
      <c r="F25" s="40">
        <v>58.33</v>
      </c>
      <c r="G25" s="40">
        <f t="shared" si="2"/>
        <v>1101.5</v>
      </c>
      <c r="H25" s="232">
        <f t="shared" si="3"/>
        <v>5.2927825692237841E-2</v>
      </c>
      <c r="W25" s="133">
        <v>42733</v>
      </c>
      <c r="X25" s="10">
        <v>161.91999999999999</v>
      </c>
      <c r="Y25" s="10">
        <v>162.36000000000001</v>
      </c>
      <c r="Z25" s="10">
        <v>160.38999999999999</v>
      </c>
      <c r="AA25" s="10">
        <v>161.04</v>
      </c>
      <c r="AB25" s="95">
        <v>2472100</v>
      </c>
      <c r="AC25" s="10">
        <v>161.04</v>
      </c>
      <c r="AD25" s="2">
        <f t="shared" si="0"/>
        <v>1.9700000000000273</v>
      </c>
      <c r="AE25" s="138">
        <f t="shared" si="1"/>
        <v>-2.4777006937561907E-3</v>
      </c>
    </row>
    <row r="26" spans="1:31" x14ac:dyDescent="0.25">
      <c r="B26" s="193">
        <v>42355</v>
      </c>
      <c r="C26" s="10">
        <v>0</v>
      </c>
      <c r="D26" s="40">
        <v>0</v>
      </c>
      <c r="E26" s="40">
        <v>119.22</v>
      </c>
      <c r="F26" s="40">
        <v>100.51</v>
      </c>
      <c r="G26" s="40"/>
      <c r="H26" s="232"/>
      <c r="W26" s="133">
        <v>42732</v>
      </c>
      <c r="X26" s="10">
        <v>162.16</v>
      </c>
      <c r="Y26" s="10">
        <v>163.25</v>
      </c>
      <c r="Z26" s="10">
        <v>161.32</v>
      </c>
      <c r="AA26" s="10">
        <v>161.44</v>
      </c>
      <c r="AB26" s="95">
        <v>1622500</v>
      </c>
      <c r="AC26" s="10">
        <v>161.44</v>
      </c>
      <c r="AD26" s="2">
        <f t="shared" si="0"/>
        <v>1.9300000000000068</v>
      </c>
      <c r="AE26" s="138">
        <f t="shared" si="1"/>
        <v>-7.3782587309394465E-3</v>
      </c>
    </row>
    <row r="27" spans="1:31" x14ac:dyDescent="0.25">
      <c r="B27" s="193">
        <v>42376</v>
      </c>
      <c r="C27" s="10">
        <v>25</v>
      </c>
      <c r="D27" s="40">
        <v>107.48</v>
      </c>
      <c r="E27" s="40">
        <v>112.09</v>
      </c>
      <c r="F27" s="40">
        <v>115.26</v>
      </c>
      <c r="G27" s="40">
        <f t="shared" si="2"/>
        <v>2687</v>
      </c>
      <c r="H27" s="232">
        <f t="shared" si="3"/>
        <v>4.2891700781540747E-2</v>
      </c>
      <c r="W27" s="133">
        <v>42731</v>
      </c>
      <c r="X27" s="10">
        <v>163.26</v>
      </c>
      <c r="Y27" s="10">
        <v>163.96</v>
      </c>
      <c r="Z27" s="10">
        <v>162.44999999999999</v>
      </c>
      <c r="AA27" s="10">
        <v>162.63999999999999</v>
      </c>
      <c r="AB27" s="95">
        <v>1327900</v>
      </c>
      <c r="AC27" s="10">
        <v>162.63999999999999</v>
      </c>
      <c r="AD27" s="2">
        <f t="shared" si="0"/>
        <v>1.5100000000000193</v>
      </c>
      <c r="AE27" s="138">
        <f t="shared" si="1"/>
        <v>-2.3921977550145357E-3</v>
      </c>
    </row>
    <row r="28" spans="1:31" x14ac:dyDescent="0.25">
      <c r="B28" s="193">
        <v>42416</v>
      </c>
      <c r="C28" s="10">
        <v>0</v>
      </c>
      <c r="D28" s="40">
        <v>0</v>
      </c>
      <c r="E28" s="40">
        <v>0</v>
      </c>
      <c r="F28" s="40">
        <v>176.7</v>
      </c>
      <c r="G28" s="40"/>
      <c r="H28" s="232"/>
      <c r="W28" s="133">
        <v>42727</v>
      </c>
      <c r="X28" s="10">
        <v>161.56</v>
      </c>
      <c r="Y28" s="10">
        <v>163.04</v>
      </c>
      <c r="Z28" s="10">
        <v>160.55000000000001</v>
      </c>
      <c r="AA28" s="10">
        <v>163.03</v>
      </c>
      <c r="AB28" s="95">
        <v>2044400</v>
      </c>
      <c r="AC28" s="10">
        <v>163.03</v>
      </c>
      <c r="AD28" s="2">
        <f t="shared" si="0"/>
        <v>2.4899999999999807</v>
      </c>
      <c r="AE28" s="138">
        <f t="shared" si="1"/>
        <v>8.9738829063001901E-3</v>
      </c>
    </row>
    <row r="29" spans="1:31" x14ac:dyDescent="0.25">
      <c r="B29" s="10"/>
      <c r="C29" s="10"/>
      <c r="D29" s="40"/>
      <c r="E29" s="40"/>
      <c r="F29" s="40"/>
      <c r="G29" s="40"/>
      <c r="H29" s="232"/>
      <c r="W29" s="133">
        <v>42726</v>
      </c>
      <c r="X29" s="10">
        <v>161.38999999999999</v>
      </c>
      <c r="Y29" s="10">
        <v>161.88</v>
      </c>
      <c r="Z29" s="10">
        <v>160.27000000000001</v>
      </c>
      <c r="AA29" s="10">
        <v>161.58000000000001</v>
      </c>
      <c r="AB29" s="95">
        <v>2741700</v>
      </c>
      <c r="AC29" s="10">
        <v>161.58000000000001</v>
      </c>
      <c r="AD29" s="2">
        <f t="shared" si="0"/>
        <v>1.6099999999999852</v>
      </c>
      <c r="AE29" s="138">
        <f t="shared" si="1"/>
        <v>1.5496187937766859E-3</v>
      </c>
    </row>
    <row r="30" spans="1:31" x14ac:dyDescent="0.25">
      <c r="B30" s="10"/>
      <c r="C30" s="10"/>
      <c r="D30" s="40"/>
      <c r="E30" s="40"/>
      <c r="F30" s="40"/>
      <c r="G30" s="40"/>
      <c r="H30" s="232"/>
      <c r="W30" s="133">
        <v>42725</v>
      </c>
      <c r="X30" s="10">
        <v>161.41999999999999</v>
      </c>
      <c r="Y30" s="10">
        <v>162.29</v>
      </c>
      <c r="Z30" s="10">
        <v>159.62</v>
      </c>
      <c r="AA30" s="10">
        <v>161.33000000000001</v>
      </c>
      <c r="AB30" s="95">
        <v>2767700</v>
      </c>
      <c r="AC30" s="10">
        <v>161.33000000000001</v>
      </c>
      <c r="AD30" s="2">
        <f t="shared" si="0"/>
        <v>2.6699999999999875</v>
      </c>
      <c r="AE30" s="138">
        <f t="shared" si="1"/>
        <v>-1.6090104585678722E-3</v>
      </c>
    </row>
    <row r="31" spans="1:31" x14ac:dyDescent="0.25">
      <c r="G31" s="3"/>
      <c r="H31" s="233"/>
      <c r="W31" s="133">
        <v>42724</v>
      </c>
      <c r="X31" s="10">
        <v>161.71</v>
      </c>
      <c r="Y31" s="10">
        <v>163.11000000000001</v>
      </c>
      <c r="Z31" s="10">
        <v>161.41</v>
      </c>
      <c r="AA31" s="10">
        <v>161.59</v>
      </c>
      <c r="AB31" s="95">
        <v>3127800</v>
      </c>
      <c r="AC31" s="10">
        <v>161.59</v>
      </c>
      <c r="AD31" s="2">
        <f t="shared" si="0"/>
        <v>1.7000000000000171</v>
      </c>
      <c r="AE31" s="138">
        <f t="shared" si="1"/>
        <v>3.0952086170610293E-4</v>
      </c>
    </row>
    <row r="32" spans="1:31" x14ac:dyDescent="0.25">
      <c r="W32" s="133">
        <v>42723</v>
      </c>
      <c r="X32" s="10">
        <v>163.09</v>
      </c>
      <c r="Y32" s="10">
        <v>163.94</v>
      </c>
      <c r="Z32" s="10">
        <v>161.22</v>
      </c>
      <c r="AA32" s="10">
        <v>161.54</v>
      </c>
      <c r="AB32" s="95">
        <v>4720900</v>
      </c>
      <c r="AC32" s="10">
        <v>161.54</v>
      </c>
      <c r="AD32" s="2">
        <f t="shared" si="0"/>
        <v>2.7199999999999989</v>
      </c>
      <c r="AE32" s="138">
        <f t="shared" si="1"/>
        <v>-1.4639502256923342E-2</v>
      </c>
    </row>
    <row r="33" spans="1:31" x14ac:dyDescent="0.25">
      <c r="L33" t="s">
        <v>213</v>
      </c>
      <c r="M33" s="2">
        <f>M44+K44-F44</f>
        <v>176.70000000000073</v>
      </c>
      <c r="W33" s="133">
        <v>42720</v>
      </c>
      <c r="X33" s="10">
        <v>161.38</v>
      </c>
      <c r="Y33" s="10">
        <v>164</v>
      </c>
      <c r="Z33" s="10">
        <v>161.19</v>
      </c>
      <c r="AA33" s="10">
        <v>163.94</v>
      </c>
      <c r="AB33" s="95">
        <v>6957500</v>
      </c>
      <c r="AC33" s="10">
        <v>163.94</v>
      </c>
      <c r="AD33" s="2">
        <f t="shared" si="0"/>
        <v>2.8100000000000023</v>
      </c>
      <c r="AE33" s="138">
        <f t="shared" si="1"/>
        <v>2.0669904121529026E-2</v>
      </c>
    </row>
    <row r="34" spans="1:31" x14ac:dyDescent="0.25">
      <c r="A34" s="263" t="s">
        <v>1</v>
      </c>
      <c r="B34" s="263" t="s">
        <v>2</v>
      </c>
      <c r="C34" s="263" t="s">
        <v>4</v>
      </c>
      <c r="D34" s="264" t="s">
        <v>5</v>
      </c>
      <c r="E34" s="264" t="s">
        <v>94</v>
      </c>
      <c r="F34" s="264" t="s">
        <v>60</v>
      </c>
      <c r="G34" s="263" t="s">
        <v>3</v>
      </c>
      <c r="H34" s="263" t="s">
        <v>6</v>
      </c>
      <c r="I34" s="263" t="s">
        <v>7</v>
      </c>
      <c r="J34" s="263" t="s">
        <v>95</v>
      </c>
      <c r="K34" s="263" t="s">
        <v>61</v>
      </c>
      <c r="L34" s="263" t="s">
        <v>77</v>
      </c>
      <c r="M34" s="263" t="s">
        <v>38</v>
      </c>
      <c r="W34" s="133">
        <v>42719</v>
      </c>
      <c r="X34" s="10">
        <v>159.87</v>
      </c>
      <c r="Y34" s="10">
        <v>161.29</v>
      </c>
      <c r="Z34" s="10">
        <v>159.43</v>
      </c>
      <c r="AA34" s="10">
        <v>160.62</v>
      </c>
      <c r="AB34" s="95">
        <v>4422700</v>
      </c>
      <c r="AC34" s="10">
        <v>160.62</v>
      </c>
      <c r="AD34" s="2">
        <f t="shared" si="0"/>
        <v>1.8599999999999852</v>
      </c>
      <c r="AE34" s="138">
        <f t="shared" si="1"/>
        <v>4.7541598899036863E-3</v>
      </c>
    </row>
    <row r="35" spans="1:31" x14ac:dyDescent="0.25">
      <c r="A35" s="265" t="s">
        <v>51</v>
      </c>
      <c r="B35" s="266">
        <v>42212</v>
      </c>
      <c r="C35" s="261">
        <v>10</v>
      </c>
      <c r="D35" s="262">
        <v>120.14</v>
      </c>
      <c r="E35" s="262">
        <v>0</v>
      </c>
      <c r="F35" s="262">
        <f t="shared" ref="F35:F40" si="4">D35*C35</f>
        <v>1201.4000000000001</v>
      </c>
      <c r="G35" s="266">
        <v>42292</v>
      </c>
      <c r="H35" s="267">
        <v>15</v>
      </c>
      <c r="I35" s="262">
        <v>122.5</v>
      </c>
      <c r="J35" s="262">
        <v>0.03</v>
      </c>
      <c r="K35" s="261">
        <f>I35*H35-J35</f>
        <v>1837.47</v>
      </c>
      <c r="L35" s="266">
        <v>42269</v>
      </c>
      <c r="M35" s="262">
        <v>7.5</v>
      </c>
      <c r="W35" s="133">
        <v>42718</v>
      </c>
      <c r="X35" s="10">
        <v>161.13999999999999</v>
      </c>
      <c r="Y35" s="10">
        <v>161.80000000000001</v>
      </c>
      <c r="Z35" s="10">
        <v>158.72</v>
      </c>
      <c r="AA35" s="10">
        <v>159.86000000000001</v>
      </c>
      <c r="AB35" s="95">
        <v>3793700</v>
      </c>
      <c r="AC35" s="10">
        <v>159.86000000000001</v>
      </c>
      <c r="AD35" s="2">
        <f t="shared" si="0"/>
        <v>3.0800000000000125</v>
      </c>
      <c r="AE35" s="138">
        <f t="shared" si="1"/>
        <v>-4.2357044973213576E-3</v>
      </c>
    </row>
    <row r="36" spans="1:31" x14ac:dyDescent="0.25">
      <c r="A36" s="268" t="s">
        <v>71</v>
      </c>
      <c r="B36" s="266">
        <v>42214</v>
      </c>
      <c r="C36" s="261">
        <v>5</v>
      </c>
      <c r="D36" s="262">
        <v>118.3</v>
      </c>
      <c r="E36" s="262">
        <v>0</v>
      </c>
      <c r="F36" s="262">
        <f t="shared" si="4"/>
        <v>591.5</v>
      </c>
      <c r="G36" s="266">
        <v>42331</v>
      </c>
      <c r="H36" s="267">
        <v>10</v>
      </c>
      <c r="I36" s="262">
        <v>113.5</v>
      </c>
      <c r="J36" s="262">
        <v>0.02</v>
      </c>
      <c r="K36" s="261">
        <f>I36*H36-J36</f>
        <v>1134.98</v>
      </c>
      <c r="L36" s="266">
        <v>42353</v>
      </c>
      <c r="M36" s="262">
        <v>5</v>
      </c>
      <c r="W36" s="133">
        <v>42717</v>
      </c>
      <c r="X36" s="10">
        <v>160.4</v>
      </c>
      <c r="Y36" s="10">
        <v>161.71</v>
      </c>
      <c r="Z36" s="10">
        <v>160.07</v>
      </c>
      <c r="AA36" s="10">
        <v>160.54</v>
      </c>
      <c r="AB36" s="95">
        <v>3785600</v>
      </c>
      <c r="AC36" s="10">
        <v>160.54</v>
      </c>
      <c r="AD36" s="2">
        <f t="shared" si="0"/>
        <v>1.6400000000000148</v>
      </c>
      <c r="AE36" s="138">
        <f t="shared" si="1"/>
        <v>6.5834848579846561E-3</v>
      </c>
    </row>
    <row r="37" spans="1:31" x14ac:dyDescent="0.25">
      <c r="A37" s="261"/>
      <c r="B37" s="266">
        <v>42286</v>
      </c>
      <c r="C37" s="261">
        <v>10</v>
      </c>
      <c r="D37" s="262">
        <v>116</v>
      </c>
      <c r="E37" s="262">
        <v>0</v>
      </c>
      <c r="F37" s="262">
        <f t="shared" si="4"/>
        <v>1160</v>
      </c>
      <c r="G37" s="266">
        <v>42340</v>
      </c>
      <c r="H37" s="267">
        <v>10</v>
      </c>
      <c r="I37" s="262">
        <v>115.4</v>
      </c>
      <c r="J37" s="262">
        <v>0.02</v>
      </c>
      <c r="K37" s="261">
        <f>I37*H37-J37</f>
        <v>1153.98</v>
      </c>
      <c r="L37" s="261"/>
      <c r="M37" s="261"/>
      <c r="W37" s="133">
        <v>42716</v>
      </c>
      <c r="X37" s="10">
        <v>158.83000000000001</v>
      </c>
      <c r="Y37" s="10">
        <v>159.66</v>
      </c>
      <c r="Z37" s="10">
        <v>157.75</v>
      </c>
      <c r="AA37" s="10">
        <v>159.49</v>
      </c>
      <c r="AB37" s="95">
        <v>3471200</v>
      </c>
      <c r="AC37" s="10">
        <v>159.49</v>
      </c>
      <c r="AD37" s="2">
        <f t="shared" si="0"/>
        <v>1.9099999999999966</v>
      </c>
      <c r="AE37" s="138">
        <f t="shared" si="1"/>
        <v>-3.934549088183803E-3</v>
      </c>
    </row>
    <row r="38" spans="1:31" x14ac:dyDescent="0.25">
      <c r="A38" s="261"/>
      <c r="B38" s="266">
        <v>42331</v>
      </c>
      <c r="C38" s="261">
        <v>10</v>
      </c>
      <c r="D38" s="262">
        <v>112.95</v>
      </c>
      <c r="E38" s="262">
        <v>0</v>
      </c>
      <c r="F38" s="262">
        <f t="shared" si="4"/>
        <v>1129.5</v>
      </c>
      <c r="G38" s="266">
        <v>42360</v>
      </c>
      <c r="H38" s="267">
        <v>10</v>
      </c>
      <c r="I38" s="262">
        <v>120.2</v>
      </c>
      <c r="J38" s="262">
        <v>0.02</v>
      </c>
      <c r="K38" s="261">
        <f>I38*H38-J38</f>
        <v>1201.98</v>
      </c>
      <c r="L38" s="261"/>
      <c r="M38" s="261"/>
      <c r="W38" s="133">
        <v>42713</v>
      </c>
      <c r="X38" s="10">
        <v>159.52000000000001</v>
      </c>
      <c r="Y38" s="10">
        <v>160.16</v>
      </c>
      <c r="Z38" s="10">
        <v>157.71</v>
      </c>
      <c r="AA38" s="10">
        <v>160.12</v>
      </c>
      <c r="AB38" s="95">
        <v>4004000</v>
      </c>
      <c r="AC38" s="10">
        <v>160.12</v>
      </c>
      <c r="AD38" s="2">
        <f t="shared" si="0"/>
        <v>2.4499999999999886</v>
      </c>
      <c r="AE38" s="138">
        <f t="shared" si="1"/>
        <v>5.0213406979664477E-3</v>
      </c>
    </row>
    <row r="39" spans="1:31" x14ac:dyDescent="0.25">
      <c r="A39" s="261"/>
      <c r="B39" s="266">
        <v>42340</v>
      </c>
      <c r="C39" s="261">
        <v>10</v>
      </c>
      <c r="D39" s="262">
        <v>115.3</v>
      </c>
      <c r="E39" s="262">
        <v>0</v>
      </c>
      <c r="F39" s="262">
        <f t="shared" si="4"/>
        <v>1153</v>
      </c>
      <c r="G39" s="266">
        <v>42416</v>
      </c>
      <c r="H39" s="267">
        <v>25</v>
      </c>
      <c r="I39" s="262">
        <v>114.55</v>
      </c>
      <c r="J39" s="262">
        <v>0.06</v>
      </c>
      <c r="K39" s="261">
        <f>I39*H39-J39</f>
        <v>2863.69</v>
      </c>
      <c r="L39" s="261"/>
      <c r="M39" s="261"/>
      <c r="W39" s="133">
        <v>42712</v>
      </c>
      <c r="X39" s="10">
        <v>159.41</v>
      </c>
      <c r="Y39" s="10">
        <v>160.24</v>
      </c>
      <c r="Z39" s="10">
        <v>158</v>
      </c>
      <c r="AA39" s="10">
        <v>159.32</v>
      </c>
      <c r="AB39" s="95">
        <v>3405800</v>
      </c>
      <c r="AC39" s="10">
        <v>159.32</v>
      </c>
      <c r="AD39" s="2">
        <f t="shared" si="0"/>
        <v>2.2400000000000091</v>
      </c>
      <c r="AE39" s="138">
        <f t="shared" si="1"/>
        <v>-5.0188205771650729E-4</v>
      </c>
    </row>
    <row r="40" spans="1:31" x14ac:dyDescent="0.25">
      <c r="A40" s="261"/>
      <c r="B40" s="266">
        <v>42376</v>
      </c>
      <c r="C40" s="261">
        <v>25</v>
      </c>
      <c r="D40" s="262">
        <v>111.7</v>
      </c>
      <c r="E40" s="262">
        <v>0</v>
      </c>
      <c r="F40" s="262">
        <f t="shared" si="4"/>
        <v>2792.5</v>
      </c>
      <c r="G40" s="261"/>
      <c r="H40" s="267"/>
      <c r="I40" s="261"/>
      <c r="J40" s="261"/>
      <c r="K40" s="261"/>
      <c r="L40" s="261"/>
      <c r="M40" s="261"/>
      <c r="O40" s="34"/>
      <c r="W40" s="133">
        <v>42711</v>
      </c>
      <c r="X40" s="10">
        <v>157.88999999999999</v>
      </c>
      <c r="Y40" s="10">
        <v>159.97999999999999</v>
      </c>
      <c r="Z40" s="10">
        <v>156.35</v>
      </c>
      <c r="AA40" s="10">
        <v>159.4</v>
      </c>
      <c r="AB40" s="95">
        <v>4494600</v>
      </c>
      <c r="AC40" s="10">
        <v>159.4</v>
      </c>
      <c r="AD40" s="2">
        <f t="shared" si="0"/>
        <v>3.6299999999999955</v>
      </c>
      <c r="AE40" s="138">
        <f t="shared" si="1"/>
        <v>1.3221459445715844E-2</v>
      </c>
    </row>
    <row r="41" spans="1:31" ht="20.25" thickBot="1" x14ac:dyDescent="0.35">
      <c r="A41" s="261"/>
      <c r="B41" s="261"/>
      <c r="C41" s="261"/>
      <c r="D41" s="262"/>
      <c r="E41" s="262"/>
      <c r="F41" s="262"/>
      <c r="G41" s="261"/>
      <c r="H41" s="261"/>
      <c r="I41" s="261"/>
      <c r="J41" s="261"/>
      <c r="K41" s="261"/>
      <c r="L41" s="261"/>
      <c r="M41" s="261"/>
      <c r="O41" s="638" t="s">
        <v>78</v>
      </c>
      <c r="P41" s="638"/>
      <c r="Q41" s="34"/>
      <c r="W41" s="133">
        <v>42710</v>
      </c>
      <c r="X41" s="10">
        <v>158.16999999999999</v>
      </c>
      <c r="Y41" s="10">
        <v>158.22999999999999</v>
      </c>
      <c r="Z41" s="10">
        <v>156.26</v>
      </c>
      <c r="AA41" s="10">
        <v>157.32</v>
      </c>
      <c r="AB41" s="95">
        <v>3179200</v>
      </c>
      <c r="AC41" s="10">
        <v>157.32</v>
      </c>
      <c r="AD41" s="2">
        <f t="shared" si="0"/>
        <v>1.9699999999999989</v>
      </c>
      <c r="AE41" s="138">
        <f t="shared" si="1"/>
        <v>-1.9666307175030262E-3</v>
      </c>
    </row>
    <row r="42" spans="1:31" ht="21" thickTop="1" thickBot="1" x14ac:dyDescent="0.35">
      <c r="A42" s="261"/>
      <c r="B42" s="261"/>
      <c r="C42" s="261"/>
      <c r="D42" s="262"/>
      <c r="E42" s="262"/>
      <c r="F42" s="262"/>
      <c r="G42" s="261"/>
      <c r="H42" s="261"/>
      <c r="I42" s="261"/>
      <c r="J42" s="261"/>
      <c r="K42" s="261"/>
      <c r="L42" s="261"/>
      <c r="M42" s="261"/>
      <c r="O42" s="83">
        <v>1.1000000000000001</v>
      </c>
      <c r="P42" s="83">
        <f>O42*$Q$4</f>
        <v>178.05700000000002</v>
      </c>
      <c r="Q42" s="34"/>
      <c r="T42" s="91" t="s">
        <v>113</v>
      </c>
      <c r="W42" s="133">
        <v>42709</v>
      </c>
      <c r="X42" s="10">
        <v>160.19</v>
      </c>
      <c r="Y42" s="10">
        <v>160.66999999999999</v>
      </c>
      <c r="Z42" s="10">
        <v>156.22999999999999</v>
      </c>
      <c r="AA42" s="10">
        <v>157.63</v>
      </c>
      <c r="AB42" s="95">
        <v>5818600</v>
      </c>
      <c r="AC42" s="10">
        <v>157.63</v>
      </c>
      <c r="AD42" s="2">
        <f t="shared" si="0"/>
        <v>4.4399999999999977</v>
      </c>
      <c r="AE42" s="138">
        <f t="shared" si="1"/>
        <v>-1.9287003048590767E-2</v>
      </c>
    </row>
    <row r="43" spans="1:31" ht="15.75" thickTop="1" x14ac:dyDescent="0.25">
      <c r="A43" s="261"/>
      <c r="B43" s="261"/>
      <c r="C43" s="261"/>
      <c r="D43" s="262"/>
      <c r="E43" s="262"/>
      <c r="F43" s="262"/>
      <c r="G43" s="261"/>
      <c r="H43" s="261"/>
      <c r="I43" s="261"/>
      <c r="J43" s="261"/>
      <c r="K43" s="261"/>
      <c r="L43" s="261"/>
      <c r="M43" s="261"/>
      <c r="O43" s="83">
        <v>1.0900000000000001</v>
      </c>
      <c r="P43" s="83">
        <f t="shared" ref="P43:P62" si="5">O43*$Q$4</f>
        <v>176.43830000000003</v>
      </c>
      <c r="Q43" s="34"/>
      <c r="T43" s="128" t="s">
        <v>98</v>
      </c>
      <c r="U43" s="98">
        <v>162.71</v>
      </c>
      <c r="W43" s="133">
        <v>42706</v>
      </c>
      <c r="X43" s="10">
        <v>161</v>
      </c>
      <c r="Y43" s="10">
        <v>162.52000000000001</v>
      </c>
      <c r="Z43" s="10">
        <v>160.56</v>
      </c>
      <c r="AA43" s="10">
        <v>160.72999999999999</v>
      </c>
      <c r="AB43" s="95">
        <v>3476000</v>
      </c>
      <c r="AC43" s="10">
        <v>160.72999999999999</v>
      </c>
      <c r="AD43" s="2">
        <f t="shared" si="0"/>
        <v>1.960000000000008</v>
      </c>
      <c r="AE43" s="138">
        <f t="shared" si="1"/>
        <v>-1.3048340996645313E-3</v>
      </c>
    </row>
    <row r="44" spans="1:31" x14ac:dyDescent="0.25">
      <c r="A44" s="419" t="s">
        <v>81</v>
      </c>
      <c r="B44" s="420"/>
      <c r="C44" s="420">
        <f>SUM(C35:C40)</f>
        <v>70</v>
      </c>
      <c r="D44" s="421"/>
      <c r="E44" s="421"/>
      <c r="F44" s="421">
        <f>SUM(F35:F40)</f>
        <v>8027.9</v>
      </c>
      <c r="G44" s="421"/>
      <c r="H44" s="422">
        <f>SUM(H35:H39)</f>
        <v>70</v>
      </c>
      <c r="I44" s="421"/>
      <c r="J44" s="421"/>
      <c r="K44" s="421">
        <f>SUM(K35:K39)</f>
        <v>8192.1</v>
      </c>
      <c r="L44" s="421"/>
      <c r="M44" s="421">
        <f>SUM(M35:M38)</f>
        <v>12.5</v>
      </c>
      <c r="O44" s="83">
        <v>1.08</v>
      </c>
      <c r="P44" s="83">
        <f t="shared" si="5"/>
        <v>174.81960000000001</v>
      </c>
      <c r="Q44" s="34"/>
      <c r="T44" s="93" t="s">
        <v>99</v>
      </c>
      <c r="U44" s="88">
        <v>162.52000000000001</v>
      </c>
      <c r="W44" s="133">
        <v>42705</v>
      </c>
      <c r="X44" s="10">
        <v>159.12</v>
      </c>
      <c r="Y44" s="10">
        <v>161.72</v>
      </c>
      <c r="Z44" s="10">
        <v>159.12</v>
      </c>
      <c r="AA44" s="10">
        <v>160.94</v>
      </c>
      <c r="AB44" s="95">
        <v>5198500</v>
      </c>
      <c r="AC44" s="10">
        <v>160.94</v>
      </c>
      <c r="AD44" s="2">
        <f t="shared" si="0"/>
        <v>2.5999999999999943</v>
      </c>
      <c r="AE44" s="138">
        <f t="shared" si="1"/>
        <v>1.6548762001010742E-2</v>
      </c>
    </row>
    <row r="45" spans="1:31" x14ac:dyDescent="0.25">
      <c r="A45" s="261"/>
      <c r="B45" s="261"/>
      <c r="C45" s="261"/>
      <c r="D45" s="262"/>
      <c r="E45" s="262"/>
      <c r="F45" s="262"/>
      <c r="G45" s="261"/>
      <c r="H45" s="261"/>
      <c r="I45" s="261"/>
      <c r="J45" s="261"/>
      <c r="K45" s="261"/>
      <c r="L45" s="261"/>
      <c r="M45" s="261"/>
      <c r="O45" s="83">
        <v>1.07</v>
      </c>
      <c r="P45" s="83">
        <f t="shared" si="5"/>
        <v>173.20090000000002</v>
      </c>
      <c r="Q45" s="83"/>
      <c r="T45" s="93" t="s">
        <v>100</v>
      </c>
      <c r="U45" s="88" t="s">
        <v>129</v>
      </c>
      <c r="W45" s="133">
        <v>42704</v>
      </c>
      <c r="X45" s="10">
        <v>157.47</v>
      </c>
      <c r="Y45" s="10">
        <v>159.76</v>
      </c>
      <c r="Z45" s="10">
        <v>157.07</v>
      </c>
      <c r="AA45" s="10">
        <v>158.32</v>
      </c>
      <c r="AB45" s="95">
        <v>6939500</v>
      </c>
      <c r="AC45" s="10">
        <v>158.32</v>
      </c>
      <c r="AD45" s="2">
        <f t="shared" si="0"/>
        <v>2.6899999999999977</v>
      </c>
      <c r="AE45" s="138" t="e">
        <f t="shared" si="1"/>
        <v>#DIV/0!</v>
      </c>
    </row>
    <row r="46" spans="1:31" x14ac:dyDescent="0.25">
      <c r="O46" s="83">
        <v>1.06</v>
      </c>
      <c r="P46" s="83">
        <f t="shared" si="5"/>
        <v>171.5822</v>
      </c>
      <c r="Q46" s="83"/>
      <c r="T46" s="93" t="s">
        <v>101</v>
      </c>
      <c r="U46" s="88" t="s">
        <v>129</v>
      </c>
      <c r="W46" s="133">
        <v>42704</v>
      </c>
      <c r="X46" s="10" t="s">
        <v>687</v>
      </c>
      <c r="Y46" s="10"/>
      <c r="Z46" s="10"/>
      <c r="AA46" s="10"/>
      <c r="AB46" s="95"/>
      <c r="AC46" s="10"/>
      <c r="AD46" s="2">
        <f t="shared" si="0"/>
        <v>0</v>
      </c>
      <c r="AE46" s="138">
        <f t="shared" si="1"/>
        <v>-1</v>
      </c>
    </row>
    <row r="47" spans="1:31" x14ac:dyDescent="0.25">
      <c r="O47" s="83">
        <v>1.05</v>
      </c>
      <c r="P47" s="83">
        <f t="shared" si="5"/>
        <v>169.96350000000001</v>
      </c>
      <c r="Q47" s="83"/>
      <c r="T47" s="93" t="s">
        <v>102</v>
      </c>
      <c r="U47" s="88">
        <v>184.14</v>
      </c>
      <c r="W47" s="133">
        <v>42703</v>
      </c>
      <c r="X47" s="10">
        <v>156.94</v>
      </c>
      <c r="Y47" s="10">
        <v>158.12</v>
      </c>
      <c r="Z47" s="10">
        <v>155.18</v>
      </c>
      <c r="AA47" s="10">
        <v>157.59</v>
      </c>
      <c r="AB47" s="95">
        <v>5827400</v>
      </c>
      <c r="AC47" s="10">
        <v>156.96</v>
      </c>
      <c r="AD47" s="2">
        <f t="shared" si="0"/>
        <v>2.9399999999999977</v>
      </c>
      <c r="AE47" s="138">
        <f t="shared" si="1"/>
        <v>3.5971223021582954E-2</v>
      </c>
    </row>
    <row r="48" spans="1:31" x14ac:dyDescent="0.25">
      <c r="O48" s="83">
        <v>1.04</v>
      </c>
      <c r="P48" s="83">
        <f t="shared" si="5"/>
        <v>168.34480000000002</v>
      </c>
      <c r="Q48" s="83"/>
      <c r="T48" s="93" t="s">
        <v>103</v>
      </c>
      <c r="U48" s="88">
        <v>0.703488</v>
      </c>
      <c r="W48" s="133">
        <v>42702</v>
      </c>
      <c r="X48" s="10">
        <v>152.74</v>
      </c>
      <c r="Y48" s="10">
        <v>152.85</v>
      </c>
      <c r="Z48" s="10">
        <v>150</v>
      </c>
      <c r="AA48" s="10">
        <v>152.11000000000001</v>
      </c>
      <c r="AB48" s="95">
        <v>5029600</v>
      </c>
      <c r="AC48" s="10">
        <v>151.51</v>
      </c>
      <c r="AD48" s="2">
        <f t="shared" si="0"/>
        <v>2.8499999999999943</v>
      </c>
      <c r="AE48" s="138">
        <f t="shared" si="1"/>
        <v>-4.5335085413928944E-3</v>
      </c>
    </row>
    <row r="49" spans="15:31" x14ac:dyDescent="0.25">
      <c r="O49" s="83">
        <v>1.03</v>
      </c>
      <c r="P49" s="83">
        <f t="shared" si="5"/>
        <v>166.7261</v>
      </c>
      <c r="Q49" s="83"/>
      <c r="T49" s="93" t="s">
        <v>104</v>
      </c>
      <c r="U49" s="88" t="s">
        <v>129</v>
      </c>
      <c r="W49" s="133">
        <v>42699</v>
      </c>
      <c r="X49" s="10">
        <v>153.93</v>
      </c>
      <c r="Y49" s="10">
        <v>154.5</v>
      </c>
      <c r="Z49" s="10">
        <v>152.61000000000001</v>
      </c>
      <c r="AA49" s="10">
        <v>152.81</v>
      </c>
      <c r="AB49" s="95">
        <v>1664500</v>
      </c>
      <c r="AC49" s="10">
        <v>152.19999999999999</v>
      </c>
      <c r="AD49" s="2">
        <f t="shared" si="0"/>
        <v>1.8899999999999864</v>
      </c>
      <c r="AE49" s="138">
        <f t="shared" si="1"/>
        <v>-4.7734257503434518E-3</v>
      </c>
    </row>
    <row r="50" spans="15:31" x14ac:dyDescent="0.25">
      <c r="O50" s="83">
        <v>1.02</v>
      </c>
      <c r="P50" s="83">
        <f t="shared" si="5"/>
        <v>165.10740000000001</v>
      </c>
      <c r="Q50" s="83"/>
      <c r="T50" s="93"/>
      <c r="U50" s="88"/>
      <c r="W50" s="133">
        <v>42697</v>
      </c>
      <c r="X50" s="10">
        <v>152.01</v>
      </c>
      <c r="Y50" s="10">
        <v>153.74</v>
      </c>
      <c r="Z50" s="10">
        <v>150.96</v>
      </c>
      <c r="AA50" s="10">
        <v>153.54</v>
      </c>
      <c r="AB50" s="95">
        <v>2697200</v>
      </c>
      <c r="AC50" s="10">
        <v>152.93</v>
      </c>
      <c r="AD50" s="2">
        <f t="shared" si="0"/>
        <v>2.7800000000000011</v>
      </c>
      <c r="AE50" s="138">
        <f t="shared" si="1"/>
        <v>8.3739944612950534E-3</v>
      </c>
    </row>
    <row r="51" spans="15:31" x14ac:dyDescent="0.25">
      <c r="O51" s="83">
        <v>1.01</v>
      </c>
      <c r="P51" s="83">
        <f t="shared" si="5"/>
        <v>163.48869999999999</v>
      </c>
      <c r="Q51" s="83"/>
      <c r="T51" s="93" t="s">
        <v>105</v>
      </c>
      <c r="U51" s="88" t="s">
        <v>685</v>
      </c>
      <c r="W51" s="133">
        <v>42696</v>
      </c>
      <c r="X51" s="10">
        <v>151.08000000000001</v>
      </c>
      <c r="Y51" s="10">
        <v>152.93</v>
      </c>
      <c r="Z51" s="10">
        <v>150.56</v>
      </c>
      <c r="AA51" s="10">
        <v>152.26</v>
      </c>
      <c r="AB51" s="95">
        <v>4992100</v>
      </c>
      <c r="AC51" s="10">
        <v>151.66</v>
      </c>
      <c r="AD51" s="2">
        <f t="shared" si="0"/>
        <v>2.3700000000000045</v>
      </c>
      <c r="AE51" s="138">
        <f t="shared" si="1"/>
        <v>1.2348975368800419E-2</v>
      </c>
    </row>
    <row r="52" spans="15:31" x14ac:dyDescent="0.25">
      <c r="O52" s="83">
        <v>1</v>
      </c>
      <c r="P52" s="83">
        <f t="shared" si="5"/>
        <v>161.87</v>
      </c>
      <c r="Q52" s="83"/>
      <c r="T52" s="93" t="s">
        <v>106</v>
      </c>
      <c r="U52" s="88" t="s">
        <v>405</v>
      </c>
      <c r="W52" s="133">
        <v>42695</v>
      </c>
      <c r="X52" s="10">
        <v>149.72</v>
      </c>
      <c r="Y52" s="10">
        <v>150.66</v>
      </c>
      <c r="Z52" s="10">
        <v>148.56</v>
      </c>
      <c r="AA52" s="10">
        <v>150.41</v>
      </c>
      <c r="AB52" s="95">
        <v>3867800</v>
      </c>
      <c r="AC52" s="10">
        <v>149.81</v>
      </c>
      <c r="AD52" s="2">
        <f t="shared" si="0"/>
        <v>2.0999999999999943</v>
      </c>
      <c r="AE52" s="138">
        <f t="shared" si="1"/>
        <v>6.3818352814724033E-3</v>
      </c>
    </row>
    <row r="53" spans="15:31" x14ac:dyDescent="0.25">
      <c r="O53" s="83">
        <v>0.99</v>
      </c>
      <c r="P53" s="83">
        <f t="shared" si="5"/>
        <v>160.25130000000001</v>
      </c>
      <c r="Q53" s="83"/>
      <c r="T53" s="93" t="s">
        <v>107</v>
      </c>
      <c r="U53" s="90">
        <v>4714006</v>
      </c>
      <c r="W53" s="133">
        <v>42692</v>
      </c>
      <c r="X53" s="10">
        <v>151.05000000000001</v>
      </c>
      <c r="Y53" s="10">
        <v>151.66</v>
      </c>
      <c r="Z53" s="10">
        <v>149.4</v>
      </c>
      <c r="AA53" s="10">
        <v>149.44999999999999</v>
      </c>
      <c r="AB53" s="95">
        <v>5664800</v>
      </c>
      <c r="AC53" s="10">
        <v>148.86000000000001</v>
      </c>
      <c r="AD53" s="2">
        <f t="shared" si="0"/>
        <v>2.2599999999999909</v>
      </c>
      <c r="AE53" s="138">
        <f t="shared" si="1"/>
        <v>-8.7234467603380939E-3</v>
      </c>
    </row>
    <row r="54" spans="15:31" x14ac:dyDescent="0.25">
      <c r="O54" s="83">
        <v>0.98</v>
      </c>
      <c r="P54" s="83">
        <f t="shared" si="5"/>
        <v>158.6326</v>
      </c>
      <c r="Q54" s="83"/>
      <c r="T54" s="93" t="s">
        <v>110</v>
      </c>
      <c r="U54" s="90">
        <v>3991970</v>
      </c>
      <c r="W54" s="133">
        <v>42691</v>
      </c>
      <c r="X54" s="10">
        <v>151.82</v>
      </c>
      <c r="Y54" s="10">
        <v>151.91999999999999</v>
      </c>
      <c r="Z54" s="10">
        <v>150.19</v>
      </c>
      <c r="AA54" s="10">
        <v>150.77000000000001</v>
      </c>
      <c r="AB54" s="95">
        <v>4683000</v>
      </c>
      <c r="AC54" s="10">
        <v>150.16999999999999</v>
      </c>
      <c r="AD54" s="2">
        <f t="shared" si="0"/>
        <v>1.7299999999999898</v>
      </c>
      <c r="AE54" s="138">
        <f t="shared" si="1"/>
        <v>-4.837640821736322E-3</v>
      </c>
    </row>
    <row r="55" spans="15:31" x14ac:dyDescent="0.25">
      <c r="O55" s="83">
        <v>0.97</v>
      </c>
      <c r="P55" s="83">
        <f t="shared" si="5"/>
        <v>157.01390000000001</v>
      </c>
      <c r="Q55" s="83"/>
      <c r="T55" s="93" t="s">
        <v>108</v>
      </c>
      <c r="U55" s="88" t="s">
        <v>686</v>
      </c>
      <c r="W55" s="133">
        <v>42690</v>
      </c>
      <c r="X55" s="10">
        <v>151.99</v>
      </c>
      <c r="Y55" s="10">
        <v>153</v>
      </c>
      <c r="Z55" s="10">
        <v>151.22999999999999</v>
      </c>
      <c r="AA55" s="10">
        <v>151.5</v>
      </c>
      <c r="AB55" s="95">
        <v>3899000</v>
      </c>
      <c r="AC55" s="10">
        <v>150.9</v>
      </c>
      <c r="AD55" s="2">
        <f t="shared" si="0"/>
        <v>1.7700000000000102</v>
      </c>
      <c r="AE55" s="138">
        <f t="shared" si="1"/>
        <v>-4.8143507221525272E-3</v>
      </c>
    </row>
    <row r="56" spans="15:31" x14ac:dyDescent="0.25">
      <c r="O56" s="83">
        <v>0.96</v>
      </c>
      <c r="P56" s="83">
        <f t="shared" si="5"/>
        <v>155.39519999999999</v>
      </c>
      <c r="Q56" s="83"/>
      <c r="T56" s="93" t="s">
        <v>111</v>
      </c>
      <c r="U56" s="88">
        <v>21.5</v>
      </c>
      <c r="W56" s="133">
        <v>42689</v>
      </c>
      <c r="X56" s="10">
        <v>153.51</v>
      </c>
      <c r="Y56" s="10">
        <v>153.96</v>
      </c>
      <c r="Z56" s="10">
        <v>151.51</v>
      </c>
      <c r="AA56" s="10">
        <v>152.22999999999999</v>
      </c>
      <c r="AB56" s="95">
        <v>4910700</v>
      </c>
      <c r="AC56" s="10">
        <v>151.63</v>
      </c>
      <c r="AD56" s="2">
        <f t="shared" si="0"/>
        <v>2.4500000000000171</v>
      </c>
      <c r="AE56" s="138">
        <f t="shared" si="1"/>
        <v>-3.2964135021107399E-4</v>
      </c>
    </row>
    <row r="57" spans="15:31" x14ac:dyDescent="0.25">
      <c r="O57" s="83">
        <v>0.95</v>
      </c>
      <c r="P57" s="83">
        <f t="shared" si="5"/>
        <v>153.7765</v>
      </c>
      <c r="Q57" s="83"/>
      <c r="T57" s="93" t="s">
        <v>112</v>
      </c>
      <c r="U57" s="88">
        <v>7.48</v>
      </c>
      <c r="W57" s="133">
        <v>42688</v>
      </c>
      <c r="X57" s="10">
        <v>147.32</v>
      </c>
      <c r="Y57" s="10">
        <v>152.91999999999999</v>
      </c>
      <c r="Z57" s="10">
        <v>147.04</v>
      </c>
      <c r="AA57" s="10">
        <v>152.28</v>
      </c>
      <c r="AB57" s="95">
        <v>5740400</v>
      </c>
      <c r="AC57" s="10">
        <v>151.68</v>
      </c>
      <c r="AD57" s="2">
        <f t="shared" si="0"/>
        <v>5.8799999999999955</v>
      </c>
      <c r="AE57" s="138">
        <f t="shared" si="1"/>
        <v>4.0043883708173356E-2</v>
      </c>
    </row>
    <row r="58" spans="15:31" x14ac:dyDescent="0.25">
      <c r="O58" s="83">
        <v>0.94</v>
      </c>
      <c r="P58" s="83">
        <f t="shared" si="5"/>
        <v>152.15780000000001</v>
      </c>
      <c r="Q58" s="83"/>
      <c r="T58" s="93" t="s">
        <v>109</v>
      </c>
      <c r="U58" s="88" t="s">
        <v>523</v>
      </c>
      <c r="W58" s="133">
        <v>42685</v>
      </c>
      <c r="X58" s="10">
        <v>146.71</v>
      </c>
      <c r="Y58" s="10">
        <v>147.5</v>
      </c>
      <c r="Z58" s="10">
        <v>146.01</v>
      </c>
      <c r="AA58" s="10">
        <v>146.41999999999999</v>
      </c>
      <c r="AB58" s="95">
        <v>4475400</v>
      </c>
      <c r="AC58" s="10">
        <v>145.84</v>
      </c>
      <c r="AD58" s="2">
        <f t="shared" si="0"/>
        <v>1.4900000000000091</v>
      </c>
      <c r="AE58" s="138">
        <f t="shared" si="1"/>
        <v>1.9924424596358126E-3</v>
      </c>
    </row>
    <row r="59" spans="15:31" x14ac:dyDescent="0.25">
      <c r="O59" s="83">
        <v>0.93</v>
      </c>
      <c r="P59" s="83">
        <f t="shared" si="5"/>
        <v>150.53910000000002</v>
      </c>
      <c r="Q59" s="83"/>
      <c r="W59" s="133">
        <v>42684</v>
      </c>
      <c r="X59" s="10">
        <v>142.34</v>
      </c>
      <c r="Y59" s="10">
        <v>146.57</v>
      </c>
      <c r="Z59" s="10">
        <v>142</v>
      </c>
      <c r="AA59" s="10">
        <v>146.13</v>
      </c>
      <c r="AB59" s="95">
        <v>6075500</v>
      </c>
      <c r="AC59" s="10">
        <v>145.55000000000001</v>
      </c>
      <c r="AD59" s="2">
        <f t="shared" si="0"/>
        <v>4.5699999999999932</v>
      </c>
      <c r="AE59" s="138">
        <f t="shared" si="1"/>
        <v>2.9786330833451391E-2</v>
      </c>
    </row>
    <row r="60" spans="15:31" x14ac:dyDescent="0.25">
      <c r="O60" s="83">
        <v>0.92</v>
      </c>
      <c r="P60" s="83">
        <f t="shared" si="5"/>
        <v>148.9204</v>
      </c>
      <c r="Q60" s="83"/>
      <c r="W60" s="133">
        <v>42683</v>
      </c>
      <c r="X60" s="10">
        <v>139.54</v>
      </c>
      <c r="Y60" s="10">
        <v>144.19</v>
      </c>
      <c r="Z60" s="10">
        <v>136.22</v>
      </c>
      <c r="AA60" s="10">
        <v>141.9</v>
      </c>
      <c r="AB60" s="95">
        <v>8042400</v>
      </c>
      <c r="AC60" s="10">
        <v>141.34</v>
      </c>
      <c r="AD60" s="2">
        <f t="shared" si="0"/>
        <v>7.9699999999999989</v>
      </c>
      <c r="AE60" s="138">
        <f t="shared" si="1"/>
        <v>-6.9556664090494325E-3</v>
      </c>
    </row>
    <row r="61" spans="15:31" x14ac:dyDescent="0.25">
      <c r="O61" s="83">
        <v>0.91</v>
      </c>
      <c r="P61" s="83">
        <f t="shared" si="5"/>
        <v>147.30170000000001</v>
      </c>
      <c r="Q61" s="83"/>
      <c r="W61" s="133">
        <v>42682</v>
      </c>
      <c r="X61" s="10">
        <v>141.35</v>
      </c>
      <c r="Y61" s="10">
        <v>143.61000000000001</v>
      </c>
      <c r="Z61" s="10">
        <v>141</v>
      </c>
      <c r="AA61" s="10">
        <v>142.9</v>
      </c>
      <c r="AB61" s="95">
        <v>4389300</v>
      </c>
      <c r="AC61" s="10">
        <v>142.33000000000001</v>
      </c>
      <c r="AD61" s="2">
        <f t="shared" si="0"/>
        <v>2.6100000000000136</v>
      </c>
      <c r="AE61" s="138">
        <f t="shared" si="1"/>
        <v>6.7906910942916454E-3</v>
      </c>
    </row>
    <row r="62" spans="15:31" x14ac:dyDescent="0.25">
      <c r="O62" s="83">
        <v>0.9</v>
      </c>
      <c r="P62" s="83">
        <f t="shared" si="5"/>
        <v>145.68300000000002</v>
      </c>
      <c r="Q62" s="83"/>
      <c r="W62" s="133">
        <v>42681</v>
      </c>
      <c r="X62" s="10">
        <v>139.6</v>
      </c>
      <c r="Y62" s="10">
        <v>142.44</v>
      </c>
      <c r="Z62" s="10">
        <v>139.55000000000001</v>
      </c>
      <c r="AA62" s="10">
        <v>141.93</v>
      </c>
      <c r="AB62" s="95">
        <v>3896600</v>
      </c>
      <c r="AC62" s="10">
        <v>141.37</v>
      </c>
      <c r="AD62" s="2">
        <f t="shared" si="0"/>
        <v>2.8899999999999864</v>
      </c>
      <c r="AE62" s="138">
        <f t="shared" si="1"/>
        <v>3.0694079906678384E-2</v>
      </c>
    </row>
    <row r="63" spans="15:31" x14ac:dyDescent="0.25">
      <c r="O63" s="34"/>
      <c r="W63" s="133">
        <v>42678</v>
      </c>
      <c r="X63" s="10">
        <v>138.44999999999999</v>
      </c>
      <c r="Y63" s="10">
        <v>138.88999999999999</v>
      </c>
      <c r="Z63" s="10">
        <v>137.69</v>
      </c>
      <c r="AA63" s="10">
        <v>137.71</v>
      </c>
      <c r="AB63" s="95">
        <v>3520700</v>
      </c>
      <c r="AC63" s="10">
        <v>137.16</v>
      </c>
      <c r="AD63" s="2">
        <f t="shared" si="0"/>
        <v>1.1999999999999886</v>
      </c>
      <c r="AE63" s="138">
        <f t="shared" si="1"/>
        <v>-8.7412587412594167E-4</v>
      </c>
    </row>
    <row r="64" spans="15:31" x14ac:dyDescent="0.25">
      <c r="O64" s="34"/>
      <c r="W64" s="133">
        <v>42677</v>
      </c>
      <c r="X64" s="10">
        <v>139.18</v>
      </c>
      <c r="Y64" s="10">
        <v>140.34</v>
      </c>
      <c r="Z64" s="10">
        <v>137.65</v>
      </c>
      <c r="AA64" s="10">
        <v>137.83000000000001</v>
      </c>
      <c r="AB64" s="95">
        <v>2989700</v>
      </c>
      <c r="AC64" s="10">
        <v>137.28</v>
      </c>
      <c r="AD64" s="2">
        <f t="shared" si="0"/>
        <v>2.6899999999999977</v>
      </c>
      <c r="AE64" s="138">
        <f t="shared" si="1"/>
        <v>-8.3074478075562119E-3</v>
      </c>
    </row>
    <row r="65" spans="23:31" x14ac:dyDescent="0.25">
      <c r="W65" s="133">
        <v>42676</v>
      </c>
      <c r="X65" s="10">
        <v>139.02000000000001</v>
      </c>
      <c r="Y65" s="10">
        <v>141.22999999999999</v>
      </c>
      <c r="Z65" s="10">
        <v>138.93</v>
      </c>
      <c r="AA65" s="10">
        <v>138.97999999999999</v>
      </c>
      <c r="AB65" s="95">
        <v>3149700</v>
      </c>
      <c r="AC65" s="10">
        <v>138.43</v>
      </c>
      <c r="AD65" s="2">
        <f t="shared" si="0"/>
        <v>2.2999999999999829</v>
      </c>
      <c r="AE65" s="138">
        <f t="shared" si="1"/>
        <v>-3.2402073732717973E-3</v>
      </c>
    </row>
    <row r="66" spans="23:31" x14ac:dyDescent="0.25">
      <c r="W66" s="133">
        <v>42675</v>
      </c>
      <c r="X66" s="10">
        <v>141.51</v>
      </c>
      <c r="Y66" s="10">
        <v>141.51</v>
      </c>
      <c r="Z66" s="10">
        <v>138.82</v>
      </c>
      <c r="AA66" s="10">
        <v>139.43</v>
      </c>
      <c r="AB66" s="95">
        <v>3391400</v>
      </c>
      <c r="AC66" s="10">
        <v>138.88</v>
      </c>
      <c r="AD66" s="2">
        <f t="shared" si="0"/>
        <v>2.6899999999999977</v>
      </c>
      <c r="AE66" s="138">
        <f t="shared" si="1"/>
        <v>-1.3426156141223333E-2</v>
      </c>
    </row>
    <row r="67" spans="23:31" x14ac:dyDescent="0.25">
      <c r="W67" s="133">
        <v>42674</v>
      </c>
      <c r="X67" s="10">
        <v>140.80000000000001</v>
      </c>
      <c r="Y67" s="10">
        <v>141.54</v>
      </c>
      <c r="Z67" s="10">
        <v>139.97</v>
      </c>
      <c r="AA67" s="10">
        <v>141.33000000000001</v>
      </c>
      <c r="AB67" s="95">
        <v>3761100</v>
      </c>
      <c r="AC67" s="10">
        <v>140.77000000000001</v>
      </c>
      <c r="AD67" s="2">
        <f>Y67-Z67</f>
        <v>1.5699999999999932</v>
      </c>
      <c r="AE67" s="138" t="e">
        <f>AC67/#REF!-1</f>
        <v>#REF!</v>
      </c>
    </row>
    <row r="68" spans="23:31" x14ac:dyDescent="0.25">
      <c r="W68" s="133">
        <v>42671</v>
      </c>
      <c r="X68" s="10">
        <v>141.66</v>
      </c>
      <c r="Y68" s="10">
        <v>142.35</v>
      </c>
      <c r="Z68" s="10">
        <v>139.44</v>
      </c>
      <c r="AA68" s="10">
        <v>140.35</v>
      </c>
      <c r="AB68" s="95">
        <v>4033600</v>
      </c>
      <c r="AC68" s="10">
        <v>139.79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13" priority="13">
      <formula>F21&gt;0</formula>
    </cfRule>
    <cfRule type="expression" dxfId="12" priority="14">
      <formula>F21&lt;0</formula>
    </cfRule>
  </conditionalFormatting>
  <conditionalFormatting sqref="F22">
    <cfRule type="expression" dxfId="11" priority="11">
      <formula>F22&gt;0</formula>
    </cfRule>
    <cfRule type="expression" dxfId="10" priority="12">
      <formula>F22&lt;0</formula>
    </cfRule>
  </conditionalFormatting>
  <conditionalFormatting sqref="F23:F30">
    <cfRule type="expression" dxfId="9" priority="9">
      <formula>F23&gt;0</formula>
    </cfRule>
    <cfRule type="expression" dxfId="8" priority="10">
      <formula>F23&lt;0</formula>
    </cfRule>
  </conditionalFormatting>
  <conditionalFormatting sqref="H21:H31">
    <cfRule type="expression" dxfId="7" priority="7">
      <formula>H21&gt;0</formula>
    </cfRule>
    <cfRule type="expression" dxfId="6" priority="8">
      <formula>H21&lt;0</formula>
    </cfRule>
  </conditionalFormatting>
  <conditionalFormatting sqref="F24">
    <cfRule type="expression" dxfId="5" priority="5">
      <formula>F24&gt;0</formula>
    </cfRule>
    <cfRule type="expression" dxfId="4" priority="6">
      <formula>F24&lt;0</formula>
    </cfRule>
  </conditionalFormatting>
  <conditionalFormatting sqref="Q8">
    <cfRule type="expression" dxfId="3" priority="1">
      <formula>Q8&gt;0</formula>
    </cfRule>
    <cfRule type="expression" dxfId="2" priority="2">
      <formula>Q8&lt;0</formula>
    </cfRule>
  </conditionalFormatting>
  <conditionalFormatting sqref="Q7">
    <cfRule type="expression" dxfId="1" priority="3">
      <formula>Q7&gt;0</formula>
    </cfRule>
    <cfRule type="expression" dxfId="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60</vt:i4>
      </vt:variant>
      <vt:variant>
        <vt:lpstr>Named Ranges</vt:lpstr>
      </vt:variant>
      <vt:variant>
        <vt:i4>120</vt:i4>
      </vt:variant>
    </vt:vector>
  </HeadingPairs>
  <TitlesOfParts>
    <vt:vector size="180" baseType="lpstr">
      <vt:lpstr>ACTIVE</vt:lpstr>
      <vt:lpstr>CLOSED</vt:lpstr>
      <vt:lpstr>Balance</vt:lpstr>
      <vt:lpstr>BIIB</vt:lpstr>
      <vt:lpstr>MYL</vt:lpstr>
      <vt:lpstr>SIG</vt:lpstr>
      <vt:lpstr>AAPL</vt:lpstr>
      <vt:lpstr>AXP</vt:lpstr>
      <vt:lpstr>DG</vt:lpstr>
      <vt:lpstr>PINC</vt:lpstr>
      <vt:lpstr>FOXA</vt:lpstr>
      <vt:lpstr>AOBC</vt:lpstr>
      <vt:lpstr>LUV</vt:lpstr>
      <vt:lpstr>CCE</vt:lpstr>
      <vt:lpstr>BMY</vt:lpstr>
      <vt:lpstr>AKAM</vt:lpstr>
      <vt:lpstr>CVS</vt:lpstr>
      <vt:lpstr>MRO</vt:lpstr>
      <vt:lpstr>KR</vt:lpstr>
      <vt:lpstr>F</vt:lpstr>
      <vt:lpstr>JNJ</vt:lpstr>
      <vt:lpstr>CPN</vt:lpstr>
      <vt:lpstr>EW</vt:lpstr>
      <vt:lpstr>NKE</vt:lpstr>
      <vt:lpstr>MOS</vt:lpstr>
      <vt:lpstr>MJN</vt:lpstr>
      <vt:lpstr>VGK</vt:lpstr>
      <vt:lpstr>MU</vt:lpstr>
      <vt:lpstr>IP</vt:lpstr>
      <vt:lpstr>INTC</vt:lpstr>
      <vt:lpstr>HES</vt:lpstr>
      <vt:lpstr>UNP</vt:lpstr>
      <vt:lpstr>NCLH</vt:lpstr>
      <vt:lpstr>SPY</vt:lpstr>
      <vt:lpstr>SWKS</vt:lpstr>
      <vt:lpstr>CNI</vt:lpstr>
      <vt:lpstr>WFC</vt:lpstr>
      <vt:lpstr>AA</vt:lpstr>
      <vt:lpstr>KATE</vt:lpstr>
      <vt:lpstr>CF</vt:lpstr>
      <vt:lpstr>TGT</vt:lpstr>
      <vt:lpstr>NWL</vt:lpstr>
      <vt:lpstr>KORS</vt:lpstr>
      <vt:lpstr>ALL</vt:lpstr>
      <vt:lpstr>NSC</vt:lpstr>
      <vt:lpstr>AVGO</vt:lpstr>
      <vt:lpstr>UAL</vt:lpstr>
      <vt:lpstr>CAH</vt:lpstr>
      <vt:lpstr>DAL</vt:lpstr>
      <vt:lpstr>TEVA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AAPL!hp?s_AAPL</vt:lpstr>
      <vt:lpstr>AKAM!hp?s_AKAM_Historical_Prices</vt:lpstr>
      <vt:lpstr>BMY!hp?s_AKAM_Historical_Prices</vt:lpstr>
      <vt:lpstr>ALL!hp?s_ALL_Historical_Prices</vt:lpstr>
      <vt:lpstr>AVGO!hp?s_AVGO</vt:lpstr>
      <vt:lpstr>AXP!hp?s_AXP_Historical_Prices</vt:lpstr>
      <vt:lpstr>BIIB!hp?s_BIIB</vt:lpstr>
      <vt:lpstr>CAH!hp?s_CAH</vt:lpstr>
      <vt:lpstr>CCE!hp?s_cce</vt:lpstr>
      <vt:lpstr>CF!hp?s_CF_a_00_b_1_c_2016_d_06_e_1_f_2016_g_d</vt:lpstr>
      <vt:lpstr>CNI!hp?s_CNI</vt:lpstr>
      <vt:lpstr>CPN!hp?s_CPN_Historical_Prices</vt:lpstr>
      <vt:lpstr>CVS!hp?s_cvs</vt:lpstr>
      <vt:lpstr>DAL!hp?s_DAL</vt:lpstr>
      <vt:lpstr>DG!hp?s_dg</vt:lpstr>
      <vt:lpstr>DIS!hp?s_DIS</vt:lpstr>
      <vt:lpstr>EW!hp?s_ew_Historical_Prices</vt:lpstr>
      <vt:lpstr>F!hp?s_F</vt:lpstr>
      <vt:lpstr>FOXA!hp?s_foxa</vt:lpstr>
      <vt:lpstr>FTR!hp?s_FTR</vt:lpstr>
      <vt:lpstr>GILD!hp?s_GILD</vt:lpstr>
      <vt:lpstr>GIS!hp?s_GIS</vt:lpstr>
      <vt:lpstr>GM!hp?s_GM</vt:lpstr>
      <vt:lpstr>HES!hp?s_HES</vt:lpstr>
      <vt:lpstr>INTC!hp?s_INTC_Historical_Prices</vt:lpstr>
      <vt:lpstr>IP!hp?s_IP</vt:lpstr>
      <vt:lpstr>JNJ!hp?s_jnj</vt:lpstr>
      <vt:lpstr>KATE!hp?s_KATE</vt:lpstr>
      <vt:lpstr>KORS!hp?s_KORS</vt:lpstr>
      <vt:lpstr>KR!hp?s_KR</vt:lpstr>
      <vt:lpstr>LUV!hp?s_LUV</vt:lpstr>
      <vt:lpstr>MOS!hp?s_MOS_Historical_Prices</vt:lpstr>
      <vt:lpstr>MRO!hp?s_MRO</vt:lpstr>
      <vt:lpstr>MU!hp?s_MU</vt:lpstr>
      <vt:lpstr>MYL!hp?s_MYL</vt:lpstr>
      <vt:lpstr>NCLH!hp?s_nclh</vt:lpstr>
      <vt:lpstr>NKE!hp?s_nke</vt:lpstr>
      <vt:lpstr>NSC!hp?s_NSC</vt:lpstr>
      <vt:lpstr>NWL!hp?s_NWL</vt:lpstr>
      <vt:lpstr>PINC!hp?s_pinc</vt:lpstr>
      <vt:lpstr>SIG!hp?s_SIG</vt:lpstr>
      <vt:lpstr>SPY!hp?s_SPY_Historical_Prices</vt:lpstr>
      <vt:lpstr>AOBC!hp?s_swhc</vt:lpstr>
      <vt:lpstr>SWKS!hp?s_SWKS</vt:lpstr>
      <vt:lpstr>TEVA!hp?s_teva</vt:lpstr>
      <vt:lpstr>TGT!hp?s_tgt</vt:lpstr>
      <vt:lpstr>TKR!hp?s_TKR</vt:lpstr>
      <vt:lpstr>TMO!hp?s_tmo</vt:lpstr>
      <vt:lpstr>UAL!hp?s_ual</vt:lpstr>
      <vt:lpstr>UNH!hp?s_UNH</vt:lpstr>
      <vt:lpstr>UNP!hp?s_UNP</vt:lpstr>
      <vt:lpstr>UTX!hp?s_UTX</vt:lpstr>
      <vt:lpstr>MJN!hp?s_vgk</vt:lpstr>
      <vt:lpstr>VGK!hp?s_vgk</vt:lpstr>
      <vt:lpstr>WFC!hp?s_WFC</vt:lpstr>
      <vt:lpstr>WWD!hp?s_WWD</vt:lpstr>
      <vt:lpstr>AA!PL</vt:lpstr>
      <vt:lpstr>NCLH!PL</vt:lpstr>
      <vt:lpstr>PINC!PL</vt:lpstr>
      <vt:lpstr>SPY!PL</vt:lpstr>
      <vt:lpstr>SWKS!PL</vt:lpstr>
      <vt:lpstr>WFC!PL</vt:lpstr>
      <vt:lpstr>AA!q?s_aa_ql_1</vt:lpstr>
      <vt:lpstr>AAPL!q?s_AAPL</vt:lpstr>
      <vt:lpstr>AKAM!q?s_AKAM</vt:lpstr>
      <vt:lpstr>ALL!q?s_ALL</vt:lpstr>
      <vt:lpstr>AVGO!q?s_AVGO</vt:lpstr>
      <vt:lpstr>AXP!q?s_AXP</vt:lpstr>
      <vt:lpstr>BIIB!q?s_BIIB</vt:lpstr>
      <vt:lpstr>BMY!q?s_BMY_1</vt:lpstr>
      <vt:lpstr>CAH!q?s_CAH</vt:lpstr>
      <vt:lpstr>CCE!q?s_cce</vt:lpstr>
      <vt:lpstr>CF!q?s_CF</vt:lpstr>
      <vt:lpstr>CNI!q?s_CNI</vt:lpstr>
      <vt:lpstr>CPN!q?s_CPN</vt:lpstr>
      <vt:lpstr>CVS!q?s_cvs</vt:lpstr>
      <vt:lpstr>DAL!q?s_DAL</vt:lpstr>
      <vt:lpstr>DG!q?s_dg</vt:lpstr>
      <vt:lpstr>DIS!q?s_DIS</vt:lpstr>
      <vt:lpstr>EW!q?s_ew</vt:lpstr>
      <vt:lpstr>F!q?s_F</vt:lpstr>
      <vt:lpstr>FOXA!q?s_foxa</vt:lpstr>
      <vt:lpstr>FTR!q?s_FTR</vt:lpstr>
      <vt:lpstr>GILD!q?s_GILD</vt:lpstr>
      <vt:lpstr>GIS!q?s_GIS_1</vt:lpstr>
      <vt:lpstr>GM!q?s_GM</vt:lpstr>
      <vt:lpstr>HES!q?s_HES</vt:lpstr>
      <vt:lpstr>INTC!q?s_INTC</vt:lpstr>
      <vt:lpstr>IP!q?s_IP</vt:lpstr>
      <vt:lpstr>JNJ!q?s_JNJ</vt:lpstr>
      <vt:lpstr>KATE!q?s_KATE</vt:lpstr>
      <vt:lpstr>KORS!q?s_KORS</vt:lpstr>
      <vt:lpstr>KR!q?s_KR</vt:lpstr>
      <vt:lpstr>LUV!q?s_luv_ql_1</vt:lpstr>
      <vt:lpstr>MOS!q?s_MOS</vt:lpstr>
      <vt:lpstr>MRO!q?s_mro</vt:lpstr>
      <vt:lpstr>MU!q?s_MU</vt:lpstr>
      <vt:lpstr>MYL!q?s_MYL</vt:lpstr>
      <vt:lpstr>NCLH!q?s_nclh</vt:lpstr>
      <vt:lpstr>NKE!q?s_NKE</vt:lpstr>
      <vt:lpstr>NSC!q?s_nsc</vt:lpstr>
      <vt:lpstr>UNP!q?s_NSC</vt:lpstr>
      <vt:lpstr>NWL!q?s_NWL</vt:lpstr>
      <vt:lpstr>PINC!q?s_pinc</vt:lpstr>
      <vt:lpstr>SIG!q?s_SIG</vt:lpstr>
      <vt:lpstr>SPY!q?s_SPY</vt:lpstr>
      <vt:lpstr>AOBC!q?s_swhc</vt:lpstr>
      <vt:lpstr>SWKS!q?s_SWKS</vt:lpstr>
      <vt:lpstr>TEVA!q?s_teva</vt:lpstr>
      <vt:lpstr>TGT!q?s_tgt</vt:lpstr>
      <vt:lpstr>TKR!q?s_TKR</vt:lpstr>
      <vt:lpstr>TMO!q?s_tmo</vt:lpstr>
      <vt:lpstr>UAL!q?s_UAL</vt:lpstr>
      <vt:lpstr>UNH!q?s_UNH</vt:lpstr>
      <vt:lpstr>UTX!q?s_UTX</vt:lpstr>
      <vt:lpstr>MJN!q?s_vgk</vt:lpstr>
      <vt:lpstr>VGK!q?s_vgk</vt:lpstr>
      <vt:lpstr>WFC!q?s_WFC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dcterms:created xsi:type="dcterms:W3CDTF">2015-07-30T23:45:25Z</dcterms:created>
  <dcterms:modified xsi:type="dcterms:W3CDTF">2017-02-04T00:23:40Z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